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38535C34-C305-4A79-AB24-21C6247FCFD4}" xr6:coauthVersionLast="47" xr6:coauthVersionMax="47" xr10:uidLastSave="{00000000-0000-0000-0000-000000000000}"/>
  <bookViews>
    <workbookView xWindow="-108" yWindow="-108" windowWidth="23256" windowHeight="12456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" sheetId="2" r:id="rId5"/>
    <sheet name="(Intrigrate UE)Network Transit" sheetId="7" r:id="rId6"/>
    <sheet name="(Intrigrate UE)Network Bicycle" sheetId="8" r:id="rId7"/>
    <sheet name="Sheet1" sheetId="1" r:id="rId8"/>
  </sheets>
  <externalReferences>
    <externalReference r:id="rId9"/>
    <externalReference r:id="rId10"/>
  </externalReferences>
  <definedNames>
    <definedName name="solver_adj" localSheetId="4" hidden="1">'(Intrigrate UE)Network Auto'!$P$36:$P$60</definedName>
    <definedName name="solver_adj" localSheetId="6" hidden="1">'(Intrigrate UE)Network Bicycle'!$P$36:$P$60</definedName>
    <definedName name="solver_adj" localSheetId="5" hidden="1">'(Intrigrate UE)Network Transit'!$P$36:$P$39</definedName>
    <definedName name="solver_adj" localSheetId="3" hidden="1">'Mode Choice Q'!$V$7:$V$12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3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4" hidden="1">'(Intrigrate UE)Network Auto'!$G$58:$G$61</definedName>
    <definedName name="solver_lhs1" localSheetId="6" hidden="1">'(Intrigrate UE)Network Bicycle'!$G$58:$G$61</definedName>
    <definedName name="solver_lhs1" localSheetId="5" hidden="1">'(Intrigrate UE)Network Transit'!$G$46:$G$49</definedName>
    <definedName name="solver_lhs2" localSheetId="4" hidden="1">'(Intrigrate UE)Network Auto'!$P$36:$P$60</definedName>
    <definedName name="solver_lhs2" localSheetId="6" hidden="1">'(Intrigrate UE)Network Bicycle'!$P$36:$P$60</definedName>
    <definedName name="solver_lhs2" localSheetId="5" hidden="1">'(Intrigrate UE)Network Transit'!$P$36:$P$39</definedName>
    <definedName name="solver_lhs3" localSheetId="4" hidden="1">'(Intrigrate UE)Network Auto'!$V$61:$AN$61</definedName>
    <definedName name="solver_lhs3" localSheetId="6" hidden="1">'(Intrigrate UE)Network Bicycle'!$U$61:$AM$61</definedName>
    <definedName name="solver_lhs4" localSheetId="4" hidden="1">'(Intrigrate UE)Network Auto'!$V$64:$AN$64</definedName>
    <definedName name="solver_lhs4" localSheetId="6" hidden="1">'(Intrigrate UE)Network Bicycle'!$U$64:$AM$64</definedName>
    <definedName name="solver_lhs5" localSheetId="4" hidden="1">'(Intrigrate UE)Network Auto'!$V$64:$AN$64</definedName>
    <definedName name="solver_lhs5" localSheetId="6" hidden="1">'(Intrigrate UE)Network Bicycle'!$U$64:$AM$64</definedName>
    <definedName name="solver_lin" localSheetId="3" hidden="1">2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3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4" hidden="1">1</definedName>
    <definedName name="solver_num" localSheetId="6" hidden="1">1</definedName>
    <definedName name="solver_num" localSheetId="5" hidden="1">1</definedName>
    <definedName name="solver_num" localSheetId="3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3" hidden="1">1</definedName>
    <definedName name="solver_opt" localSheetId="4" hidden="1">'(Intrigrate UE)Network Auto'!$H$55</definedName>
    <definedName name="solver_opt" localSheetId="6" hidden="1">'(Intrigrate UE)Network Bicycle'!$H$55</definedName>
    <definedName name="solver_opt" localSheetId="5" hidden="1">'(Intrigrate UE)Network Transit'!$H$43</definedName>
    <definedName name="solver_opt" localSheetId="3" hidden="1">'Mode Choice Q'!$S$18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2" localSheetId="4" hidden="1">4</definedName>
    <definedName name="solver_rel2" localSheetId="6" hidden="1">4</definedName>
    <definedName name="solver_rel2" localSheetId="5" hidden="1">4</definedName>
    <definedName name="solver_rel3" localSheetId="4" hidden="1">1</definedName>
    <definedName name="solver_rel3" localSheetId="6" hidden="1">1</definedName>
    <definedName name="solver_rel4" localSheetId="4" hidden="1">1</definedName>
    <definedName name="solver_rel4" localSheetId="6" hidden="1">1</definedName>
    <definedName name="solver_rel5" localSheetId="4" hidden="1">3</definedName>
    <definedName name="solver_rel5" localSheetId="6" hidden="1">3</definedName>
    <definedName name="solver_rhs1" localSheetId="4" hidden="1">'(Intrigrate UE)Network Auto'!$I$58:$I$61</definedName>
    <definedName name="solver_rhs1" localSheetId="6" hidden="1">'(Intrigrate UE)Network Bicycle'!$I$58:$I$61</definedName>
    <definedName name="solver_rhs1" localSheetId="5" hidden="1">'(Intrigrate UE)Network Transit'!$I$46:$I$49</definedName>
    <definedName name="solver_rhs2" localSheetId="4" hidden="1">"integer"</definedName>
    <definedName name="solver_rhs2" localSheetId="6" hidden="1">"integer"</definedName>
    <definedName name="solver_rhs2" localSheetId="5" hidden="1">"integer"</definedName>
    <definedName name="solver_rhs3" localSheetId="4" hidden="1">'(Intrigrate UE)Network Auto'!$V$63:$AN$63</definedName>
    <definedName name="solver_rhs3" localSheetId="6" hidden="1">'(Intrigrate UE)Network Bicycle'!$U$63:$AM$63</definedName>
    <definedName name="solver_rhs4" localSheetId="4" hidden="1">'(Intrigrate UE)Network Auto'!$V$66:$AN$66</definedName>
    <definedName name="solver_rhs4" localSheetId="6" hidden="1">'(Intrigrate UE)Network Bicycle'!$U$66:$AM$66</definedName>
    <definedName name="solver_rhs5" localSheetId="4" hidden="1">'(Intrigrate UE)Network Auto'!$V$65:$AN$65</definedName>
    <definedName name="solver_rhs5" localSheetId="6" hidden="1">'(Intrigrate UE)Network Bicycle'!$U$65:$AM$65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3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2" l="1"/>
  <c r="O100" i="2"/>
  <c r="P99" i="2"/>
  <c r="O99" i="2"/>
  <c r="R98" i="2"/>
  <c r="Q98" i="2"/>
  <c r="R97" i="2"/>
  <c r="Q97" i="2"/>
  <c r="M106" i="2"/>
  <c r="M105" i="2"/>
  <c r="M104" i="2"/>
  <c r="M103" i="2"/>
  <c r="M102" i="2"/>
  <c r="M101" i="2"/>
  <c r="M100" i="2"/>
  <c r="M99" i="2"/>
  <c r="M98" i="2"/>
  <c r="M97" i="2"/>
  <c r="G47" i="6" l="1"/>
  <c r="J48" i="6"/>
  <c r="I49" i="6"/>
  <c r="I31" i="6" s="1"/>
  <c r="I36" i="6" s="1"/>
  <c r="H46" i="6"/>
  <c r="A44" i="8"/>
  <c r="A45" i="8"/>
  <c r="A46" i="8"/>
  <c r="A47" i="8"/>
  <c r="B43" i="8"/>
  <c r="C43" i="8"/>
  <c r="D43" i="8"/>
  <c r="E43" i="8"/>
  <c r="A43" i="8"/>
  <c r="R28" i="6"/>
  <c r="R33" i="6" s="1"/>
  <c r="S28" i="6"/>
  <c r="S33" i="6" s="1"/>
  <c r="O30" i="6"/>
  <c r="O35" i="6" s="1"/>
  <c r="N31" i="6"/>
  <c r="N36" i="6" s="1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E24" i="2"/>
  <c r="F24" i="2"/>
  <c r="G24" i="2"/>
  <c r="H24" i="2"/>
  <c r="E25" i="2"/>
  <c r="E26" i="2"/>
  <c r="E27" i="2"/>
  <c r="I24" i="2"/>
  <c r="E28" i="2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G58" i="8"/>
  <c r="Q36" i="8" s="1"/>
  <c r="G59" i="8"/>
  <c r="Q44" i="8" s="1"/>
  <c r="G60" i="8"/>
  <c r="Q50" i="8" s="1"/>
  <c r="G61" i="8"/>
  <c r="Q55" i="8" s="1"/>
  <c r="U61" i="8"/>
  <c r="G66" i="8" s="1"/>
  <c r="V61" i="8"/>
  <c r="G67" i="8" s="1"/>
  <c r="H37" i="8" s="1"/>
  <c r="W61" i="8"/>
  <c r="G68" i="8" s="1"/>
  <c r="X61" i="8"/>
  <c r="G69" i="8" s="1"/>
  <c r="Y61" i="8"/>
  <c r="G70" i="8" s="1"/>
  <c r="H40" i="8" s="1"/>
  <c r="Z61" i="8"/>
  <c r="Z64" i="8" s="1"/>
  <c r="AA61" i="8"/>
  <c r="AA64" i="8" s="1"/>
  <c r="AB61" i="8"/>
  <c r="G73" i="8" s="1"/>
  <c r="H43" i="8" s="1"/>
  <c r="AC61" i="8"/>
  <c r="G74" i="8" s="1"/>
  <c r="AD61" i="8"/>
  <c r="AD64" i="8" s="1"/>
  <c r="AE61" i="8"/>
  <c r="AE64" i="8" s="1"/>
  <c r="AF61" i="8"/>
  <c r="AF64" i="8" s="1"/>
  <c r="AG61" i="8"/>
  <c r="G78" i="8" s="1"/>
  <c r="AH61" i="8"/>
  <c r="AH64" i="8" s="1"/>
  <c r="AI61" i="8"/>
  <c r="G80" i="8" s="1"/>
  <c r="AJ61" i="8"/>
  <c r="G81" i="8" s="1"/>
  <c r="AK61" i="8"/>
  <c r="G82" i="8" s="1"/>
  <c r="AL61" i="8"/>
  <c r="G83" i="8" s="1"/>
  <c r="AM61" i="8"/>
  <c r="AM64" i="8" s="1"/>
  <c r="W6" i="7"/>
  <c r="AI6" i="7"/>
  <c r="AJ6" i="7"/>
  <c r="W7" i="7"/>
  <c r="AH6" i="7" s="1"/>
  <c r="AG7" i="7" s="1"/>
  <c r="AC7" i="7"/>
  <c r="AB8" i="7" s="1"/>
  <c r="AI7" i="7"/>
  <c r="AH8" i="7" s="1"/>
  <c r="AJ7" i="7"/>
  <c r="W8" i="7"/>
  <c r="AD8" i="7"/>
  <c r="AG8" i="7"/>
  <c r="AJ8" i="7"/>
  <c r="AI9" i="7" s="1"/>
  <c r="W9" i="7"/>
  <c r="AG9" i="7"/>
  <c r="AH9" i="7"/>
  <c r="W10" i="7"/>
  <c r="W11" i="7"/>
  <c r="AB11" i="7"/>
  <c r="W12" i="7"/>
  <c r="AB12" i="7"/>
  <c r="W13" i="7"/>
  <c r="AB13" i="7"/>
  <c r="W14" i="7"/>
  <c r="AB14" i="7"/>
  <c r="W15" i="7"/>
  <c r="AC6" i="7" s="1"/>
  <c r="AA8" i="7" s="1"/>
  <c r="AB15" i="7"/>
  <c r="W16" i="7"/>
  <c r="AB16" i="7"/>
  <c r="W17" i="7"/>
  <c r="AB17" i="7"/>
  <c r="W18" i="7"/>
  <c r="AB18" i="7"/>
  <c r="W19" i="7"/>
  <c r="AB19" i="7"/>
  <c r="W20" i="7"/>
  <c r="AD7" i="7" s="1"/>
  <c r="AB9" i="7" s="1"/>
  <c r="AB20" i="7"/>
  <c r="W21" i="7"/>
  <c r="AB21" i="7"/>
  <c r="W22" i="7"/>
  <c r="W23" i="7"/>
  <c r="W24" i="7"/>
  <c r="U40" i="7"/>
  <c r="H36" i="7" s="1"/>
  <c r="V40" i="7"/>
  <c r="H37" i="7" s="1"/>
  <c r="W40" i="7"/>
  <c r="X40" i="7"/>
  <c r="Y40" i="7"/>
  <c r="J40" i="7" s="1"/>
  <c r="Z40" i="7"/>
  <c r="H41" i="7" s="1"/>
  <c r="AA40" i="7"/>
  <c r="J42" i="7" s="1"/>
  <c r="G46" i="7"/>
  <c r="Q36" i="7" s="1"/>
  <c r="G47" i="7"/>
  <c r="Q37" i="7" s="1"/>
  <c r="G48" i="7"/>
  <c r="Q38" i="7" s="1"/>
  <c r="G49" i="7"/>
  <c r="Q39" i="7" s="1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M31" i="6"/>
  <c r="M36" i="6" s="1"/>
  <c r="L31" i="6"/>
  <c r="L36" i="6" s="1"/>
  <c r="T30" i="6"/>
  <c r="T35" i="6" s="1"/>
  <c r="S30" i="6"/>
  <c r="S35" i="6" s="1"/>
  <c r="R30" i="6"/>
  <c r="R35" i="6" s="1"/>
  <c r="Q30" i="6"/>
  <c r="Q35" i="6" s="1"/>
  <c r="N30" i="6"/>
  <c r="N35" i="6" s="1"/>
  <c r="M30" i="6"/>
  <c r="M35" i="6" s="1"/>
  <c r="L30" i="6"/>
  <c r="L35" i="6" s="1"/>
  <c r="J30" i="6"/>
  <c r="J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G29" i="6"/>
  <c r="G34" i="6" s="1"/>
  <c r="T28" i="6"/>
  <c r="T33" i="6" s="1"/>
  <c r="M28" i="6"/>
  <c r="M33" i="6" s="1"/>
  <c r="H28" i="6"/>
  <c r="H33" i="6" s="1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I28" i="4"/>
  <c r="G46" i="6" s="1"/>
  <c r="K28" i="4"/>
  <c r="I46" i="6" s="1"/>
  <c r="L28" i="4"/>
  <c r="J46" i="6" s="1"/>
  <c r="J29" i="4"/>
  <c r="T45" i="4" s="1"/>
  <c r="K29" i="4"/>
  <c r="L29" i="4"/>
  <c r="E30" i="4"/>
  <c r="R141" i="4" s="1"/>
  <c r="I30" i="4"/>
  <c r="S46" i="4" s="1"/>
  <c r="J30" i="4"/>
  <c r="H48" i="6" s="1"/>
  <c r="K30" i="4"/>
  <c r="I48" i="6" s="1"/>
  <c r="I31" i="4"/>
  <c r="G49" i="6" s="1"/>
  <c r="J31" i="4"/>
  <c r="H49" i="6" s="1"/>
  <c r="L31" i="4"/>
  <c r="J49" i="6" s="1"/>
  <c r="D34" i="4"/>
  <c r="E7" i="4" s="1"/>
  <c r="R118" i="4" s="1"/>
  <c r="S39" i="4"/>
  <c r="U47" i="4" s="1"/>
  <c r="U56" i="4" s="1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S45" i="4"/>
  <c r="S54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R131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G61" i="2"/>
  <c r="R55" i="2" s="1"/>
  <c r="Q60" i="2"/>
  <c r="G60" i="2"/>
  <c r="R50" i="2" s="1"/>
  <c r="Q59" i="2"/>
  <c r="G59" i="2"/>
  <c r="R44" i="2" s="1"/>
  <c r="Q58" i="2"/>
  <c r="G58" i="2"/>
  <c r="R36" i="2" s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AJ9" i="2"/>
  <c r="AI9" i="2"/>
  <c r="AH9" i="2"/>
  <c r="AG9" i="2"/>
  <c r="AF9" i="2"/>
  <c r="V9" i="2"/>
  <c r="AJ8" i="2"/>
  <c r="AI8" i="2"/>
  <c r="AH8" i="2"/>
  <c r="AG8" i="2"/>
  <c r="AF8" i="2"/>
  <c r="V8" i="2"/>
  <c r="AJ7" i="2"/>
  <c r="AI7" i="2"/>
  <c r="AH7" i="2"/>
  <c r="AG7" i="2"/>
  <c r="AF7" i="2"/>
  <c r="V7" i="2"/>
  <c r="AJ6" i="2"/>
  <c r="AI6" i="2"/>
  <c r="AH6" i="2"/>
  <c r="AG6" i="2"/>
  <c r="AF6" i="2"/>
  <c r="V6" i="2"/>
  <c r="AJ5" i="2"/>
  <c r="AI5" i="2"/>
  <c r="AH5" i="2"/>
  <c r="AG5" i="2"/>
  <c r="AF5" i="2"/>
  <c r="G10" i="5" l="1"/>
  <c r="E8" i="5"/>
  <c r="G75" i="8"/>
  <c r="H45" i="8" s="1"/>
  <c r="Y64" i="8"/>
  <c r="G48" i="6"/>
  <c r="G30" i="6" s="1"/>
  <c r="G35" i="6" s="1"/>
  <c r="L40" i="6" s="1"/>
  <c r="J47" i="6"/>
  <c r="J29" i="6" s="1"/>
  <c r="J34" i="6" s="1"/>
  <c r="J39" i="6" s="1"/>
  <c r="I47" i="6"/>
  <c r="I29" i="6" s="1"/>
  <c r="I34" i="6" s="1"/>
  <c r="I39" i="6" s="1"/>
  <c r="I30" i="6"/>
  <c r="I35" i="6" s="1"/>
  <c r="I40" i="6" s="1"/>
  <c r="H47" i="6"/>
  <c r="H29" i="6" s="1"/>
  <c r="H34" i="6" s="1"/>
  <c r="R39" i="6" s="1"/>
  <c r="H30" i="6"/>
  <c r="H35" i="6" s="1"/>
  <c r="H40" i="6" s="1"/>
  <c r="J31" i="6"/>
  <c r="J36" i="6" s="1"/>
  <c r="O41" i="6" s="1"/>
  <c r="H31" i="6"/>
  <c r="H36" i="6" s="1"/>
  <c r="M41" i="6" s="1"/>
  <c r="G31" i="6"/>
  <c r="G36" i="6" s="1"/>
  <c r="L41" i="6" s="1"/>
  <c r="G76" i="8"/>
  <c r="J46" i="8" s="1"/>
  <c r="V64" i="8"/>
  <c r="G79" i="8"/>
  <c r="H49" i="8" s="1"/>
  <c r="G84" i="8"/>
  <c r="H54" i="8" s="1"/>
  <c r="G71" i="8"/>
  <c r="H41" i="8" s="1"/>
  <c r="AC64" i="8"/>
  <c r="AB64" i="8"/>
  <c r="J41" i="8"/>
  <c r="G72" i="8"/>
  <c r="W64" i="8"/>
  <c r="AL64" i="8"/>
  <c r="AK64" i="8"/>
  <c r="L39" i="6"/>
  <c r="G28" i="6"/>
  <c r="G33" i="6" s="1"/>
  <c r="I28" i="6"/>
  <c r="I33" i="6" s="1"/>
  <c r="I38" i="6" s="1"/>
  <c r="N28" i="6"/>
  <c r="N33" i="6" s="1"/>
  <c r="O28" i="6"/>
  <c r="O33" i="6" s="1"/>
  <c r="J28" i="6"/>
  <c r="J33" i="6" s="1"/>
  <c r="O38" i="6" s="1"/>
  <c r="J40" i="6"/>
  <c r="N41" i="6"/>
  <c r="R38" i="6"/>
  <c r="T54" i="4"/>
  <c r="F8" i="5"/>
  <c r="Z8" i="5" s="1"/>
  <c r="S55" i="4"/>
  <c r="E9" i="5"/>
  <c r="O9" i="5" s="1"/>
  <c r="F44" i="4"/>
  <c r="N62" i="4"/>
  <c r="J44" i="4"/>
  <c r="S57" i="4" s="1"/>
  <c r="S68" i="4" s="1"/>
  <c r="S79" i="4" s="1"/>
  <c r="S90" i="4" s="1"/>
  <c r="N42" i="4"/>
  <c r="W55" i="4" s="1"/>
  <c r="W66" i="4" s="1"/>
  <c r="AL2" i="5"/>
  <c r="AB2" i="5"/>
  <c r="BM4" i="5"/>
  <c r="H38" i="7"/>
  <c r="J37" i="7"/>
  <c r="J41" i="7"/>
  <c r="H40" i="7"/>
  <c r="AL61" i="2"/>
  <c r="AL64" i="2" s="1"/>
  <c r="X61" i="2"/>
  <c r="G68" i="2" s="1"/>
  <c r="H52" i="8"/>
  <c r="J52" i="8"/>
  <c r="H53" i="8"/>
  <c r="J53" i="8"/>
  <c r="H51" i="8"/>
  <c r="J51" i="8"/>
  <c r="H39" i="8"/>
  <c r="J39" i="8"/>
  <c r="J50" i="8"/>
  <c r="H50" i="8"/>
  <c r="J38" i="8"/>
  <c r="H38" i="8"/>
  <c r="H48" i="8"/>
  <c r="J48" i="8"/>
  <c r="H36" i="8"/>
  <c r="J36" i="8"/>
  <c r="H44" i="8"/>
  <c r="J44" i="8"/>
  <c r="G77" i="8"/>
  <c r="H46" i="8"/>
  <c r="AJ64" i="8"/>
  <c r="X64" i="8"/>
  <c r="AI64" i="8"/>
  <c r="J37" i="8"/>
  <c r="AG64" i="8"/>
  <c r="U64" i="8"/>
  <c r="J40" i="8"/>
  <c r="J54" i="8"/>
  <c r="J43" i="8"/>
  <c r="H42" i="7"/>
  <c r="J39" i="7"/>
  <c r="H39" i="7"/>
  <c r="J36" i="7"/>
  <c r="J38" i="7"/>
  <c r="AD6" i="7"/>
  <c r="AA9" i="7" s="1"/>
  <c r="AI8" i="5"/>
  <c r="BE10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C8" i="5"/>
  <c r="BP2" i="5"/>
  <c r="AW26" i="5"/>
  <c r="AW37" i="5" s="1"/>
  <c r="BG2" i="5"/>
  <c r="AS8" i="5"/>
  <c r="AV2" i="5"/>
  <c r="E44" i="4"/>
  <c r="E21" i="4"/>
  <c r="R132" i="4" s="1"/>
  <c r="D35" i="4"/>
  <c r="V38" i="4" s="1"/>
  <c r="V106" i="4" s="1"/>
  <c r="E18" i="4"/>
  <c r="R129" i="4" s="1"/>
  <c r="E33" i="4"/>
  <c r="R144" i="4" s="1"/>
  <c r="E16" i="4"/>
  <c r="R127" i="4" s="1"/>
  <c r="E17" i="4"/>
  <c r="R128" i="4" s="1"/>
  <c r="E32" i="4"/>
  <c r="R143" i="4" s="1"/>
  <c r="E29" i="4"/>
  <c r="R140" i="4" s="1"/>
  <c r="E14" i="4"/>
  <c r="R125" i="4" s="1"/>
  <c r="T44" i="4"/>
  <c r="N41" i="4"/>
  <c r="W54" i="4" s="1"/>
  <c r="W65" i="4" s="1"/>
  <c r="W76" i="4" s="1"/>
  <c r="E12" i="4"/>
  <c r="R123" i="4" s="1"/>
  <c r="M44" i="4"/>
  <c r="V57" i="4" s="1"/>
  <c r="V68" i="4" s="1"/>
  <c r="E9" i="4"/>
  <c r="R120" i="4" s="1"/>
  <c r="E8" i="4"/>
  <c r="R119" i="4" s="1"/>
  <c r="U45" i="4"/>
  <c r="E31" i="4"/>
  <c r="R142" i="4" s="1"/>
  <c r="E28" i="4"/>
  <c r="R139" i="4" s="1"/>
  <c r="E6" i="4"/>
  <c r="R117" i="4" s="1"/>
  <c r="F59" i="4"/>
  <c r="E26" i="4"/>
  <c r="R137" i="4" s="1"/>
  <c r="E5" i="4"/>
  <c r="R116" i="4" s="1"/>
  <c r="T46" i="4"/>
  <c r="E24" i="4"/>
  <c r="R135" i="4" s="1"/>
  <c r="E4" i="4"/>
  <c r="R115" i="4" s="1"/>
  <c r="Q15" i="6"/>
  <c r="R4" i="6"/>
  <c r="P4" i="6"/>
  <c r="S4" i="6" s="1"/>
  <c r="S7" i="6"/>
  <c r="R10" i="6"/>
  <c r="S10" i="6" s="1"/>
  <c r="Q16" i="6"/>
  <c r="M38" i="6"/>
  <c r="Q5" i="6"/>
  <c r="S5" i="6" s="1"/>
  <c r="P16" i="6"/>
  <c r="O40" i="6"/>
  <c r="P8" i="6"/>
  <c r="S8" i="6" s="1"/>
  <c r="Q11" i="6"/>
  <c r="S11" i="6" s="1"/>
  <c r="P17" i="6"/>
  <c r="Q39" i="6"/>
  <c r="R11" i="6"/>
  <c r="Q14" i="6"/>
  <c r="S14" i="6" s="1"/>
  <c r="S41" i="6"/>
  <c r="T40" i="6"/>
  <c r="R8" i="6"/>
  <c r="R17" i="6"/>
  <c r="Q3" i="6"/>
  <c r="S3" i="6" s="1"/>
  <c r="R6" i="6"/>
  <c r="P9" i="6"/>
  <c r="S9" i="6" s="1"/>
  <c r="Q12" i="6"/>
  <c r="S12" i="6" s="1"/>
  <c r="R14" i="6"/>
  <c r="G39" i="6"/>
  <c r="R3" i="6"/>
  <c r="P6" i="6"/>
  <c r="Q9" i="6"/>
  <c r="P15" i="6"/>
  <c r="S15" i="6" s="1"/>
  <c r="H38" i="6"/>
  <c r="I41" i="6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AA10" i="5"/>
  <c r="Y8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BO10" i="5"/>
  <c r="BM8" i="5"/>
  <c r="Q10" i="5"/>
  <c r="O8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38" i="4" s="1"/>
  <c r="E15" i="4"/>
  <c r="R126" i="4" s="1"/>
  <c r="U46" i="4"/>
  <c r="V44" i="4"/>
  <c r="E25" i="4"/>
  <c r="R136" i="4" s="1"/>
  <c r="E13" i="4"/>
  <c r="R124" i="4" s="1"/>
  <c r="E23" i="4"/>
  <c r="R134" i="4" s="1"/>
  <c r="E11" i="4"/>
  <c r="R122" i="4" s="1"/>
  <c r="V47" i="4"/>
  <c r="E22" i="4"/>
  <c r="R133" i="4" s="1"/>
  <c r="E10" i="4"/>
  <c r="R121" i="4" s="1"/>
  <c r="V45" i="4"/>
  <c r="E19" i="4"/>
  <c r="R130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AA61" i="2"/>
  <c r="AM61" i="2"/>
  <c r="AB61" i="2"/>
  <c r="AN61" i="2"/>
  <c r="AC61" i="2"/>
  <c r="AD61" i="2"/>
  <c r="AE61" i="2"/>
  <c r="AF61" i="2"/>
  <c r="AG61" i="2"/>
  <c r="AH61" i="2"/>
  <c r="V61" i="2"/>
  <c r="W61" i="2"/>
  <c r="AI61" i="2"/>
  <c r="AJ61" i="2"/>
  <c r="AK61" i="2"/>
  <c r="Y61" i="2"/>
  <c r="Z61" i="2"/>
  <c r="J45" i="8" l="1"/>
  <c r="N40" i="6"/>
  <c r="T53" i="4"/>
  <c r="F7" i="5"/>
  <c r="S40" i="6"/>
  <c r="V55" i="4"/>
  <c r="H9" i="5"/>
  <c r="AU10" i="5"/>
  <c r="AK10" i="5"/>
  <c r="S38" i="6"/>
  <c r="M40" i="6"/>
  <c r="J49" i="8"/>
  <c r="N41" i="8" s="1"/>
  <c r="J41" i="6"/>
  <c r="Q41" i="6"/>
  <c r="Q40" i="6"/>
  <c r="T41" i="6"/>
  <c r="G41" i="6"/>
  <c r="S39" i="6"/>
  <c r="O39" i="6"/>
  <c r="R41" i="6"/>
  <c r="N39" i="6"/>
  <c r="H41" i="6"/>
  <c r="R40" i="6"/>
  <c r="T39" i="6"/>
  <c r="BC9" i="5"/>
  <c r="G40" i="6"/>
  <c r="N38" i="6"/>
  <c r="J38" i="6"/>
  <c r="Y9" i="5"/>
  <c r="AI9" i="5"/>
  <c r="H42" i="8"/>
  <c r="J42" i="8"/>
  <c r="N48" i="8" s="1"/>
  <c r="N49" i="8"/>
  <c r="N43" i="8"/>
  <c r="N39" i="7"/>
  <c r="T38" i="6"/>
  <c r="AJ8" i="5"/>
  <c r="AS9" i="5"/>
  <c r="H39" i="6"/>
  <c r="BM9" i="5"/>
  <c r="M39" i="6"/>
  <c r="AT8" i="5"/>
  <c r="BD8" i="5"/>
  <c r="BN8" i="5"/>
  <c r="L28" i="6"/>
  <c r="L33" i="6" s="1"/>
  <c r="Q28" i="6"/>
  <c r="Q33" i="6" s="1"/>
  <c r="P8" i="5"/>
  <c r="S56" i="4"/>
  <c r="E10" i="5"/>
  <c r="U54" i="4"/>
  <c r="G8" i="5"/>
  <c r="V56" i="4"/>
  <c r="H10" i="5"/>
  <c r="T56" i="4"/>
  <c r="F10" i="5"/>
  <c r="T55" i="4"/>
  <c r="F9" i="5"/>
  <c r="U53" i="4"/>
  <c r="G7" i="5"/>
  <c r="V53" i="4"/>
  <c r="H7" i="5"/>
  <c r="N44" i="4"/>
  <c r="V54" i="4"/>
  <c r="X54" i="4" s="1"/>
  <c r="Y54" i="4" s="1"/>
  <c r="H8" i="5"/>
  <c r="U55" i="4"/>
  <c r="G9" i="5"/>
  <c r="S53" i="4"/>
  <c r="E7" i="5"/>
  <c r="G82" i="2"/>
  <c r="J52" i="2" s="1"/>
  <c r="J113" i="2" s="1"/>
  <c r="AL67" i="2"/>
  <c r="H43" i="7"/>
  <c r="X64" i="2"/>
  <c r="X67" i="2"/>
  <c r="H47" i="8"/>
  <c r="J47" i="8"/>
  <c r="N40" i="8"/>
  <c r="N58" i="8"/>
  <c r="N51" i="8"/>
  <c r="N36" i="8"/>
  <c r="N59" i="8"/>
  <c r="N36" i="7"/>
  <c r="N37" i="7"/>
  <c r="N38" i="7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G70" i="2"/>
  <c r="Z64" i="2"/>
  <c r="Z67" i="2"/>
  <c r="AB64" i="2"/>
  <c r="AB67" i="2"/>
  <c r="G72" i="2"/>
  <c r="AE64" i="2"/>
  <c r="AE67" i="2"/>
  <c r="G75" i="2"/>
  <c r="G83" i="2"/>
  <c r="AM64" i="2"/>
  <c r="AM67" i="2"/>
  <c r="AN64" i="2"/>
  <c r="AN67" i="2"/>
  <c r="G84" i="2"/>
  <c r="G67" i="2"/>
  <c r="W64" i="2"/>
  <c r="W67" i="2"/>
  <c r="AD64" i="2"/>
  <c r="AD67" i="2"/>
  <c r="G74" i="2"/>
  <c r="G81" i="2"/>
  <c r="AK64" i="2"/>
  <c r="AK67" i="2"/>
  <c r="G71" i="2"/>
  <c r="AA64" i="2"/>
  <c r="AA67" i="2"/>
  <c r="V67" i="2"/>
  <c r="G66" i="2"/>
  <c r="V64" i="2"/>
  <c r="AC64" i="2"/>
  <c r="AC67" i="2"/>
  <c r="G73" i="2"/>
  <c r="G80" i="2"/>
  <c r="AJ64" i="2"/>
  <c r="AJ67" i="2"/>
  <c r="G77" i="2"/>
  <c r="AG67" i="2"/>
  <c r="AG64" i="2"/>
  <c r="G69" i="2"/>
  <c r="Y64" i="2"/>
  <c r="Y67" i="2"/>
  <c r="G79" i="2"/>
  <c r="AI64" i="2"/>
  <c r="AI67" i="2"/>
  <c r="AH67" i="2"/>
  <c r="AH64" i="2"/>
  <c r="G78" i="2"/>
  <c r="H38" i="2"/>
  <c r="E38" i="2"/>
  <c r="J38" i="2"/>
  <c r="J99" i="2" s="1"/>
  <c r="G76" i="2"/>
  <c r="AF67" i="2"/>
  <c r="AF64" i="2"/>
  <c r="N56" i="8" l="1"/>
  <c r="N46" i="8"/>
  <c r="N55" i="8"/>
  <c r="N38" i="8"/>
  <c r="N52" i="8"/>
  <c r="BF9" i="5"/>
  <c r="AV9" i="5"/>
  <c r="R9" i="5"/>
  <c r="BP9" i="5"/>
  <c r="AL9" i="5"/>
  <c r="AB9" i="5"/>
  <c r="BD7" i="5"/>
  <c r="AT7" i="5"/>
  <c r="BN7" i="5"/>
  <c r="P7" i="5"/>
  <c r="AJ7" i="5"/>
  <c r="Z7" i="5"/>
  <c r="N47" i="8"/>
  <c r="H55" i="8"/>
  <c r="N54" i="8"/>
  <c r="N60" i="8"/>
  <c r="X56" i="4"/>
  <c r="Y56" i="4" s="1"/>
  <c r="V58" i="4"/>
  <c r="V59" i="4" s="1"/>
  <c r="V67" i="4" s="1"/>
  <c r="T58" i="4"/>
  <c r="T59" i="4" s="1"/>
  <c r="T67" i="4" s="1"/>
  <c r="N57" i="8"/>
  <c r="N50" i="8"/>
  <c r="N53" i="8"/>
  <c r="N37" i="8"/>
  <c r="N45" i="8"/>
  <c r="N44" i="8"/>
  <c r="N42" i="8"/>
  <c r="N39" i="8"/>
  <c r="Q38" i="6"/>
  <c r="G38" i="6"/>
  <c r="L38" i="6"/>
  <c r="U58" i="4"/>
  <c r="U59" i="4" s="1"/>
  <c r="U65" i="4" s="1"/>
  <c r="X53" i="4"/>
  <c r="Y53" i="4" s="1"/>
  <c r="X55" i="4"/>
  <c r="Y55" i="4" s="1"/>
  <c r="E52" i="2"/>
  <c r="H52" i="2"/>
  <c r="Q7" i="5"/>
  <c r="AK7" i="5"/>
  <c r="AU7" i="5"/>
  <c r="BE7" i="5"/>
  <c r="BO7" i="5"/>
  <c r="AA7" i="5"/>
  <c r="AJ9" i="5"/>
  <c r="AT9" i="5"/>
  <c r="BD9" i="5"/>
  <c r="P9" i="5"/>
  <c r="BN9" i="5"/>
  <c r="I9" i="5"/>
  <c r="Z9" i="5"/>
  <c r="Y7" i="5"/>
  <c r="AI7" i="5"/>
  <c r="AS7" i="5"/>
  <c r="O7" i="5"/>
  <c r="I7" i="5"/>
  <c r="BM7" i="5"/>
  <c r="BC7" i="5"/>
  <c r="P10" i="5"/>
  <c r="BD10" i="5"/>
  <c r="BN10" i="5"/>
  <c r="AT10" i="5"/>
  <c r="Z10" i="5"/>
  <c r="AJ10" i="5"/>
  <c r="AA9" i="5"/>
  <c r="AK9" i="5"/>
  <c r="BE9" i="5"/>
  <c r="Q9" i="5"/>
  <c r="BO9" i="5"/>
  <c r="AU9" i="5"/>
  <c r="AB10" i="5"/>
  <c r="AL10" i="5"/>
  <c r="R10" i="5"/>
  <c r="BP10" i="5"/>
  <c r="AV10" i="5"/>
  <c r="BF10" i="5"/>
  <c r="BP8" i="5"/>
  <c r="AB8" i="5"/>
  <c r="AV8" i="5"/>
  <c r="R8" i="5"/>
  <c r="AL8" i="5"/>
  <c r="BF8" i="5"/>
  <c r="BE8" i="5"/>
  <c r="Q8" i="5"/>
  <c r="AU8" i="5"/>
  <c r="BO8" i="5"/>
  <c r="AA8" i="5"/>
  <c r="AK8" i="5"/>
  <c r="I8" i="5"/>
  <c r="H15" i="5" s="1"/>
  <c r="S58" i="4"/>
  <c r="S59" i="4" s="1"/>
  <c r="S67" i="4" s="1"/>
  <c r="BP7" i="5"/>
  <c r="AV7" i="5"/>
  <c r="BF7" i="5"/>
  <c r="R7" i="5"/>
  <c r="AL7" i="5"/>
  <c r="AB7" i="5"/>
  <c r="O10" i="5"/>
  <c r="Y10" i="5"/>
  <c r="BC10" i="5"/>
  <c r="I10" i="5"/>
  <c r="AS10" i="5"/>
  <c r="BM10" i="5"/>
  <c r="AI10" i="5"/>
  <c r="D38" i="2"/>
  <c r="N40" i="7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V90" i="4"/>
  <c r="U101" i="4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J53" i="2"/>
  <c r="J114" i="2" s="1"/>
  <c r="H53" i="2"/>
  <c r="E53" i="2"/>
  <c r="J47" i="2"/>
  <c r="J108" i="2" s="1"/>
  <c r="H47" i="2"/>
  <c r="E47" i="2"/>
  <c r="E49" i="2"/>
  <c r="J49" i="2"/>
  <c r="J110" i="2" s="1"/>
  <c r="H49" i="2"/>
  <c r="J46" i="2"/>
  <c r="J107" i="2" s="1"/>
  <c r="H46" i="2"/>
  <c r="E46" i="2"/>
  <c r="H42" i="2"/>
  <c r="E42" i="2"/>
  <c r="J42" i="2"/>
  <c r="J103" i="2" s="1"/>
  <c r="J51" i="2"/>
  <c r="J112" i="2" s="1"/>
  <c r="H51" i="2"/>
  <c r="E51" i="2"/>
  <c r="H44" i="2"/>
  <c r="E44" i="2"/>
  <c r="J44" i="2"/>
  <c r="J105" i="2" s="1"/>
  <c r="J36" i="2"/>
  <c r="J97" i="2" s="1"/>
  <c r="H36" i="2"/>
  <c r="E36" i="2"/>
  <c r="H40" i="2"/>
  <c r="E40" i="2"/>
  <c r="J40" i="2"/>
  <c r="J101" i="2" s="1"/>
  <c r="H45" i="2"/>
  <c r="J45" i="2"/>
  <c r="J106" i="2" s="1"/>
  <c r="E45" i="2"/>
  <c r="H39" i="2"/>
  <c r="E39" i="2"/>
  <c r="J39" i="2"/>
  <c r="J100" i="2" s="1"/>
  <c r="J37" i="2"/>
  <c r="J98" i="2" s="1"/>
  <c r="H37" i="2"/>
  <c r="E37" i="2"/>
  <c r="J48" i="2"/>
  <c r="J109" i="2" s="1"/>
  <c r="H48" i="2"/>
  <c r="E48" i="2"/>
  <c r="J54" i="2"/>
  <c r="J115" i="2" s="1"/>
  <c r="H54" i="2"/>
  <c r="E54" i="2"/>
  <c r="H41" i="2"/>
  <c r="J41" i="2"/>
  <c r="J102" i="2" s="1"/>
  <c r="E41" i="2"/>
  <c r="J50" i="2"/>
  <c r="J111" i="2" s="1"/>
  <c r="H50" i="2"/>
  <c r="E50" i="2"/>
  <c r="H43" i="2"/>
  <c r="E43" i="2"/>
  <c r="J43" i="2"/>
  <c r="J104" i="2" s="1"/>
  <c r="V94" i="2"/>
  <c r="V93" i="2"/>
  <c r="V83" i="2"/>
  <c r="V77" i="2"/>
  <c r="V71" i="2"/>
  <c r="V92" i="2"/>
  <c r="V91" i="2"/>
  <c r="V82" i="2"/>
  <c r="V76" i="2"/>
  <c r="V70" i="2"/>
  <c r="V90" i="2"/>
  <c r="V89" i="2"/>
  <c r="V81" i="2"/>
  <c r="V75" i="2"/>
  <c r="V88" i="2"/>
  <c r="V87" i="2"/>
  <c r="V80" i="2"/>
  <c r="V74" i="2"/>
  <c r="V86" i="2"/>
  <c r="V85" i="2"/>
  <c r="V79" i="2"/>
  <c r="V73" i="2"/>
  <c r="V84" i="2"/>
  <c r="V78" i="2"/>
  <c r="V72" i="2"/>
  <c r="U66" i="4" l="1"/>
  <c r="T65" i="4"/>
  <c r="T66" i="4"/>
  <c r="T64" i="4"/>
  <c r="U64" i="4"/>
  <c r="U67" i="4"/>
  <c r="X67" i="4" s="1"/>
  <c r="Y67" i="4" s="1"/>
  <c r="T78" i="4" s="1"/>
  <c r="V64" i="4"/>
  <c r="V65" i="4"/>
  <c r="V66" i="4"/>
  <c r="N61" i="8"/>
  <c r="D52" i="2"/>
  <c r="AM9" i="5"/>
  <c r="AJ16" i="5" s="1"/>
  <c r="S66" i="4"/>
  <c r="AW8" i="5"/>
  <c r="AT15" i="5" s="1"/>
  <c r="BQ9" i="5"/>
  <c r="BM16" i="5" s="1"/>
  <c r="S9" i="5"/>
  <c r="R16" i="5" s="1"/>
  <c r="BG9" i="5"/>
  <c r="BF16" i="5" s="1"/>
  <c r="S8" i="5"/>
  <c r="R15" i="5" s="1"/>
  <c r="BG7" i="5"/>
  <c r="BC14" i="5" s="1"/>
  <c r="AW9" i="5"/>
  <c r="BQ7" i="5"/>
  <c r="BN14" i="5" s="1"/>
  <c r="BQ10" i="5"/>
  <c r="BO17" i="5" s="1"/>
  <c r="G14" i="5"/>
  <c r="H14" i="5"/>
  <c r="F14" i="5"/>
  <c r="E14" i="5"/>
  <c r="S7" i="5"/>
  <c r="E17" i="5"/>
  <c r="H17" i="5"/>
  <c r="G17" i="5"/>
  <c r="F17" i="5"/>
  <c r="S64" i="4"/>
  <c r="AW7" i="5"/>
  <c r="AV14" i="5" s="1"/>
  <c r="BG10" i="5"/>
  <c r="E15" i="5"/>
  <c r="G15" i="5"/>
  <c r="F15" i="5"/>
  <c r="AM7" i="5"/>
  <c r="BG8" i="5"/>
  <c r="BE15" i="5" s="1"/>
  <c r="AC10" i="5"/>
  <c r="AM8" i="5"/>
  <c r="AL15" i="5" s="1"/>
  <c r="AC7" i="5"/>
  <c r="S65" i="4"/>
  <c r="S10" i="5"/>
  <c r="AC8" i="5"/>
  <c r="AC9" i="5"/>
  <c r="AM10" i="5"/>
  <c r="AL17" i="5" s="1"/>
  <c r="AW10" i="5"/>
  <c r="AU17" i="5" s="1"/>
  <c r="BQ8" i="5"/>
  <c r="F16" i="5"/>
  <c r="G16" i="5"/>
  <c r="E16" i="5"/>
  <c r="H16" i="5"/>
  <c r="N59" i="2"/>
  <c r="D50" i="2"/>
  <c r="D37" i="2"/>
  <c r="D36" i="2"/>
  <c r="D46" i="2"/>
  <c r="D43" i="2"/>
  <c r="D48" i="2"/>
  <c r="D53" i="2"/>
  <c r="D45" i="2"/>
  <c r="D51" i="2"/>
  <c r="D49" i="2"/>
  <c r="D47" i="2"/>
  <c r="N60" i="2"/>
  <c r="D41" i="2"/>
  <c r="H55" i="2"/>
  <c r="N54" i="2"/>
  <c r="I80" i="5"/>
  <c r="I91" i="5" s="1"/>
  <c r="I102" i="5" s="1"/>
  <c r="S72" i="5"/>
  <c r="I81" i="5"/>
  <c r="I92" i="5" s="1"/>
  <c r="W99" i="4"/>
  <c r="T69" i="4"/>
  <c r="T70" i="4" s="1"/>
  <c r="W100" i="4"/>
  <c r="V101" i="4"/>
  <c r="T101" i="4"/>
  <c r="W97" i="4"/>
  <c r="D50" i="3"/>
  <c r="I44" i="3" s="1"/>
  <c r="L38" i="3"/>
  <c r="I47" i="3" s="1"/>
  <c r="X38" i="3"/>
  <c r="I50" i="3" s="1"/>
  <c r="D54" i="2"/>
  <c r="D39" i="2"/>
  <c r="D44" i="2"/>
  <c r="N49" i="2"/>
  <c r="N47" i="2"/>
  <c r="N43" i="2"/>
  <c r="N48" i="2"/>
  <c r="N46" i="2"/>
  <c r="N42" i="2"/>
  <c r="N40" i="2"/>
  <c r="N41" i="2"/>
  <c r="N36" i="2"/>
  <c r="N45" i="2"/>
  <c r="N39" i="2"/>
  <c r="N37" i="2"/>
  <c r="N44" i="2"/>
  <c r="N38" i="2"/>
  <c r="D40" i="2"/>
  <c r="D42" i="2"/>
  <c r="N53" i="2"/>
  <c r="N51" i="2"/>
  <c r="N55" i="2"/>
  <c r="N52" i="2"/>
  <c r="N58" i="2"/>
  <c r="N50" i="2"/>
  <c r="N57" i="2"/>
  <c r="N56" i="2"/>
  <c r="U69" i="4" l="1"/>
  <c r="U70" i="4" s="1"/>
  <c r="X66" i="4"/>
  <c r="Y66" i="4" s="1"/>
  <c r="T77" i="4" s="1"/>
  <c r="AU15" i="5"/>
  <c r="AL16" i="5"/>
  <c r="AK16" i="5"/>
  <c r="X64" i="4"/>
  <c r="Y64" i="4" s="1"/>
  <c r="S75" i="4" s="1"/>
  <c r="V69" i="4"/>
  <c r="V70" i="4" s="1"/>
  <c r="O16" i="5"/>
  <c r="AI16" i="5"/>
  <c r="Q16" i="5"/>
  <c r="X65" i="4"/>
  <c r="Y65" i="4" s="1"/>
  <c r="V76" i="4" s="1"/>
  <c r="AS17" i="5"/>
  <c r="Q15" i="5"/>
  <c r="V78" i="4"/>
  <c r="BC16" i="5"/>
  <c r="BN16" i="5"/>
  <c r="AS15" i="5"/>
  <c r="AV15" i="5"/>
  <c r="BD16" i="5"/>
  <c r="AV17" i="5"/>
  <c r="AT17" i="5"/>
  <c r="BP16" i="5"/>
  <c r="BO16" i="5"/>
  <c r="O15" i="5"/>
  <c r="P16" i="5"/>
  <c r="P15" i="5"/>
  <c r="BE16" i="5"/>
  <c r="AA16" i="5"/>
  <c r="Y16" i="5"/>
  <c r="AB16" i="5"/>
  <c r="Z16" i="5"/>
  <c r="BM17" i="5"/>
  <c r="BN17" i="5"/>
  <c r="S78" i="4"/>
  <c r="O17" i="5"/>
  <c r="Q17" i="5"/>
  <c r="R17" i="5"/>
  <c r="BP14" i="5"/>
  <c r="J16" i="5"/>
  <c r="K16" i="5" s="1"/>
  <c r="BC15" i="5"/>
  <c r="BD15" i="5"/>
  <c r="J17" i="5"/>
  <c r="K17" i="5" s="1"/>
  <c r="AJ14" i="5"/>
  <c r="AK14" i="5"/>
  <c r="AI14" i="5"/>
  <c r="AS16" i="5"/>
  <c r="AU16" i="5"/>
  <c r="AT16" i="5"/>
  <c r="AV16" i="5"/>
  <c r="Y15" i="5"/>
  <c r="AB15" i="5"/>
  <c r="AA15" i="5"/>
  <c r="Z15" i="5"/>
  <c r="S69" i="4"/>
  <c r="S70" i="4" s="1"/>
  <c r="BM14" i="5"/>
  <c r="BO14" i="5"/>
  <c r="BP15" i="5"/>
  <c r="BM15" i="5"/>
  <c r="BN15" i="5"/>
  <c r="BO15" i="5"/>
  <c r="R14" i="5"/>
  <c r="P14" i="5"/>
  <c r="O14" i="5"/>
  <c r="Q14" i="5"/>
  <c r="BE14" i="5"/>
  <c r="BD14" i="5"/>
  <c r="U78" i="4"/>
  <c r="J15" i="5"/>
  <c r="K15" i="5" s="1"/>
  <c r="E19" i="5"/>
  <c r="E20" i="5" s="1"/>
  <c r="J14" i="5"/>
  <c r="K14" i="5" s="1"/>
  <c r="BF15" i="5"/>
  <c r="Y14" i="5"/>
  <c r="AB14" i="5"/>
  <c r="AA14" i="5"/>
  <c r="Z14" i="5"/>
  <c r="BD17" i="5"/>
  <c r="BC17" i="5"/>
  <c r="BF17" i="5"/>
  <c r="BE17" i="5"/>
  <c r="F19" i="5"/>
  <c r="F20" i="5" s="1"/>
  <c r="F28" i="5" s="1"/>
  <c r="BF14" i="5"/>
  <c r="P17" i="5"/>
  <c r="BP17" i="5"/>
  <c r="AK15" i="5"/>
  <c r="AI15" i="5"/>
  <c r="AJ15" i="5"/>
  <c r="H19" i="5"/>
  <c r="H20" i="5" s="1"/>
  <c r="H27" i="5" s="1"/>
  <c r="AL14" i="5"/>
  <c r="AK17" i="5"/>
  <c r="AJ17" i="5"/>
  <c r="AI17" i="5"/>
  <c r="Z17" i="5"/>
  <c r="AA17" i="5"/>
  <c r="Y17" i="5"/>
  <c r="AT14" i="5"/>
  <c r="AS14" i="5"/>
  <c r="AU14" i="5"/>
  <c r="G19" i="5"/>
  <c r="G20" i="5" s="1"/>
  <c r="AB17" i="5"/>
  <c r="S83" i="5"/>
  <c r="I113" i="5"/>
  <c r="I103" i="5"/>
  <c r="S77" i="4"/>
  <c r="U77" i="4"/>
  <c r="V77" i="4"/>
  <c r="T75" i="4"/>
  <c r="N61" i="2"/>
  <c r="T76" i="4" l="1"/>
  <c r="T80" i="4" s="1"/>
  <c r="T81" i="4" s="1"/>
  <c r="T86" i="4" s="1"/>
  <c r="AN16" i="5"/>
  <c r="AO16" i="5" s="1"/>
  <c r="U76" i="4"/>
  <c r="V75" i="4"/>
  <c r="U75" i="4"/>
  <c r="U80" i="4" s="1"/>
  <c r="U81" i="4" s="1"/>
  <c r="S76" i="4"/>
  <c r="S80" i="4" s="1"/>
  <c r="S81" i="4" s="1"/>
  <c r="S86" i="4" s="1"/>
  <c r="BR16" i="5"/>
  <c r="BS16" i="5" s="1"/>
  <c r="BN19" i="5"/>
  <c r="BN20" i="5" s="1"/>
  <c r="BN26" i="5" s="1"/>
  <c r="Q19" i="5"/>
  <c r="Q20" i="5" s="1"/>
  <c r="Q26" i="5" s="1"/>
  <c r="T16" i="5"/>
  <c r="U16" i="5" s="1"/>
  <c r="AU19" i="5"/>
  <c r="AU20" i="5" s="1"/>
  <c r="AU28" i="5" s="1"/>
  <c r="AX17" i="5"/>
  <c r="AY17" i="5" s="1"/>
  <c r="AX15" i="5"/>
  <c r="AY15" i="5" s="1"/>
  <c r="X78" i="4"/>
  <c r="Y78" i="4" s="1"/>
  <c r="T15" i="5"/>
  <c r="U15" i="5" s="1"/>
  <c r="AD15" i="5"/>
  <c r="AE15" i="5" s="1"/>
  <c r="BR15" i="5"/>
  <c r="BS15" i="5" s="1"/>
  <c r="BO19" i="5"/>
  <c r="BO20" i="5" s="1"/>
  <c r="BO25" i="5" s="1"/>
  <c r="BH16" i="5"/>
  <c r="BI16" i="5" s="1"/>
  <c r="AD16" i="5"/>
  <c r="AE16" i="5" s="1"/>
  <c r="BH17" i="5"/>
  <c r="BI17" i="5" s="1"/>
  <c r="AV19" i="5"/>
  <c r="AV20" i="5" s="1"/>
  <c r="BP19" i="5"/>
  <c r="BP20" i="5" s="1"/>
  <c r="BP27" i="5" s="1"/>
  <c r="BH15" i="5"/>
  <c r="BI15" i="5" s="1"/>
  <c r="BC19" i="5"/>
  <c r="BC20" i="5" s="1"/>
  <c r="BC26" i="5" s="1"/>
  <c r="H28" i="5"/>
  <c r="AL19" i="5"/>
  <c r="AL20" i="5" s="1"/>
  <c r="AL25" i="5" s="1"/>
  <c r="G27" i="5"/>
  <c r="G25" i="5"/>
  <c r="G28" i="5"/>
  <c r="G26" i="5"/>
  <c r="AN15" i="5"/>
  <c r="AO15" i="5" s="1"/>
  <c r="AX16" i="5"/>
  <c r="AY16" i="5" s="1"/>
  <c r="BN27" i="5"/>
  <c r="T17" i="5"/>
  <c r="U17" i="5" s="1"/>
  <c r="E28" i="5"/>
  <c r="E26" i="5"/>
  <c r="E25" i="5"/>
  <c r="BD19" i="5"/>
  <c r="BD20" i="5" s="1"/>
  <c r="BD27" i="5" s="1"/>
  <c r="AS19" i="5"/>
  <c r="AS20" i="5" s="1"/>
  <c r="AS27" i="5" s="1"/>
  <c r="AX14" i="5"/>
  <c r="AY14" i="5" s="1"/>
  <c r="AD17" i="5"/>
  <c r="AE17" i="5" s="1"/>
  <c r="E27" i="5"/>
  <c r="AD14" i="5"/>
  <c r="AE14" i="5" s="1"/>
  <c r="Y19" i="5"/>
  <c r="Y20" i="5" s="1"/>
  <c r="BH14" i="5"/>
  <c r="BI14" i="5" s="1"/>
  <c r="AI19" i="5"/>
  <c r="AI20" i="5" s="1"/>
  <c r="AN14" i="5"/>
  <c r="AO14" i="5" s="1"/>
  <c r="T14" i="5"/>
  <c r="U14" i="5" s="1"/>
  <c r="BR14" i="5"/>
  <c r="BS14" i="5" s="1"/>
  <c r="BM19" i="5"/>
  <c r="BM20" i="5" s="1"/>
  <c r="AK19" i="5"/>
  <c r="AK20" i="5" s="1"/>
  <c r="AK28" i="5" s="1"/>
  <c r="AK25" i="5"/>
  <c r="AB19" i="5"/>
  <c r="AB20" i="5" s="1"/>
  <c r="AB27" i="5" s="1"/>
  <c r="P19" i="5"/>
  <c r="P20" i="5" s="1"/>
  <c r="P25" i="5" s="1"/>
  <c r="AJ19" i="5"/>
  <c r="AJ20" i="5" s="1"/>
  <c r="AJ26" i="5" s="1"/>
  <c r="BR17" i="5"/>
  <c r="BS17" i="5" s="1"/>
  <c r="H25" i="5"/>
  <c r="H26" i="5"/>
  <c r="Z19" i="5"/>
  <c r="Z20" i="5" s="1"/>
  <c r="Z25" i="5" s="1"/>
  <c r="BE19" i="5"/>
  <c r="BE20" i="5" s="1"/>
  <c r="BE25" i="5" s="1"/>
  <c r="AN17" i="5"/>
  <c r="AO17" i="5" s="1"/>
  <c r="BF19" i="5"/>
  <c r="BF20" i="5" s="1"/>
  <c r="BF27" i="5" s="1"/>
  <c r="BF25" i="5"/>
  <c r="R19" i="5"/>
  <c r="R20" i="5" s="1"/>
  <c r="O19" i="5"/>
  <c r="O20" i="5" s="1"/>
  <c r="AT19" i="5"/>
  <c r="AT20" i="5" s="1"/>
  <c r="AT27" i="5" s="1"/>
  <c r="F27" i="5"/>
  <c r="F25" i="5"/>
  <c r="F26" i="5"/>
  <c r="AA19" i="5"/>
  <c r="AA20" i="5" s="1"/>
  <c r="AA25" i="5" s="1"/>
  <c r="S94" i="5"/>
  <c r="S105" i="5" s="1"/>
  <c r="S116" i="5" s="1"/>
  <c r="I114" i="5"/>
  <c r="X77" i="4"/>
  <c r="Y77" i="4" s="1"/>
  <c r="BN28" i="5" l="1"/>
  <c r="X76" i="4"/>
  <c r="Y76" i="4" s="1"/>
  <c r="X75" i="4"/>
  <c r="Y75" i="4" s="1"/>
  <c r="V80" i="4"/>
  <c r="V81" i="4" s="1"/>
  <c r="AU25" i="5"/>
  <c r="AU26" i="5"/>
  <c r="Q27" i="5"/>
  <c r="AU27" i="5"/>
  <c r="AU30" i="5" s="1"/>
  <c r="AU31" i="5" s="1"/>
  <c r="BN25" i="5"/>
  <c r="BN30" i="5" s="1"/>
  <c r="BN31" i="5" s="1"/>
  <c r="Q25" i="5"/>
  <c r="V89" i="4"/>
  <c r="V87" i="4"/>
  <c r="Q28" i="5"/>
  <c r="AA27" i="5"/>
  <c r="AA26" i="5"/>
  <c r="BE28" i="5"/>
  <c r="BF26" i="5"/>
  <c r="BO28" i="5"/>
  <c r="BO26" i="5"/>
  <c r="BF28" i="5"/>
  <c r="BF30" i="5" s="1"/>
  <c r="BF31" i="5" s="1"/>
  <c r="BO27" i="5"/>
  <c r="J27" i="5"/>
  <c r="K27" i="5" s="1"/>
  <c r="H38" i="5" s="1"/>
  <c r="AA28" i="5"/>
  <c r="AT25" i="5"/>
  <c r="BD28" i="5"/>
  <c r="O27" i="5"/>
  <c r="O26" i="5"/>
  <c r="J28" i="5"/>
  <c r="K28" i="5" s="1"/>
  <c r="Z26" i="5"/>
  <c r="G30" i="5"/>
  <c r="G31" i="5" s="1"/>
  <c r="Y25" i="5"/>
  <c r="Y27" i="5"/>
  <c r="Y26" i="5"/>
  <c r="AK26" i="5"/>
  <c r="AK27" i="5"/>
  <c r="AV25" i="5"/>
  <c r="AV28" i="5"/>
  <c r="AV26" i="5"/>
  <c r="R26" i="5"/>
  <c r="R27" i="5"/>
  <c r="BM26" i="5"/>
  <c r="BM28" i="5"/>
  <c r="BM27" i="5"/>
  <c r="BM25" i="5"/>
  <c r="Y28" i="5"/>
  <c r="P26" i="5"/>
  <c r="P27" i="5"/>
  <c r="AL27" i="5"/>
  <c r="AL26" i="5"/>
  <c r="AL28" i="5"/>
  <c r="O28" i="5"/>
  <c r="P28" i="5"/>
  <c r="AS25" i="5"/>
  <c r="AS28" i="5"/>
  <c r="AS26" i="5"/>
  <c r="R28" i="5"/>
  <c r="BD26" i="5"/>
  <c r="F30" i="5"/>
  <c r="F31" i="5" s="1"/>
  <c r="R25" i="5"/>
  <c r="AT28" i="5"/>
  <c r="AT26" i="5"/>
  <c r="BP28" i="5"/>
  <c r="Z28" i="5"/>
  <c r="BD25" i="5"/>
  <c r="AB26" i="5"/>
  <c r="H30" i="5"/>
  <c r="H31" i="5" s="1"/>
  <c r="O25" i="5"/>
  <c r="AB25" i="5"/>
  <c r="BP26" i="5"/>
  <c r="BC25" i="5"/>
  <c r="BC28" i="5"/>
  <c r="BC27" i="5"/>
  <c r="AV27" i="5"/>
  <c r="BE27" i="5"/>
  <c r="BE26" i="5"/>
  <c r="AI26" i="5"/>
  <c r="AI25" i="5"/>
  <c r="AI27" i="5"/>
  <c r="AI28" i="5"/>
  <c r="J25" i="5"/>
  <c r="K25" i="5" s="1"/>
  <c r="E30" i="5"/>
  <c r="E31" i="5" s="1"/>
  <c r="AJ25" i="5"/>
  <c r="AJ28" i="5"/>
  <c r="AJ27" i="5"/>
  <c r="Z27" i="5"/>
  <c r="J26" i="5"/>
  <c r="K26" i="5" s="1"/>
  <c r="H37" i="5" s="1"/>
  <c r="BP25" i="5"/>
  <c r="AB28" i="5"/>
  <c r="U86" i="4"/>
  <c r="U87" i="4"/>
  <c r="U89" i="4"/>
  <c r="T89" i="4"/>
  <c r="T88" i="4"/>
  <c r="T87" i="4"/>
  <c r="S89" i="4"/>
  <c r="S88" i="4"/>
  <c r="S87" i="4"/>
  <c r="U88" i="4"/>
  <c r="Q30" i="5" l="1"/>
  <c r="Q31" i="5" s="1"/>
  <c r="BR27" i="5"/>
  <c r="BS27" i="5" s="1"/>
  <c r="BO38" i="5" s="1"/>
  <c r="E38" i="5"/>
  <c r="AX27" i="5"/>
  <c r="AY27" i="5" s="1"/>
  <c r="V88" i="4"/>
  <c r="X88" i="4" s="1"/>
  <c r="Y88" i="4" s="1"/>
  <c r="T99" i="4" s="1"/>
  <c r="V86" i="4"/>
  <c r="V91" i="4" s="1"/>
  <c r="V92" i="4" s="1"/>
  <c r="AA30" i="5"/>
  <c r="AA31" i="5" s="1"/>
  <c r="BE30" i="5"/>
  <c r="BE31" i="5" s="1"/>
  <c r="F38" i="5"/>
  <c r="AD26" i="5"/>
  <c r="AE26" i="5" s="1"/>
  <c r="AB37" i="5" s="1"/>
  <c r="AL30" i="5"/>
  <c r="AL31" i="5" s="1"/>
  <c r="BO30" i="5"/>
  <c r="BO31" i="5" s="1"/>
  <c r="AK30" i="5"/>
  <c r="AK31" i="5" s="1"/>
  <c r="AN26" i="5"/>
  <c r="AO26" i="5" s="1"/>
  <c r="AK37" i="5" s="1"/>
  <c r="AN28" i="5"/>
  <c r="AO28" i="5" s="1"/>
  <c r="AL39" i="5" s="1"/>
  <c r="Z30" i="5"/>
  <c r="Z31" i="5" s="1"/>
  <c r="AD27" i="5"/>
  <c r="AE27" i="5" s="1"/>
  <c r="AA38" i="5" s="1"/>
  <c r="BH28" i="5"/>
  <c r="BI28" i="5" s="1"/>
  <c r="G38" i="5"/>
  <c r="Y30" i="5"/>
  <c r="Y31" i="5" s="1"/>
  <c r="AD25" i="5"/>
  <c r="AE25" i="5" s="1"/>
  <c r="AB30" i="5"/>
  <c r="AB31" i="5" s="1"/>
  <c r="AB36" i="5"/>
  <c r="T28" i="5"/>
  <c r="U28" i="5" s="1"/>
  <c r="R39" i="5" s="1"/>
  <c r="BR26" i="5"/>
  <c r="BS26" i="5" s="1"/>
  <c r="AN27" i="5"/>
  <c r="AO27" i="5" s="1"/>
  <c r="AI38" i="5" s="1"/>
  <c r="R30" i="5"/>
  <c r="R31" i="5" s="1"/>
  <c r="E39" i="5"/>
  <c r="F39" i="5"/>
  <c r="H39" i="5"/>
  <c r="G39" i="5"/>
  <c r="BP30" i="5"/>
  <c r="BP31" i="5" s="1"/>
  <c r="G37" i="5"/>
  <c r="E37" i="5"/>
  <c r="P30" i="5"/>
  <c r="P31" i="5" s="1"/>
  <c r="F37" i="5"/>
  <c r="BR25" i="5"/>
  <c r="BS25" i="5" s="1"/>
  <c r="BM30" i="5"/>
  <c r="BM31" i="5" s="1"/>
  <c r="AJ30" i="5"/>
  <c r="AJ31" i="5" s="1"/>
  <c r="AT30" i="5"/>
  <c r="AT31" i="5" s="1"/>
  <c r="T26" i="5"/>
  <c r="U26" i="5" s="1"/>
  <c r="BH25" i="5"/>
  <c r="BI25" i="5" s="1"/>
  <c r="BD36" i="5" s="1"/>
  <c r="BC30" i="5"/>
  <c r="BC31" i="5" s="1"/>
  <c r="AV38" i="5"/>
  <c r="AW124" i="5" s="1"/>
  <c r="AS38" i="5"/>
  <c r="AU38" i="5"/>
  <c r="AV124" i="5" s="1"/>
  <c r="BM38" i="5"/>
  <c r="AV30" i="5"/>
  <c r="AV31" i="5" s="1"/>
  <c r="AX26" i="5"/>
  <c r="AY26" i="5" s="1"/>
  <c r="AT37" i="5" s="1"/>
  <c r="AU123" i="5" s="1"/>
  <c r="T27" i="5"/>
  <c r="U27" i="5" s="1"/>
  <c r="O38" i="5" s="1"/>
  <c r="BN38" i="5"/>
  <c r="BP38" i="5"/>
  <c r="BH27" i="5"/>
  <c r="BI27" i="5" s="1"/>
  <c r="BC38" i="5" s="1"/>
  <c r="BH26" i="5"/>
  <c r="BI26" i="5" s="1"/>
  <c r="BE37" i="5" s="1"/>
  <c r="AX28" i="5"/>
  <c r="AY28" i="5" s="1"/>
  <c r="AV39" i="5" s="1"/>
  <c r="AW125" i="5" s="1"/>
  <c r="AN25" i="5"/>
  <c r="AO25" i="5" s="1"/>
  <c r="AJ36" i="5" s="1"/>
  <c r="AI30" i="5"/>
  <c r="AI31" i="5" s="1"/>
  <c r="BR28" i="5"/>
  <c r="BS28" i="5" s="1"/>
  <c r="T25" i="5"/>
  <c r="U25" i="5" s="1"/>
  <c r="R36" i="5" s="1"/>
  <c r="O30" i="5"/>
  <c r="O31" i="5" s="1"/>
  <c r="G36" i="5"/>
  <c r="E36" i="5"/>
  <c r="F36" i="5"/>
  <c r="H36" i="5"/>
  <c r="BD30" i="5"/>
  <c r="BD31" i="5" s="1"/>
  <c r="AX25" i="5"/>
  <c r="AY25" i="5" s="1"/>
  <c r="AV36" i="5" s="1"/>
  <c r="AS30" i="5"/>
  <c r="AS31" i="5" s="1"/>
  <c r="AD28" i="5"/>
  <c r="AE28" i="5" s="1"/>
  <c r="AT38" i="5"/>
  <c r="AU124" i="5" s="1"/>
  <c r="X89" i="4"/>
  <c r="Y89" i="4" s="1"/>
  <c r="S100" i="4" s="1"/>
  <c r="S91" i="4"/>
  <c r="S92" i="4" s="1"/>
  <c r="U91" i="4"/>
  <c r="U92" i="4" s="1"/>
  <c r="X87" i="4"/>
  <c r="Y87" i="4" s="1"/>
  <c r="S98" i="4" s="1"/>
  <c r="T91" i="4"/>
  <c r="T92" i="4" s="1"/>
  <c r="H41" i="5" l="1"/>
  <c r="H42" i="5" s="1"/>
  <c r="H47" i="5" s="1"/>
  <c r="X86" i="4"/>
  <c r="Y86" i="4" s="1"/>
  <c r="Z37" i="5"/>
  <c r="J38" i="5"/>
  <c r="K38" i="5" s="1"/>
  <c r="AL37" i="5"/>
  <c r="BR38" i="5"/>
  <c r="BS38" i="5" s="1"/>
  <c r="Y37" i="5"/>
  <c r="S99" i="4"/>
  <c r="Z38" i="5"/>
  <c r="AJ37" i="5"/>
  <c r="U100" i="4"/>
  <c r="O36" i="5"/>
  <c r="AI37" i="5"/>
  <c r="AA37" i="5"/>
  <c r="P39" i="5"/>
  <c r="AK39" i="5"/>
  <c r="AI39" i="5"/>
  <c r="F41" i="5"/>
  <c r="F42" i="5" s="1"/>
  <c r="F47" i="5" s="1"/>
  <c r="Y38" i="5"/>
  <c r="J37" i="5"/>
  <c r="K37" i="5" s="1"/>
  <c r="BC39" i="5"/>
  <c r="BD39" i="5"/>
  <c r="BE39" i="5"/>
  <c r="BF39" i="5"/>
  <c r="AB38" i="5"/>
  <c r="AJ39" i="5"/>
  <c r="O37" i="5"/>
  <c r="Q37" i="5"/>
  <c r="R37" i="5"/>
  <c r="P38" i="5"/>
  <c r="Q38" i="5"/>
  <c r="AW122" i="5"/>
  <c r="BO39" i="5"/>
  <c r="BN39" i="5"/>
  <c r="AS39" i="5"/>
  <c r="AU39" i="5"/>
  <c r="AV125" i="5" s="1"/>
  <c r="AL38" i="5"/>
  <c r="AK38" i="5"/>
  <c r="BF37" i="5"/>
  <c r="BC37" i="5"/>
  <c r="AT39" i="5"/>
  <c r="AU125" i="5" s="1"/>
  <c r="BO37" i="5"/>
  <c r="BN37" i="5"/>
  <c r="G41" i="5"/>
  <c r="G42" i="5" s="1"/>
  <c r="G50" i="5" s="1"/>
  <c r="O39" i="5"/>
  <c r="Q39" i="5"/>
  <c r="BP39" i="5"/>
  <c r="P37" i="5"/>
  <c r="AS136" i="5"/>
  <c r="AS158" i="5"/>
  <c r="AS147" i="5"/>
  <c r="BE38" i="5"/>
  <c r="BD38" i="5"/>
  <c r="BF38" i="5"/>
  <c r="AT124" i="5"/>
  <c r="AX38" i="5"/>
  <c r="AY38" i="5" s="1"/>
  <c r="BP36" i="5"/>
  <c r="BN36" i="5"/>
  <c r="BO36" i="5"/>
  <c r="BM36" i="5"/>
  <c r="AJ38" i="5"/>
  <c r="AS37" i="5"/>
  <c r="AU37" i="5"/>
  <c r="AV123" i="5" s="1"/>
  <c r="AT158" i="5"/>
  <c r="AT147" i="5"/>
  <c r="AT136" i="5"/>
  <c r="Y39" i="5"/>
  <c r="AA39" i="5"/>
  <c r="AU136" i="5"/>
  <c r="AU147" i="5"/>
  <c r="AU158" i="5"/>
  <c r="AB39" i="5"/>
  <c r="P36" i="5"/>
  <c r="Q36" i="5"/>
  <c r="BM37" i="5"/>
  <c r="AV37" i="5"/>
  <c r="AW123" i="5" s="1"/>
  <c r="J39" i="5"/>
  <c r="K39" i="5" s="1"/>
  <c r="Z36" i="5"/>
  <c r="AA36" i="5"/>
  <c r="BP37" i="5"/>
  <c r="AU159" i="5"/>
  <c r="AU148" i="5"/>
  <c r="AU137" i="5"/>
  <c r="AK36" i="5"/>
  <c r="AL36" i="5"/>
  <c r="AS157" i="5"/>
  <c r="AS146" i="5"/>
  <c r="AS135" i="5"/>
  <c r="E41" i="5"/>
  <c r="E42" i="5" s="1"/>
  <c r="E48" i="5" s="1"/>
  <c r="J36" i="5"/>
  <c r="K36" i="5" s="1"/>
  <c r="AI36" i="5"/>
  <c r="AS36" i="5"/>
  <c r="AU36" i="5"/>
  <c r="AT36" i="5"/>
  <c r="BM39" i="5"/>
  <c r="BC36" i="5"/>
  <c r="BE36" i="5"/>
  <c r="BF36" i="5"/>
  <c r="BD37" i="5"/>
  <c r="R38" i="5"/>
  <c r="Y36" i="5"/>
  <c r="Z39" i="5"/>
  <c r="V98" i="4"/>
  <c r="V100" i="4"/>
  <c r="V97" i="4"/>
  <c r="T97" i="4"/>
  <c r="S97" i="4"/>
  <c r="U97" i="4"/>
  <c r="T100" i="4"/>
  <c r="T98" i="4"/>
  <c r="U99" i="4"/>
  <c r="U98" i="4"/>
  <c r="V99" i="4"/>
  <c r="H48" i="5" l="1"/>
  <c r="H49" i="5"/>
  <c r="H50" i="5"/>
  <c r="R41" i="5"/>
  <c r="R42" i="5" s="1"/>
  <c r="R49" i="5" s="1"/>
  <c r="AD37" i="5"/>
  <c r="AE37" i="5" s="1"/>
  <c r="AN37" i="5"/>
  <c r="AO37" i="5" s="1"/>
  <c r="AA41" i="5"/>
  <c r="AA42" i="5" s="1"/>
  <c r="AA48" i="5" s="1"/>
  <c r="AB123" i="5" s="1"/>
  <c r="AJ41" i="5"/>
  <c r="AJ42" i="5" s="1"/>
  <c r="AJ50" i="5" s="1"/>
  <c r="F50" i="5"/>
  <c r="AN39" i="5"/>
  <c r="AO39" i="5" s="1"/>
  <c r="F49" i="5"/>
  <c r="AA50" i="5"/>
  <c r="AB125" i="5" s="1"/>
  <c r="AL41" i="5"/>
  <c r="AL42" i="5" s="1"/>
  <c r="AL47" i="5" s="1"/>
  <c r="AD38" i="5"/>
  <c r="AE38" i="5" s="1"/>
  <c r="BP41" i="5"/>
  <c r="BP42" i="5" s="1"/>
  <c r="BP50" i="5" s="1"/>
  <c r="BD41" i="5"/>
  <c r="BD42" i="5" s="1"/>
  <c r="BD48" i="5" s="1"/>
  <c r="BF41" i="5"/>
  <c r="BF42" i="5" s="1"/>
  <c r="BF50" i="5" s="1"/>
  <c r="BR37" i="5"/>
  <c r="BS37" i="5" s="1"/>
  <c r="AA49" i="5"/>
  <c r="AB124" i="5" s="1"/>
  <c r="Z147" i="5" s="1"/>
  <c r="H52" i="5"/>
  <c r="H53" i="5" s="1"/>
  <c r="F48" i="5"/>
  <c r="AV41" i="5"/>
  <c r="AV42" i="5" s="1"/>
  <c r="BH39" i="5"/>
  <c r="BI39" i="5" s="1"/>
  <c r="T38" i="5"/>
  <c r="U38" i="5" s="1"/>
  <c r="BH38" i="5"/>
  <c r="BI38" i="5" s="1"/>
  <c r="AB41" i="5"/>
  <c r="AB42" i="5" s="1"/>
  <c r="AB47" i="5" s="1"/>
  <c r="BH37" i="5"/>
  <c r="BI37" i="5" s="1"/>
  <c r="Q41" i="5"/>
  <c r="Q42" i="5" s="1"/>
  <c r="Q50" i="5" s="1"/>
  <c r="P41" i="5"/>
  <c r="P42" i="5" s="1"/>
  <c r="P50" i="5" s="1"/>
  <c r="Q48" i="5"/>
  <c r="AR136" i="5"/>
  <c r="AR158" i="5"/>
  <c r="AR147" i="5"/>
  <c r="T37" i="5"/>
  <c r="U37" i="5" s="1"/>
  <c r="AT123" i="5"/>
  <c r="AX37" i="5"/>
  <c r="AY37" i="5" s="1"/>
  <c r="G47" i="5"/>
  <c r="G49" i="5"/>
  <c r="AT125" i="5"/>
  <c r="AX39" i="5"/>
  <c r="AY39" i="5" s="1"/>
  <c r="AN38" i="5"/>
  <c r="AO38" i="5" s="1"/>
  <c r="AK41" i="5"/>
  <c r="AK42" i="5" s="1"/>
  <c r="BR39" i="5"/>
  <c r="BS39" i="5" s="1"/>
  <c r="R47" i="5"/>
  <c r="T36" i="5"/>
  <c r="U36" i="5" s="1"/>
  <c r="G48" i="5"/>
  <c r="AJ48" i="5"/>
  <c r="T39" i="5"/>
  <c r="U39" i="5" s="1"/>
  <c r="BH36" i="5"/>
  <c r="BI36" i="5" s="1"/>
  <c r="BC41" i="5"/>
  <c r="BC42" i="5" s="1"/>
  <c r="BC47" i="5" s="1"/>
  <c r="AT146" i="5"/>
  <c r="AT157" i="5"/>
  <c r="AT135" i="5"/>
  <c r="AT41" i="5"/>
  <c r="AT42" i="5" s="1"/>
  <c r="AU122" i="5"/>
  <c r="O41" i="5"/>
  <c r="O42" i="5" s="1"/>
  <c r="O48" i="5" s="1"/>
  <c r="AJ47" i="5"/>
  <c r="R48" i="5"/>
  <c r="AT148" i="5"/>
  <c r="AT159" i="5"/>
  <c r="AT137" i="5"/>
  <c r="AV122" i="5"/>
  <c r="AU41" i="5"/>
  <c r="AU42" i="5" s="1"/>
  <c r="Z41" i="5"/>
  <c r="Z42" i="5" s="1"/>
  <c r="Z50" i="5" s="1"/>
  <c r="AA125" i="5" s="1"/>
  <c r="BR36" i="5"/>
  <c r="BS36" i="5" s="1"/>
  <c r="BM41" i="5"/>
  <c r="BM42" i="5" s="1"/>
  <c r="BM48" i="5" s="1"/>
  <c r="AU156" i="5"/>
  <c r="AU145" i="5"/>
  <c r="AU134" i="5"/>
  <c r="AT122" i="5"/>
  <c r="AS41" i="5"/>
  <c r="AS42" i="5" s="1"/>
  <c r="AX36" i="5"/>
  <c r="AY36" i="5" s="1"/>
  <c r="AI41" i="5"/>
  <c r="AI42" i="5" s="1"/>
  <c r="AN36" i="5"/>
  <c r="AO36" i="5" s="1"/>
  <c r="AD36" i="5"/>
  <c r="AE36" i="5" s="1"/>
  <c r="Y41" i="5"/>
  <c r="Y42" i="5" s="1"/>
  <c r="E47" i="5"/>
  <c r="E50" i="5"/>
  <c r="E49" i="5"/>
  <c r="BO41" i="5"/>
  <c r="BO42" i="5" s="1"/>
  <c r="R50" i="5"/>
  <c r="BE41" i="5"/>
  <c r="BE42" i="5" s="1"/>
  <c r="BE49" i="5" s="1"/>
  <c r="AU146" i="5"/>
  <c r="AU135" i="5"/>
  <c r="AU157" i="5"/>
  <c r="AD39" i="5"/>
  <c r="AE39" i="5" s="1"/>
  <c r="BN41" i="5"/>
  <c r="BN42" i="5" s="1"/>
  <c r="AS148" i="5"/>
  <c r="AS159" i="5"/>
  <c r="AS137" i="5"/>
  <c r="Z158" i="5"/>
  <c r="Z136" i="5"/>
  <c r="X99" i="4"/>
  <c r="Y99" i="4" s="1"/>
  <c r="X98" i="4"/>
  <c r="Y98" i="4" s="1"/>
  <c r="U102" i="4"/>
  <c r="U103" i="4" s="1"/>
  <c r="T102" i="4"/>
  <c r="T103" i="4" s="1"/>
  <c r="X100" i="4"/>
  <c r="Y100" i="4" s="1"/>
  <c r="S106" i="4"/>
  <c r="X38" i="4" s="1"/>
  <c r="S102" i="4"/>
  <c r="S103" i="4" s="1"/>
  <c r="X97" i="4"/>
  <c r="Y97" i="4" s="1"/>
  <c r="V102" i="4"/>
  <c r="V103" i="4" s="1"/>
  <c r="AA47" i="5" l="1"/>
  <c r="AB122" i="5" s="1"/>
  <c r="AJ49" i="5"/>
  <c r="AL49" i="5"/>
  <c r="AL50" i="5"/>
  <c r="AB50" i="5"/>
  <c r="AC125" i="5" s="1"/>
  <c r="AA159" i="5" s="1"/>
  <c r="J49" i="5"/>
  <c r="K49" i="5" s="1"/>
  <c r="G60" i="5" s="1"/>
  <c r="BP47" i="5"/>
  <c r="BF48" i="5"/>
  <c r="BP49" i="5"/>
  <c r="F52" i="5"/>
  <c r="F53" i="5" s="1"/>
  <c r="AA52" i="5"/>
  <c r="AA53" i="5" s="1"/>
  <c r="R52" i="5"/>
  <c r="R53" i="5" s="1"/>
  <c r="AL48" i="5"/>
  <c r="BE47" i="5"/>
  <c r="AB48" i="5"/>
  <c r="AC123" i="5" s="1"/>
  <c r="AA135" i="5" s="1"/>
  <c r="BD47" i="5"/>
  <c r="BD50" i="5"/>
  <c r="BD49" i="5"/>
  <c r="J48" i="5"/>
  <c r="K48" i="5" s="1"/>
  <c r="H59" i="5" s="1"/>
  <c r="BF47" i="5"/>
  <c r="BP48" i="5"/>
  <c r="BC48" i="5"/>
  <c r="P47" i="5"/>
  <c r="AA148" i="5"/>
  <c r="Q47" i="5"/>
  <c r="O50" i="5"/>
  <c r="BF49" i="5"/>
  <c r="AJ52" i="5"/>
  <c r="AJ53" i="5" s="1"/>
  <c r="AC122" i="5"/>
  <c r="F60" i="5"/>
  <c r="AA137" i="5"/>
  <c r="P48" i="5"/>
  <c r="T48" i="5" s="1"/>
  <c r="U48" i="5" s="1"/>
  <c r="R59" i="5" s="1"/>
  <c r="AB49" i="5"/>
  <c r="AC124" i="5" s="1"/>
  <c r="Q49" i="5"/>
  <c r="AI50" i="5"/>
  <c r="AI48" i="5"/>
  <c r="AI49" i="5"/>
  <c r="AI47" i="5"/>
  <c r="AT156" i="5"/>
  <c r="AT145" i="5"/>
  <c r="AT134" i="5"/>
  <c r="AK48" i="5"/>
  <c r="AK50" i="5"/>
  <c r="AK47" i="5"/>
  <c r="BO48" i="5"/>
  <c r="BO47" i="5"/>
  <c r="BO49" i="5"/>
  <c r="BO50" i="5"/>
  <c r="BC49" i="5"/>
  <c r="BC50" i="5"/>
  <c r="AK49" i="5"/>
  <c r="AR145" i="5"/>
  <c r="AR156" i="5"/>
  <c r="AR134" i="5"/>
  <c r="AR137" i="5"/>
  <c r="AR159" i="5"/>
  <c r="AR148" i="5"/>
  <c r="J50" i="5"/>
  <c r="K50" i="5" s="1"/>
  <c r="E61" i="5" s="1"/>
  <c r="J47" i="5"/>
  <c r="K47" i="5" s="1"/>
  <c r="E58" i="5" s="1"/>
  <c r="E52" i="5"/>
  <c r="E53" i="5" s="1"/>
  <c r="G52" i="5"/>
  <c r="G53" i="5" s="1"/>
  <c r="Y49" i="5"/>
  <c r="Y47" i="5"/>
  <c r="Y48" i="5"/>
  <c r="Y50" i="5"/>
  <c r="BM47" i="5"/>
  <c r="BM49" i="5"/>
  <c r="O49" i="5"/>
  <c r="O47" i="5"/>
  <c r="BN50" i="5"/>
  <c r="BN49" i="5"/>
  <c r="BN48" i="5"/>
  <c r="BN47" i="5"/>
  <c r="P49" i="5"/>
  <c r="BM50" i="5"/>
  <c r="Z47" i="5"/>
  <c r="Z48" i="5"/>
  <c r="AA123" i="5" s="1"/>
  <c r="Z49" i="5"/>
  <c r="AA124" i="5" s="1"/>
  <c r="AS156" i="5"/>
  <c r="AS134" i="5"/>
  <c r="AS145" i="5"/>
  <c r="AR146" i="5"/>
  <c r="AR157" i="5"/>
  <c r="AR135" i="5"/>
  <c r="BE50" i="5"/>
  <c r="BE48" i="5"/>
  <c r="Z137" i="5"/>
  <c r="Z148" i="5"/>
  <c r="Z159" i="5"/>
  <c r="Z146" i="5"/>
  <c r="Z135" i="5"/>
  <c r="Z157" i="5"/>
  <c r="Z134" i="5"/>
  <c r="Z145" i="5"/>
  <c r="Z156" i="5"/>
  <c r="Y137" i="5"/>
  <c r="Y148" i="5"/>
  <c r="Y159" i="5"/>
  <c r="H60" i="5" l="1"/>
  <c r="AL52" i="5"/>
  <c r="AL53" i="5" s="1"/>
  <c r="BP52" i="5"/>
  <c r="BP53" i="5" s="1"/>
  <c r="G59" i="5"/>
  <c r="E59" i="5"/>
  <c r="E60" i="5"/>
  <c r="J60" i="5" s="1"/>
  <c r="K60" i="5" s="1"/>
  <c r="F59" i="5"/>
  <c r="J59" i="5" s="1"/>
  <c r="K59" i="5" s="1"/>
  <c r="BF52" i="5"/>
  <c r="BF53" i="5" s="1"/>
  <c r="BH47" i="5"/>
  <c r="BI47" i="5" s="1"/>
  <c r="BF58" i="5" s="1"/>
  <c r="AA157" i="5"/>
  <c r="AA146" i="5"/>
  <c r="Q52" i="5"/>
  <c r="Q53" i="5" s="1"/>
  <c r="BE52" i="5"/>
  <c r="BE53" i="5" s="1"/>
  <c r="BD52" i="5"/>
  <c r="BD53" i="5" s="1"/>
  <c r="T50" i="5"/>
  <c r="U50" i="5" s="1"/>
  <c r="Q61" i="5" s="1"/>
  <c r="P52" i="5"/>
  <c r="P53" i="5" s="1"/>
  <c r="BC52" i="5"/>
  <c r="BC53" i="5" s="1"/>
  <c r="BR50" i="5"/>
  <c r="BS50" i="5" s="1"/>
  <c r="BO61" i="5" s="1"/>
  <c r="BP125" i="5" s="1"/>
  <c r="BN148" i="5" s="1"/>
  <c r="BR48" i="5"/>
  <c r="BS48" i="5" s="1"/>
  <c r="BO59" i="5" s="1"/>
  <c r="BP123" i="5" s="1"/>
  <c r="AA136" i="5"/>
  <c r="AA158" i="5"/>
  <c r="AA147" i="5"/>
  <c r="AK52" i="5"/>
  <c r="AK53" i="5" s="1"/>
  <c r="AB52" i="5"/>
  <c r="AB53" i="5" s="1"/>
  <c r="AN49" i="5"/>
  <c r="AO49" i="5" s="1"/>
  <c r="AJ60" i="5" s="1"/>
  <c r="AK124" i="5" s="1"/>
  <c r="AI147" i="5" s="1"/>
  <c r="C56" i="7" s="1"/>
  <c r="AN48" i="5"/>
  <c r="AO48" i="5" s="1"/>
  <c r="AI59" i="5" s="1"/>
  <c r="AJ123" i="5" s="1"/>
  <c r="AH157" i="5" s="1"/>
  <c r="B45" i="8" s="1"/>
  <c r="AA145" i="5"/>
  <c r="AA134" i="5"/>
  <c r="AA156" i="5"/>
  <c r="T47" i="5"/>
  <c r="U47" i="5" s="1"/>
  <c r="O52" i="5"/>
  <c r="O53" i="5" s="1"/>
  <c r="O58" i="5"/>
  <c r="AN50" i="5"/>
  <c r="AO50" i="5" s="1"/>
  <c r="BE58" i="5"/>
  <c r="BR49" i="5"/>
  <c r="BS49" i="5" s="1"/>
  <c r="G58" i="5"/>
  <c r="F58" i="5"/>
  <c r="H58" i="5"/>
  <c r="BO52" i="5"/>
  <c r="BO53" i="5" s="1"/>
  <c r="T49" i="5"/>
  <c r="U49" i="5" s="1"/>
  <c r="O60" i="5" s="1"/>
  <c r="BR47" i="5"/>
  <c r="BS47" i="5" s="1"/>
  <c r="BO58" i="5" s="1"/>
  <c r="BM52" i="5"/>
  <c r="BM53" i="5" s="1"/>
  <c r="BH48" i="5"/>
  <c r="BI48" i="5" s="1"/>
  <c r="P59" i="5"/>
  <c r="Q59" i="5"/>
  <c r="Y157" i="5"/>
  <c r="Y146" i="5"/>
  <c r="Y135" i="5"/>
  <c r="BN52" i="5"/>
  <c r="BN53" i="5" s="1"/>
  <c r="Z123" i="5"/>
  <c r="AD48" i="5"/>
  <c r="AE48" i="5" s="1"/>
  <c r="Y147" i="5"/>
  <c r="Y136" i="5"/>
  <c r="Y158" i="5"/>
  <c r="AA122" i="5"/>
  <c r="Z52" i="5"/>
  <c r="Z53" i="5" s="1"/>
  <c r="Z125" i="5"/>
  <c r="AD50" i="5"/>
  <c r="AE50" i="5" s="1"/>
  <c r="Z122" i="5"/>
  <c r="Y52" i="5"/>
  <c r="Y53" i="5" s="1"/>
  <c r="AD47" i="5"/>
  <c r="AE47" i="5" s="1"/>
  <c r="G61" i="5"/>
  <c r="F61" i="5"/>
  <c r="H61" i="5"/>
  <c r="BH50" i="5"/>
  <c r="BI50" i="5" s="1"/>
  <c r="BE61" i="5" s="1"/>
  <c r="BF125" i="5" s="1"/>
  <c r="Z124" i="5"/>
  <c r="AD49" i="5"/>
  <c r="AE49" i="5" s="1"/>
  <c r="E63" i="5"/>
  <c r="E64" i="5" s="1"/>
  <c r="BH49" i="5"/>
  <c r="BI49" i="5" s="1"/>
  <c r="BC60" i="5" s="1"/>
  <c r="BC58" i="5"/>
  <c r="O59" i="5"/>
  <c r="AI52" i="5"/>
  <c r="AI53" i="5" s="1"/>
  <c r="AN47" i="5"/>
  <c r="AO47" i="5" s="1"/>
  <c r="BD58" i="5" l="1"/>
  <c r="BH58" i="5" s="1"/>
  <c r="BI58" i="5" s="1"/>
  <c r="O61" i="5"/>
  <c r="R61" i="5"/>
  <c r="P61" i="5"/>
  <c r="BN137" i="5"/>
  <c r="BN159" i="5"/>
  <c r="BN59" i="5"/>
  <c r="BO123" i="5" s="1"/>
  <c r="BM157" i="5" s="1"/>
  <c r="BM61" i="5"/>
  <c r="BN125" i="5" s="1"/>
  <c r="BL159" i="5" s="1"/>
  <c r="BP61" i="5"/>
  <c r="BQ125" i="5" s="1"/>
  <c r="BO159" i="5" s="1"/>
  <c r="BM59" i="5"/>
  <c r="BN123" i="5" s="1"/>
  <c r="AL59" i="5"/>
  <c r="AM123" i="5" s="1"/>
  <c r="AK157" i="5" s="1"/>
  <c r="E45" i="8" s="1"/>
  <c r="AK60" i="5"/>
  <c r="AL124" i="5" s="1"/>
  <c r="AJ158" i="5" s="1"/>
  <c r="D46" i="8" s="1"/>
  <c r="BN61" i="5"/>
  <c r="BO125" i="5" s="1"/>
  <c r="BM159" i="5" s="1"/>
  <c r="BP59" i="5"/>
  <c r="BQ123" i="5" s="1"/>
  <c r="AH135" i="5"/>
  <c r="F26" i="2" s="1"/>
  <c r="AH146" i="5"/>
  <c r="B55" i="7" s="1"/>
  <c r="AL60" i="5"/>
  <c r="AM124" i="5" s="1"/>
  <c r="AK158" i="5" s="1"/>
  <c r="E46" i="8" s="1"/>
  <c r="BN58" i="5"/>
  <c r="BO122" i="5" s="1"/>
  <c r="BM145" i="5" s="1"/>
  <c r="AI60" i="5"/>
  <c r="AJ124" i="5" s="1"/>
  <c r="AH136" i="5" s="1"/>
  <c r="F27" i="2" s="1"/>
  <c r="AK59" i="5"/>
  <c r="AL123" i="5" s="1"/>
  <c r="AJ59" i="5"/>
  <c r="BD159" i="5"/>
  <c r="BD137" i="5"/>
  <c r="BD148" i="5"/>
  <c r="AL61" i="5"/>
  <c r="AM125" i="5" s="1"/>
  <c r="AJ61" i="5"/>
  <c r="AK125" i="5" s="1"/>
  <c r="AI159" i="5" s="1"/>
  <c r="C47" i="8" s="1"/>
  <c r="Y134" i="5"/>
  <c r="Y156" i="5"/>
  <c r="Y145" i="5"/>
  <c r="J61" i="5"/>
  <c r="K61" i="5" s="1"/>
  <c r="P58" i="5"/>
  <c r="Q58" i="5"/>
  <c r="R58" i="5"/>
  <c r="F63" i="5"/>
  <c r="F64" i="5" s="1"/>
  <c r="F72" i="5" s="1"/>
  <c r="H63" i="5"/>
  <c r="H64" i="5" s="1"/>
  <c r="H72" i="5" s="1"/>
  <c r="BF60" i="5"/>
  <c r="BG124" i="5" s="1"/>
  <c r="BD60" i="5"/>
  <c r="BE124" i="5" s="1"/>
  <c r="BE60" i="5"/>
  <c r="BF124" i="5" s="1"/>
  <c r="G63" i="5"/>
  <c r="G64" i="5" s="1"/>
  <c r="G72" i="5" s="1"/>
  <c r="R60" i="5"/>
  <c r="Q60" i="5"/>
  <c r="E69" i="5"/>
  <c r="E70" i="5"/>
  <c r="E72" i="5"/>
  <c r="E71" i="5"/>
  <c r="BO60" i="5"/>
  <c r="BP124" i="5" s="1"/>
  <c r="BN60" i="5"/>
  <c r="BO124" i="5" s="1"/>
  <c r="BP60" i="5"/>
  <c r="BQ124" i="5" s="1"/>
  <c r="BG122" i="5"/>
  <c r="BF59" i="5"/>
  <c r="BG123" i="5" s="1"/>
  <c r="BD59" i="5"/>
  <c r="BE123" i="5" s="1"/>
  <c r="BC59" i="5"/>
  <c r="BM58" i="5"/>
  <c r="BP58" i="5"/>
  <c r="BF122" i="5"/>
  <c r="AK61" i="5"/>
  <c r="AL125" i="5" s="1"/>
  <c r="BP122" i="5"/>
  <c r="X145" i="5"/>
  <c r="X156" i="5"/>
  <c r="X134" i="5"/>
  <c r="AI158" i="5"/>
  <c r="C46" i="8" s="1"/>
  <c r="AI58" i="5"/>
  <c r="AL58" i="5"/>
  <c r="AK58" i="5"/>
  <c r="AJ58" i="5"/>
  <c r="X147" i="5"/>
  <c r="X158" i="5"/>
  <c r="X136" i="5"/>
  <c r="BM60" i="5"/>
  <c r="P60" i="5"/>
  <c r="J58" i="5"/>
  <c r="K58" i="5" s="1"/>
  <c r="BD122" i="5"/>
  <c r="X146" i="5"/>
  <c r="X135" i="5"/>
  <c r="X157" i="5"/>
  <c r="AI136" i="5"/>
  <c r="G27" i="2" s="1"/>
  <c r="BE59" i="5"/>
  <c r="BF123" i="5" s="1"/>
  <c r="BC61" i="5"/>
  <c r="BD61" i="5"/>
  <c r="BE125" i="5" s="1"/>
  <c r="BF61" i="5"/>
  <c r="BG125" i="5" s="1"/>
  <c r="BD124" i="5"/>
  <c r="T59" i="5"/>
  <c r="U59" i="5" s="1"/>
  <c r="X148" i="5"/>
  <c r="X159" i="5"/>
  <c r="X137" i="5"/>
  <c r="AI61" i="5"/>
  <c r="BN146" i="5"/>
  <c r="BN135" i="5"/>
  <c r="BN157" i="5"/>
  <c r="T61" i="5" l="1"/>
  <c r="U61" i="5" s="1"/>
  <c r="O63" i="5"/>
  <c r="O64" i="5" s="1"/>
  <c r="O72" i="5" s="1"/>
  <c r="BE122" i="5"/>
  <c r="BM135" i="5"/>
  <c r="AN59" i="5"/>
  <c r="AO59" i="5" s="1"/>
  <c r="BO148" i="5"/>
  <c r="BO137" i="5"/>
  <c r="BM146" i="5"/>
  <c r="AK135" i="5"/>
  <c r="I26" i="2" s="1"/>
  <c r="AK146" i="5"/>
  <c r="E55" i="7" s="1"/>
  <c r="AJ136" i="5"/>
  <c r="H27" i="2" s="1"/>
  <c r="BL148" i="5"/>
  <c r="AJ147" i="5"/>
  <c r="D56" i="7" s="1"/>
  <c r="BC63" i="5"/>
  <c r="BC64" i="5" s="1"/>
  <c r="BL137" i="5"/>
  <c r="BM137" i="5"/>
  <c r="BM148" i="5"/>
  <c r="AK147" i="5"/>
  <c r="E56" i="7" s="1"/>
  <c r="AK136" i="5"/>
  <c r="I27" i="2" s="1"/>
  <c r="BR59" i="5"/>
  <c r="BS59" i="5" s="1"/>
  <c r="BM134" i="5"/>
  <c r="BO135" i="5"/>
  <c r="BO157" i="5"/>
  <c r="BO146" i="5"/>
  <c r="BM156" i="5"/>
  <c r="T60" i="5"/>
  <c r="U60" i="5" s="1"/>
  <c r="BR61" i="5"/>
  <c r="BS61" i="5" s="1"/>
  <c r="T58" i="5"/>
  <c r="U58" i="5" s="1"/>
  <c r="AJ135" i="5"/>
  <c r="H26" i="2" s="1"/>
  <c r="AJ157" i="5"/>
  <c r="D45" i="8" s="1"/>
  <c r="AJ146" i="5"/>
  <c r="D55" i="7" s="1"/>
  <c r="AK123" i="5"/>
  <c r="AN60" i="5"/>
  <c r="AO60" i="5" s="1"/>
  <c r="AH158" i="5"/>
  <c r="B46" i="8" s="1"/>
  <c r="BO63" i="5"/>
  <c r="BO64" i="5" s="1"/>
  <c r="AH147" i="5"/>
  <c r="B56" i="7" s="1"/>
  <c r="BN63" i="5"/>
  <c r="BN64" i="5" s="1"/>
  <c r="J72" i="5"/>
  <c r="K72" i="5" s="1"/>
  <c r="E83" i="5" s="1"/>
  <c r="BE63" i="5"/>
  <c r="BE64" i="5" s="1"/>
  <c r="BC146" i="5"/>
  <c r="BC135" i="5"/>
  <c r="BC157" i="5"/>
  <c r="BE157" i="5"/>
  <c r="BE135" i="5"/>
  <c r="BE146" i="5"/>
  <c r="BC137" i="5"/>
  <c r="BC148" i="5"/>
  <c r="BC159" i="5"/>
  <c r="AL63" i="5"/>
  <c r="AL64" i="5" s="1"/>
  <c r="AM122" i="5"/>
  <c r="BE159" i="5"/>
  <c r="BE148" i="5"/>
  <c r="BE137" i="5"/>
  <c r="BD63" i="5"/>
  <c r="BD64" i="5" s="1"/>
  <c r="F69" i="5"/>
  <c r="F71" i="5"/>
  <c r="F70" i="5"/>
  <c r="BD125" i="5"/>
  <c r="BH61" i="5"/>
  <c r="BI61" i="5" s="1"/>
  <c r="BC145" i="5"/>
  <c r="BC156" i="5"/>
  <c r="BC134" i="5"/>
  <c r="R63" i="5"/>
  <c r="R64" i="5" s="1"/>
  <c r="R69" i="5" s="1"/>
  <c r="AK122" i="5"/>
  <c r="AJ63" i="5"/>
  <c r="AJ64" i="5" s="1"/>
  <c r="BN122" i="5"/>
  <c r="BR58" i="5"/>
  <c r="BS58" i="5" s="1"/>
  <c r="BM63" i="5"/>
  <c r="BM64" i="5" s="1"/>
  <c r="BD157" i="5"/>
  <c r="BD146" i="5"/>
  <c r="BD135" i="5"/>
  <c r="BB136" i="5"/>
  <c r="BB147" i="5"/>
  <c r="BB158" i="5"/>
  <c r="BD156" i="5"/>
  <c r="BD145" i="5"/>
  <c r="BD134" i="5"/>
  <c r="AK159" i="5"/>
  <c r="E47" i="8" s="1"/>
  <c r="AK137" i="5"/>
  <c r="I28" i="2" s="1"/>
  <c r="AK148" i="5"/>
  <c r="E57" i="7" s="1"/>
  <c r="BF63" i="5"/>
  <c r="BF64" i="5" s="1"/>
  <c r="BO147" i="5"/>
  <c r="BO158" i="5"/>
  <c r="BO136" i="5"/>
  <c r="BD158" i="5"/>
  <c r="BD147" i="5"/>
  <c r="BD136" i="5"/>
  <c r="P63" i="5"/>
  <c r="P64" i="5" s="1"/>
  <c r="AJ148" i="5"/>
  <c r="D57" i="7" s="1"/>
  <c r="AJ137" i="5"/>
  <c r="H28" i="2" s="1"/>
  <c r="AJ159" i="5"/>
  <c r="D47" i="8" s="1"/>
  <c r="E74" i="5"/>
  <c r="E75" i="5" s="1"/>
  <c r="AL122" i="5"/>
  <c r="AK63" i="5"/>
  <c r="AK64" i="5" s="1"/>
  <c r="BB145" i="5"/>
  <c r="BB134" i="5"/>
  <c r="BB156" i="5"/>
  <c r="G70" i="5"/>
  <c r="G69" i="5"/>
  <c r="G71" i="5"/>
  <c r="P71" i="5"/>
  <c r="BM158" i="5"/>
  <c r="BM147" i="5"/>
  <c r="BM136" i="5"/>
  <c r="BC158" i="5"/>
  <c r="BC147" i="5"/>
  <c r="BC136" i="5"/>
  <c r="O71" i="5"/>
  <c r="AJ125" i="5"/>
  <c r="AN61" i="5"/>
  <c r="AO61" i="5" s="1"/>
  <c r="BL146" i="5"/>
  <c r="BL157" i="5"/>
  <c r="BL135" i="5"/>
  <c r="Q63" i="5"/>
  <c r="Q64" i="5" s="1"/>
  <c r="Q69" i="5" s="1"/>
  <c r="AI148" i="5"/>
  <c r="C57" i="7" s="1"/>
  <c r="AI137" i="5"/>
  <c r="G28" i="2" s="1"/>
  <c r="BN124" i="5"/>
  <c r="BR60" i="5"/>
  <c r="BS60" i="5" s="1"/>
  <c r="O69" i="5"/>
  <c r="BN136" i="5"/>
  <c r="BN147" i="5"/>
  <c r="BN158" i="5"/>
  <c r="BE147" i="5"/>
  <c r="BE158" i="5"/>
  <c r="BE136" i="5"/>
  <c r="BQ122" i="5"/>
  <c r="BP63" i="5"/>
  <c r="BP64" i="5" s="1"/>
  <c r="AJ122" i="5"/>
  <c r="AI63" i="5"/>
  <c r="AI64" i="5" s="1"/>
  <c r="AN58" i="5"/>
  <c r="AO58" i="5" s="1"/>
  <c r="BE134" i="5"/>
  <c r="BE156" i="5"/>
  <c r="BE145" i="5"/>
  <c r="BH60" i="5"/>
  <c r="BI60" i="5" s="1"/>
  <c r="BN156" i="5"/>
  <c r="BN145" i="5"/>
  <c r="BN134" i="5"/>
  <c r="BD123" i="5"/>
  <c r="BH59" i="5"/>
  <c r="BI59" i="5" s="1"/>
  <c r="H69" i="5"/>
  <c r="H71" i="5"/>
  <c r="H70" i="5"/>
  <c r="O70" i="5" l="1"/>
  <c r="O74" i="5" s="1"/>
  <c r="O75" i="5" s="1"/>
  <c r="F83" i="5"/>
  <c r="H83" i="5"/>
  <c r="H74" i="5"/>
  <c r="H75" i="5" s="1"/>
  <c r="AI146" i="5"/>
  <c r="C55" i="7" s="1"/>
  <c r="AI135" i="5"/>
  <c r="G26" i="2" s="1"/>
  <c r="AI157" i="5"/>
  <c r="C45" i="8" s="1"/>
  <c r="J71" i="5"/>
  <c r="K71" i="5" s="1"/>
  <c r="H82" i="5" s="1"/>
  <c r="G82" i="5"/>
  <c r="G83" i="5"/>
  <c r="J83" i="5" s="1"/>
  <c r="K83" i="5" s="1"/>
  <c r="BB159" i="5"/>
  <c r="BB137" i="5"/>
  <c r="BB148" i="5"/>
  <c r="BB146" i="5"/>
  <c r="BB157" i="5"/>
  <c r="BB135" i="5"/>
  <c r="F74" i="5"/>
  <c r="F75" i="5" s="1"/>
  <c r="Q71" i="5"/>
  <c r="T71" i="5" s="1"/>
  <c r="U71" i="5" s="1"/>
  <c r="Q72" i="5"/>
  <c r="Q70" i="5"/>
  <c r="AK145" i="5"/>
  <c r="E54" i="7" s="1"/>
  <c r="AK156" i="5"/>
  <c r="E44" i="8" s="1"/>
  <c r="AK134" i="5"/>
  <c r="I25" i="2" s="1"/>
  <c r="AH145" i="5"/>
  <c r="B54" i="7" s="1"/>
  <c r="AH156" i="5"/>
  <c r="B44" i="8" s="1"/>
  <c r="AH134" i="5"/>
  <c r="F25" i="2" s="1"/>
  <c r="J70" i="5"/>
  <c r="K70" i="5" s="1"/>
  <c r="H81" i="5" s="1"/>
  <c r="BL145" i="5"/>
  <c r="BL134" i="5"/>
  <c r="BL156" i="5"/>
  <c r="AJ156" i="5"/>
  <c r="D44" i="8" s="1"/>
  <c r="AJ134" i="5"/>
  <c r="H25" i="2" s="1"/>
  <c r="AJ145" i="5"/>
  <c r="D54" i="7" s="1"/>
  <c r="P69" i="5"/>
  <c r="T69" i="5" s="1"/>
  <c r="U69" i="5" s="1"/>
  <c r="Q80" i="5" s="1"/>
  <c r="P70" i="5"/>
  <c r="P72" i="5"/>
  <c r="T72" i="5" s="1"/>
  <c r="U72" i="5" s="1"/>
  <c r="Q83" i="5" s="1"/>
  <c r="AI145" i="5"/>
  <c r="C54" i="7" s="1"/>
  <c r="AI134" i="5"/>
  <c r="G25" i="2" s="1"/>
  <c r="AI156" i="5"/>
  <c r="C44" i="8" s="1"/>
  <c r="G74" i="5"/>
  <c r="G75" i="5" s="1"/>
  <c r="R71" i="5"/>
  <c r="R70" i="5"/>
  <c r="R72" i="5"/>
  <c r="BL158" i="5"/>
  <c r="BL136" i="5"/>
  <c r="BL147" i="5"/>
  <c r="BO156" i="5"/>
  <c r="BO134" i="5"/>
  <c r="BO145" i="5"/>
  <c r="AH148" i="5"/>
  <c r="B57" i="7" s="1"/>
  <c r="AH159" i="5"/>
  <c r="B47" i="8" s="1"/>
  <c r="AH137" i="5"/>
  <c r="F28" i="2" s="1"/>
  <c r="J69" i="5"/>
  <c r="K69" i="5" s="1"/>
  <c r="T70" i="5" l="1"/>
  <c r="U70" i="5" s="1"/>
  <c r="R81" i="5" s="1"/>
  <c r="E82" i="5"/>
  <c r="R74" i="5"/>
  <c r="R75" i="5" s="1"/>
  <c r="F82" i="5"/>
  <c r="R82" i="5"/>
  <c r="O82" i="5"/>
  <c r="P82" i="5"/>
  <c r="O81" i="5"/>
  <c r="G81" i="5"/>
  <c r="E81" i="5"/>
  <c r="Q74" i="5"/>
  <c r="Q75" i="5" s="1"/>
  <c r="F81" i="5"/>
  <c r="G80" i="5"/>
  <c r="E80" i="5"/>
  <c r="F80" i="5"/>
  <c r="Q82" i="5"/>
  <c r="O80" i="5"/>
  <c r="R80" i="5"/>
  <c r="H80" i="5"/>
  <c r="P74" i="5"/>
  <c r="P75" i="5" s="1"/>
  <c r="P80" i="5"/>
  <c r="P83" i="5"/>
  <c r="O83" i="5"/>
  <c r="R83" i="5"/>
  <c r="Q81" i="5" l="1"/>
  <c r="Q85" i="5" s="1"/>
  <c r="Q86" i="5" s="1"/>
  <c r="P81" i="5"/>
  <c r="J82" i="5"/>
  <c r="K82" i="5" s="1"/>
  <c r="R85" i="5"/>
  <c r="R86" i="5" s="1"/>
  <c r="R92" i="5" s="1"/>
  <c r="Q91" i="5"/>
  <c r="Q93" i="5"/>
  <c r="Q94" i="5"/>
  <c r="Q92" i="5"/>
  <c r="P92" i="5"/>
  <c r="J81" i="5"/>
  <c r="K81" i="5" s="1"/>
  <c r="T81" i="5"/>
  <c r="U81" i="5" s="1"/>
  <c r="R91" i="5"/>
  <c r="F85" i="5"/>
  <c r="F86" i="5" s="1"/>
  <c r="J80" i="5"/>
  <c r="K80" i="5" s="1"/>
  <c r="E85" i="5"/>
  <c r="E86" i="5" s="1"/>
  <c r="P85" i="5"/>
  <c r="P86" i="5" s="1"/>
  <c r="P93" i="5" s="1"/>
  <c r="H85" i="5"/>
  <c r="H86" i="5" s="1"/>
  <c r="H91" i="5" s="1"/>
  <c r="T80" i="5"/>
  <c r="U80" i="5" s="1"/>
  <c r="O85" i="5"/>
  <c r="O86" i="5" s="1"/>
  <c r="O94" i="5" s="1"/>
  <c r="T82" i="5"/>
  <c r="U82" i="5" s="1"/>
  <c r="T83" i="5"/>
  <c r="U83" i="5" s="1"/>
  <c r="G85" i="5"/>
  <c r="G86" i="5" s="1"/>
  <c r="Q96" i="5"/>
  <c r="Q97" i="5" s="1"/>
  <c r="R93" i="5" l="1"/>
  <c r="R94" i="5"/>
  <c r="G94" i="5"/>
  <c r="G93" i="5"/>
  <c r="G92" i="5"/>
  <c r="G91" i="5"/>
  <c r="O93" i="5"/>
  <c r="O92" i="5"/>
  <c r="T92" i="5" s="1"/>
  <c r="U92" i="5" s="1"/>
  <c r="P103" i="5" s="1"/>
  <c r="O91" i="5"/>
  <c r="H93" i="5"/>
  <c r="H94" i="5"/>
  <c r="H92" i="5"/>
  <c r="E92" i="5"/>
  <c r="E94" i="5"/>
  <c r="E93" i="5"/>
  <c r="E91" i="5"/>
  <c r="P94" i="5"/>
  <c r="T94" i="5" s="1"/>
  <c r="U94" i="5" s="1"/>
  <c r="F92" i="5"/>
  <c r="F91" i="5"/>
  <c r="F93" i="5"/>
  <c r="F94" i="5"/>
  <c r="P91" i="5"/>
  <c r="P96" i="5" s="1"/>
  <c r="P97" i="5" s="1"/>
  <c r="O103" i="5"/>
  <c r="G96" i="5" l="1"/>
  <c r="G97" i="5" s="1"/>
  <c r="R96" i="5"/>
  <c r="R97" i="5" s="1"/>
  <c r="T93" i="5"/>
  <c r="U93" i="5" s="1"/>
  <c r="R105" i="5"/>
  <c r="P105" i="5"/>
  <c r="O105" i="5"/>
  <c r="Q105" i="5"/>
  <c r="T91" i="5"/>
  <c r="U91" i="5" s="1"/>
  <c r="O96" i="5"/>
  <c r="O97" i="5" s="1"/>
  <c r="F96" i="5"/>
  <c r="F97" i="5" s="1"/>
  <c r="H96" i="5"/>
  <c r="H97" i="5" s="1"/>
  <c r="J94" i="5"/>
  <c r="K94" i="5" s="1"/>
  <c r="F105" i="5" s="1"/>
  <c r="J91" i="5"/>
  <c r="K91" i="5" s="1"/>
  <c r="F102" i="5" s="1"/>
  <c r="E96" i="5"/>
  <c r="E97" i="5" s="1"/>
  <c r="J93" i="5"/>
  <c r="K93" i="5" s="1"/>
  <c r="H104" i="5" s="1"/>
  <c r="R104" i="5"/>
  <c r="Q103" i="5"/>
  <c r="P104" i="5"/>
  <c r="R103" i="5"/>
  <c r="J92" i="5"/>
  <c r="K92" i="5" s="1"/>
  <c r="E103" i="5" s="1"/>
  <c r="T103" i="5"/>
  <c r="U103" i="5" s="1"/>
  <c r="Q104" i="5" l="1"/>
  <c r="O104" i="5"/>
  <c r="T105" i="5"/>
  <c r="U105" i="5" s="1"/>
  <c r="G104" i="5"/>
  <c r="E102" i="5"/>
  <c r="T104" i="5"/>
  <c r="U104" i="5" s="1"/>
  <c r="E104" i="5"/>
  <c r="H102" i="5"/>
  <c r="G102" i="5"/>
  <c r="P102" i="5"/>
  <c r="Q102" i="5"/>
  <c r="Q107" i="5" s="1"/>
  <c r="Q108" i="5" s="1"/>
  <c r="Q116" i="5" s="1"/>
  <c r="R125" i="5" s="1"/>
  <c r="R102" i="5"/>
  <c r="R107" i="5" s="1"/>
  <c r="R108" i="5" s="1"/>
  <c r="R115" i="5" s="1"/>
  <c r="S124" i="5" s="1"/>
  <c r="R147" i="5" s="1"/>
  <c r="O102" i="5"/>
  <c r="F104" i="5"/>
  <c r="G103" i="5"/>
  <c r="F103" i="5"/>
  <c r="G105" i="5"/>
  <c r="E105" i="5"/>
  <c r="H105" i="5"/>
  <c r="H103" i="5"/>
  <c r="E107" i="5" l="1"/>
  <c r="E108" i="5" s="1"/>
  <c r="E114" i="5" s="1"/>
  <c r="E123" i="5" s="1"/>
  <c r="E157" i="5" s="1"/>
  <c r="Q113" i="5"/>
  <c r="Q114" i="5"/>
  <c r="R123" i="5" s="1"/>
  <c r="Q146" i="5" s="1"/>
  <c r="B50" i="7" s="1"/>
  <c r="I48" i="7" s="1"/>
  <c r="S38" i="7" s="1"/>
  <c r="Q115" i="5"/>
  <c r="R124" i="5" s="1"/>
  <c r="Q136" i="5" s="1"/>
  <c r="J102" i="5"/>
  <c r="K102" i="5" s="1"/>
  <c r="R114" i="5"/>
  <c r="S123" i="5" s="1"/>
  <c r="R157" i="5" s="1"/>
  <c r="C39" i="8" s="1"/>
  <c r="R116" i="5"/>
  <c r="S125" i="5" s="1"/>
  <c r="R137" i="5" s="1"/>
  <c r="E135" i="5"/>
  <c r="E115" i="5"/>
  <c r="E124" i="5" s="1"/>
  <c r="E116" i="5"/>
  <c r="E125" i="5" s="1"/>
  <c r="R158" i="5"/>
  <c r="G107" i="5"/>
  <c r="G108" i="5" s="1"/>
  <c r="G114" i="5" s="1"/>
  <c r="G123" i="5" s="1"/>
  <c r="J104" i="5"/>
  <c r="K104" i="5" s="1"/>
  <c r="P107" i="5"/>
  <c r="P108" i="5" s="1"/>
  <c r="P113" i="5"/>
  <c r="R136" i="5"/>
  <c r="J105" i="5"/>
  <c r="K105" i="5" s="1"/>
  <c r="E146" i="5"/>
  <c r="J103" i="5"/>
  <c r="K103" i="5" s="1"/>
  <c r="T102" i="5"/>
  <c r="U102" i="5" s="1"/>
  <c r="O107" i="5"/>
  <c r="O108" i="5" s="1"/>
  <c r="R113" i="5"/>
  <c r="S122" i="5" s="1"/>
  <c r="H107" i="5"/>
  <c r="H108" i="5" s="1"/>
  <c r="H113" i="5" s="1"/>
  <c r="H122" i="5" s="1"/>
  <c r="E113" i="5"/>
  <c r="E122" i="5" s="1"/>
  <c r="F107" i="5"/>
  <c r="F108" i="5" s="1"/>
  <c r="Q148" i="5"/>
  <c r="Q159" i="5"/>
  <c r="Q137" i="5"/>
  <c r="R122" i="5"/>
  <c r="Q118" i="5"/>
  <c r="Q119" i="5" s="1"/>
  <c r="Q147" i="5"/>
  <c r="Q158" i="5"/>
  <c r="I61" i="8" l="1"/>
  <c r="S55" i="8" s="1"/>
  <c r="Q135" i="5"/>
  <c r="Q157" i="5"/>
  <c r="C38" i="8" s="1"/>
  <c r="R135" i="5"/>
  <c r="R146" i="5"/>
  <c r="B51" i="7" s="1"/>
  <c r="I49" i="7" s="1"/>
  <c r="S39" i="7" s="1"/>
  <c r="R118" i="5"/>
  <c r="R119" i="5" s="1"/>
  <c r="R148" i="5"/>
  <c r="R159" i="5"/>
  <c r="G116" i="5"/>
  <c r="G125" i="5" s="1"/>
  <c r="G159" i="5" s="1"/>
  <c r="G146" i="5"/>
  <c r="G135" i="5"/>
  <c r="C38" i="2" s="1"/>
  <c r="G157" i="5"/>
  <c r="Q122" i="5"/>
  <c r="F113" i="5"/>
  <c r="F116" i="5"/>
  <c r="F114" i="5"/>
  <c r="F115" i="5"/>
  <c r="P114" i="5"/>
  <c r="Q123" i="5" s="1"/>
  <c r="P115" i="5"/>
  <c r="Q124" i="5" s="1"/>
  <c r="P116" i="5"/>
  <c r="Q125" i="5" s="1"/>
  <c r="E118" i="5"/>
  <c r="E119" i="5" s="1"/>
  <c r="G113" i="5"/>
  <c r="G115" i="5"/>
  <c r="G124" i="5" s="1"/>
  <c r="H114" i="5"/>
  <c r="H116" i="5"/>
  <c r="H125" i="5" s="1"/>
  <c r="H115" i="5"/>
  <c r="H124" i="5" s="1"/>
  <c r="O116" i="5"/>
  <c r="O115" i="5"/>
  <c r="O114" i="5"/>
  <c r="O113" i="5"/>
  <c r="P122" i="5" s="1"/>
  <c r="E147" i="5"/>
  <c r="E158" i="5"/>
  <c r="E136" i="5"/>
  <c r="E134" i="5"/>
  <c r="E145" i="5"/>
  <c r="E156" i="5"/>
  <c r="R134" i="5"/>
  <c r="R145" i="5"/>
  <c r="B49" i="7" s="1"/>
  <c r="I47" i="7" s="1"/>
  <c r="S37" i="7" s="1"/>
  <c r="R156" i="5"/>
  <c r="C37" i="8" s="1"/>
  <c r="Q156" i="5"/>
  <c r="C36" i="8" s="1"/>
  <c r="Q134" i="5"/>
  <c r="Q145" i="5"/>
  <c r="B48" i="7" s="1"/>
  <c r="I46" i="7" s="1"/>
  <c r="S36" i="7" s="1"/>
  <c r="E137" i="5"/>
  <c r="E148" i="5"/>
  <c r="E159" i="5"/>
  <c r="H134" i="5"/>
  <c r="H145" i="5"/>
  <c r="H156" i="5"/>
  <c r="G148" i="5" l="1"/>
  <c r="J113" i="5"/>
  <c r="K113" i="5" s="1"/>
  <c r="G137" i="5"/>
  <c r="I58" i="8"/>
  <c r="S36" i="8" s="1"/>
  <c r="I59" i="8"/>
  <c r="S44" i="8" s="1"/>
  <c r="I60" i="8"/>
  <c r="S50" i="8" s="1"/>
  <c r="C37" i="2"/>
  <c r="I60" i="2"/>
  <c r="T50" i="2" s="1"/>
  <c r="P124" i="5"/>
  <c r="T115" i="5"/>
  <c r="U115" i="5" s="1"/>
  <c r="P147" i="5"/>
  <c r="P136" i="5"/>
  <c r="P158" i="5"/>
  <c r="P125" i="5"/>
  <c r="T116" i="5"/>
  <c r="U116" i="5" s="1"/>
  <c r="P146" i="5"/>
  <c r="P157" i="5"/>
  <c r="P135" i="5"/>
  <c r="H158" i="5"/>
  <c r="H136" i="5"/>
  <c r="H147" i="5"/>
  <c r="H148" i="5"/>
  <c r="H159" i="5"/>
  <c r="H137" i="5"/>
  <c r="F124" i="5"/>
  <c r="J115" i="5"/>
  <c r="K115" i="5" s="1"/>
  <c r="H123" i="5"/>
  <c r="H118" i="5"/>
  <c r="H119" i="5" s="1"/>
  <c r="J114" i="5"/>
  <c r="K114" i="5" s="1"/>
  <c r="F123" i="5"/>
  <c r="G158" i="5"/>
  <c r="G136" i="5"/>
  <c r="G147" i="5"/>
  <c r="F125" i="5"/>
  <c r="J116" i="5"/>
  <c r="K116" i="5" s="1"/>
  <c r="G122" i="5"/>
  <c r="G118" i="5"/>
  <c r="G119" i="5" s="1"/>
  <c r="F122" i="5"/>
  <c r="F118" i="5"/>
  <c r="F119" i="5" s="1"/>
  <c r="P118" i="5"/>
  <c r="P119" i="5" s="1"/>
  <c r="P145" i="5"/>
  <c r="P134" i="5"/>
  <c r="P156" i="5"/>
  <c r="T113" i="5"/>
  <c r="U113" i="5" s="1"/>
  <c r="O118" i="5"/>
  <c r="O119" i="5" s="1"/>
  <c r="P123" i="5"/>
  <c r="T114" i="5"/>
  <c r="U114" i="5" s="1"/>
  <c r="P148" i="5"/>
  <c r="P137" i="5"/>
  <c r="P159" i="5"/>
  <c r="I59" i="2" l="1"/>
  <c r="T44" i="2" s="1"/>
  <c r="F157" i="5"/>
  <c r="F146" i="5"/>
  <c r="F135" i="5"/>
  <c r="H146" i="5"/>
  <c r="H135" i="5"/>
  <c r="C39" i="2" s="1"/>
  <c r="H157" i="5"/>
  <c r="F156" i="5"/>
  <c r="F145" i="5"/>
  <c r="F134" i="5"/>
  <c r="O137" i="5"/>
  <c r="O148" i="5"/>
  <c r="O159" i="5"/>
  <c r="F158" i="5"/>
  <c r="F147" i="5"/>
  <c r="F136" i="5"/>
  <c r="G145" i="5"/>
  <c r="G156" i="5"/>
  <c r="G134" i="5"/>
  <c r="C36" i="2" s="1"/>
  <c r="O146" i="5"/>
  <c r="O157" i="5"/>
  <c r="O135" i="5"/>
  <c r="O134" i="5"/>
  <c r="O145" i="5"/>
  <c r="O156" i="5"/>
  <c r="F137" i="5"/>
  <c r="F148" i="5"/>
  <c r="F159" i="5"/>
  <c r="O136" i="5"/>
  <c r="O147" i="5"/>
  <c r="O158" i="5"/>
  <c r="I58" i="2" l="1"/>
  <c r="T36" i="2" s="1"/>
  <c r="I61" i="2"/>
  <c r="T55" i="2" s="1"/>
</calcChain>
</file>

<file path=xl/sharedStrings.xml><?xml version="1.0" encoding="utf-8"?>
<sst xmlns="http://schemas.openxmlformats.org/spreadsheetml/2006/main" count="2492" uniqueCount="276">
  <si>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</si>
  <si>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</si>
  <si>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</si>
  <si>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</si>
  <si>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</si>
  <si>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</si>
  <si>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</si>
  <si>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</si>
  <si>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</si>
  <si>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</si>
  <si>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</si>
  <si>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</si>
  <si>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</si>
  <si>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</si>
  <si>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</si>
  <si>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</si>
  <si>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</si>
  <si>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</si>
  <si>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</si>
  <si>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</si>
  <si>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</si>
  <si>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</si>
  <si>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</si>
  <si>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</si>
  <si>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</si>
  <si>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</si>
  <si>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</si>
  <si>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</si>
  <si>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</si>
  <si>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</si>
  <si>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</si>
  <si>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</si>
  <si>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</si>
  <si>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</si>
  <si>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</si>
  <si>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</si>
  <si>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</si>
  <si>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</si>
  <si>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</si>
  <si>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</si>
  <si>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</si>
  <si>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</si>
  <si>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</si>
  <si>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</si>
  <si>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</si>
  <si>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</si>
  <si>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</si>
  <si>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</si>
  <si>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</si>
  <si>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</si>
  <si>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</si>
  <si>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</si>
  <si>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</si>
  <si>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</si>
  <si>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</si>
  <si>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</si>
  <si>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</si>
  <si>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</si>
  <si>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</si>
  <si>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</si>
  <si>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</si>
  <si>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</si>
  <si>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</si>
  <si>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</si>
  <si>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</si>
  <si>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</si>
  <si>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</si>
  <si>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</si>
  <si>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</si>
  <si>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</si>
  <si>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</si>
  <si>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</si>
  <si>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</si>
  <si>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</si>
  <si>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</si>
  <si>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</si>
  <si>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</si>
  <si>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</si>
  <si>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</si>
  <si>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</si>
  <si>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</si>
  <si>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</si>
  <si>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</si>
  <si>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</si>
  <si>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</si>
  <si>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</si>
  <si>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</si>
  <si>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</si>
  <si>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</si>
  <si>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</si>
  <si>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</si>
  <si>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</si>
  <si>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</si>
  <si>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</si>
  <si>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</si>
  <si>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</si>
  <si>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</si>
  <si>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</si>
  <si>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</si>
  <si>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</si>
  <si>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</si>
  <si>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</si>
  <si>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</si>
  <si>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</si>
  <si>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</si>
  <si>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</si>
  <si>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</si>
  <si>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</si>
  <si>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</si>
  <si>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</si>
  <si>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</si>
  <si>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</si>
  <si>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</si>
  <si>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</si>
  <si>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</si>
  <si>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</si>
  <si>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</si>
  <si>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</si>
  <si>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</si>
  <si>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</si>
  <si>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</si>
  <si>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</si>
  <si>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</si>
  <si>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</si>
  <si>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</si>
  <si>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</si>
  <si>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</si>
  <si>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</si>
  <si>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</si>
  <si>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</si>
  <si>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</si>
  <si>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</si>
  <si>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</si>
  <si>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</si>
  <si>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</si>
  <si>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</si>
  <si>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</si>
  <si>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</si>
  <si>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</si>
  <si>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</si>
  <si>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</si>
  <si>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</si>
  <si>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</si>
  <si>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</si>
  <si>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</si>
  <si>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</si>
  <si>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</si>
  <si>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</si>
  <si>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</si>
  <si>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</si>
  <si>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</si>
  <si>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</si>
  <si>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</si>
  <si>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</si>
  <si>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</si>
  <si>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</si>
  <si>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</si>
  <si>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</si>
  <si>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</si>
  <si>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</si>
  <si>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</si>
  <si>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</si>
  <si>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</si>
  <si>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</si>
  <si>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</si>
  <si>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</si>
  <si>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</si>
  <si>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</si>
  <si>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</si>
  <si>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</si>
  <si>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</si>
  <si>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</si>
  <si>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</si>
  <si>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</si>
  <si>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</si>
  <si>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</si>
  <si>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</si>
  <si>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</si>
  <si>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</si>
  <si>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</si>
  <si>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</si>
  <si>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</si>
  <si>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</si>
  <si>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</si>
  <si>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</si>
  <si>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</si>
  <si>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</si>
  <si>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</si>
  <si>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</si>
  <si>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</si>
  <si>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</si>
  <si>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</si>
  <si>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</si>
  <si>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</si>
  <si>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</si>
  <si>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</si>
  <si>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</si>
  <si>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</si>
  <si>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</si>
  <si>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</si>
  <si>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</si>
  <si>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</si>
  <si>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</si>
  <si>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</si>
  <si>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</si>
  <si>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</si>
  <si>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</si>
  <si>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</si>
  <si>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</si>
  <si>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</si>
  <si>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</si>
  <si>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</si>
  <si>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</si>
  <si>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</si>
  <si>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</si>
  <si>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</si>
  <si>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</si>
  <si>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</si>
  <si>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</si>
  <si>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</si>
  <si>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</si>
  <si>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</si>
  <si>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</si>
  <si>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</si>
  <si>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</si>
  <si>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Year0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</si>
  <si>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</si>
  <si>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</si>
  <si>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</si>
  <si>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</si>
  <si>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</si>
  <si>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</si>
  <si>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</si>
  <si>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</si>
  <si>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</si>
  <si>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</si>
  <si>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</si>
  <si>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</si>
  <si>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</si>
  <si>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</si>
  <si>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</si>
  <si>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</si>
  <si>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</si>
  <si>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</si>
  <si>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</si>
  <si>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</si>
  <si>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</si>
  <si>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</si>
  <si>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</si>
  <si>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</si>
  <si>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Trip</t>
  </si>
  <si>
    <t>15,8</t>
  </si>
  <si>
    <t>DC</t>
  </si>
  <si>
    <t>15,7,6,17</t>
  </si>
  <si>
    <t>DB</t>
  </si>
  <si>
    <t>15,7,6,11,10</t>
  </si>
  <si>
    <t>DA</t>
  </si>
  <si>
    <t>8,15</t>
  </si>
  <si>
    <t>CD</t>
  </si>
  <si>
    <t>8,7,6,17</t>
  </si>
  <si>
    <t>CB</t>
  </si>
  <si>
    <t>8,7,6,11,10</t>
  </si>
  <si>
    <t>CA</t>
  </si>
  <si>
    <t>17,11,10</t>
  </si>
  <si>
    <t>BA</t>
  </si>
  <si>
    <t>10,11,17</t>
  </si>
  <si>
    <t>AB</t>
  </si>
  <si>
    <t>2,10</t>
  </si>
  <si>
    <t>f29</t>
  </si>
  <si>
    <t>f28</t>
  </si>
  <si>
    <t>f27</t>
  </si>
  <si>
    <t>f26</t>
  </si>
  <si>
    <t>1,12,4,14,5</t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</si>
  <si>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</t>
    </r>
  </si>
  <si>
    <t>New Time&amp;OD</t>
  </si>
  <si>
    <t>To Loop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</si>
</sst>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9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2" fillId="5" borderId="14" xfId="0" applyFont="1" applyFill="1" applyBorder="1"/>
    <xf numFmtId="2" fontId="2" fillId="5" borderId="7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0" fontId="12" fillId="0" borderId="6" xfId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9" xfId="1" applyBorder="1" applyAlignment="1">
      <alignment horizontal="center"/>
    </xf>
    <xf numFmtId="0" fontId="12" fillId="0" borderId="6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16" fillId="4" borderId="10" xfId="1" applyFont="1" applyFill="1" applyBorder="1"/>
    <xf numFmtId="0" fontId="16" fillId="4" borderId="12" xfId="1" applyFont="1" applyFill="1" applyBorder="1"/>
    <xf numFmtId="0" fontId="16" fillId="4" borderId="9" xfId="1" applyFont="1" applyFill="1" applyBorder="1"/>
    <xf numFmtId="0" fontId="20" fillId="7" borderId="7" xfId="1" applyFont="1" applyFill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3" fillId="0" borderId="14" xfId="0" applyFont="1" applyBorder="1" applyAlignment="1">
      <alignment horizontal="left"/>
    </xf>
    <xf numFmtId="0" fontId="3" fillId="4" borderId="1" xfId="0" applyFont="1" applyFill="1" applyBorder="1"/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2" fontId="2" fillId="5" borderId="15" xfId="0" applyNumberFormat="1" applyFont="1" applyFill="1" applyBorder="1"/>
    <xf numFmtId="2" fontId="2" fillId="5" borderId="13" xfId="0" applyNumberFormat="1" applyFont="1" applyFill="1" applyBorder="1"/>
    <xf numFmtId="0" fontId="9" fillId="0" borderId="15" xfId="0" applyFont="1" applyBorder="1" applyAlignment="1">
      <alignment horizontal="center"/>
    </xf>
    <xf numFmtId="2" fontId="0" fillId="0" borderId="15" xfId="0" applyNumberFormat="1" applyBorder="1"/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8" borderId="1" xfId="0" applyNumberFormat="1" applyFill="1" applyBorder="1"/>
    <xf numFmtId="0" fontId="2" fillId="9" borderId="8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8" fillId="5" borderId="11" xfId="0" applyNumberFormat="1" applyFont="1" applyFill="1" applyBorder="1" applyAlignment="1">
      <alignment horizontal="center"/>
    </xf>
    <xf numFmtId="2" fontId="0" fillId="0" borderId="20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0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114</xdr:row>
      <xdr:rowOff>91415</xdr:rowOff>
    </xdr:from>
    <xdr:to>
      <xdr:col>24</xdr:col>
      <xdr:colOff>842293</xdr:colOff>
      <xdr:row>129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452814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3AAE2D-D5F9-4409-801A-A3AD6607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6193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09457C-0FF1-44C5-B448-D44621A99A25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CA769B-D09D-4027-B50C-59A905BFA3E8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3AEF8B-B6A7-4574-98CC-7548FEDF6258}"/>
            </a:ext>
          </a:extLst>
        </xdr:cNvPr>
        <xdr:cNvCxnSpPr/>
      </xdr:nvCxnSpPr>
      <xdr:spPr>
        <a:xfrm>
          <a:off x="7015566" y="2680545"/>
          <a:ext cx="535559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8DA55E-9E4C-4432-8C68-4D1D3471C21E}"/>
            </a:ext>
          </a:extLst>
        </xdr:cNvPr>
        <xdr:cNvCxnSpPr/>
      </xdr:nvCxnSpPr>
      <xdr:spPr>
        <a:xfrm>
          <a:off x="10229363" y="2682716"/>
          <a:ext cx="0" cy="983450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423676</xdr:colOff>
      <xdr:row>91</xdr:row>
      <xdr:rowOff>33339</xdr:rowOff>
    </xdr:to>
    <xdr:pic>
      <xdr:nvPicPr>
        <xdr:cNvPr id="8" name="รูปภาพ 2">
          <a:extLst>
            <a:ext uri="{FF2B5EF4-FFF2-40B4-BE49-F238E27FC236}">
              <a16:creationId xmlns:a16="http://schemas.microsoft.com/office/drawing/2014/main" id="{3F2ACFEA-4E24-42A7-958E-E0613956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131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181137</xdr:colOff>
      <xdr:row>2</xdr:row>
      <xdr:rowOff>73661</xdr:rowOff>
    </xdr:from>
    <xdr:ext cx="7330628" cy="3263039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09B9D2AD-BF8F-48FA-BCEC-CB06CC07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737" y="439421"/>
          <a:ext cx="7330628" cy="3263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244606</xdr:colOff>
      <xdr:row>3</xdr:row>
      <xdr:rowOff>176544</xdr:rowOff>
    </xdr:from>
    <xdr:to>
      <xdr:col>8</xdr:col>
      <xdr:colOff>244606</xdr:colOff>
      <xdr:row>13</xdr:row>
      <xdr:rowOff>126502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1A68FE-64F6-43B7-8482-88981283BB69}"/>
            </a:ext>
          </a:extLst>
        </xdr:cNvPr>
        <xdr:cNvCxnSpPr/>
      </xdr:nvCxnSpPr>
      <xdr:spPr>
        <a:xfrm>
          <a:off x="5121406" y="72518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8</xdr:col>
      <xdr:colOff>260195</xdr:colOff>
      <xdr:row>14</xdr:row>
      <xdr:rowOff>130098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0CF5BB-F9F6-46CA-9C4C-5138D97F7031}"/>
            </a:ext>
          </a:extLst>
        </xdr:cNvPr>
        <xdr:cNvCxnSpPr/>
      </xdr:nvCxnSpPr>
      <xdr:spPr>
        <a:xfrm>
          <a:off x="3863975" y="1796732"/>
          <a:ext cx="1273020" cy="89368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5E2B4-60F4-49FF-9E47-AD3ED77B084D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69520</xdr:colOff>
      <xdr:row>14</xdr:row>
      <xdr:rowOff>146057</xdr:rowOff>
    </xdr:from>
    <xdr:to>
      <xdr:col>13</xdr:col>
      <xdr:colOff>69520</xdr:colOff>
      <xdr:row>20</xdr:row>
      <xdr:rowOff>46665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78DE4D8-ABFD-4402-8A5A-8F66AD54FD1F}"/>
            </a:ext>
          </a:extLst>
        </xdr:cNvPr>
        <xdr:cNvCxnSpPr/>
      </xdr:nvCxnSpPr>
      <xdr:spPr>
        <a:xfrm>
          <a:off x="9876908" y="2656175"/>
          <a:ext cx="0" cy="97637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59217</xdr:colOff>
      <xdr:row>2</xdr:row>
      <xdr:rowOff>172721</xdr:rowOff>
    </xdr:from>
    <xdr:ext cx="7341834" cy="3231065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9FF0AE3-7075-41E5-9608-D45FD1E4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817" y="538481"/>
          <a:ext cx="7341834" cy="3231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841506</xdr:colOff>
      <xdr:row>4</xdr:row>
      <xdr:rowOff>113044</xdr:rowOff>
    </xdr:from>
    <xdr:to>
      <xdr:col>7</xdr:col>
      <xdr:colOff>841506</xdr:colOff>
      <xdr:row>14</xdr:row>
      <xdr:rowOff>63002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97B7EA-8BE6-422F-A225-94E553D85F31}"/>
            </a:ext>
          </a:extLst>
        </xdr:cNvPr>
        <xdr:cNvCxnSpPr/>
      </xdr:nvCxnSpPr>
      <xdr:spPr>
        <a:xfrm>
          <a:off x="4880106" y="84456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774700</xdr:colOff>
      <xdr:row>14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94F8CC-427B-4E2C-BD09-FC88293E7301}"/>
            </a:ext>
          </a:extLst>
        </xdr:cNvPr>
        <xdr:cNvCxnSpPr/>
      </xdr:nvCxnSpPr>
      <xdr:spPr>
        <a:xfrm>
          <a:off x="3863975" y="1796732"/>
          <a:ext cx="1010285" cy="87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5AAE7E-283D-4940-B9A2-1178EEE2B7EF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677626</xdr:colOff>
      <xdr:row>14</xdr:row>
      <xdr:rowOff>133357</xdr:rowOff>
    </xdr:from>
    <xdr:to>
      <xdr:col>12</xdr:col>
      <xdr:colOff>677626</xdr:colOff>
      <xdr:row>20</xdr:row>
      <xdr:rowOff>33965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79DDF5-CA3E-4F4A-A269-3963FB78F70C}"/>
            </a:ext>
          </a:extLst>
        </xdr:cNvPr>
        <xdr:cNvCxnSpPr/>
      </xdr:nvCxnSpPr>
      <xdr:spPr>
        <a:xfrm>
          <a:off x="10342326" y="2622557"/>
          <a:ext cx="0" cy="96740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  <cell r="AC6">
            <v>12.5</v>
          </cell>
          <cell r="AD6">
            <v>12.5</v>
          </cell>
        </row>
        <row r="7">
          <cell r="AB7">
            <v>15</v>
          </cell>
          <cell r="AC7">
            <v>10</v>
          </cell>
          <cell r="AD7">
            <v>10</v>
          </cell>
        </row>
        <row r="8">
          <cell r="AA8">
            <v>12.5</v>
          </cell>
          <cell r="AB8">
            <v>10</v>
          </cell>
          <cell r="AC8">
            <v>15</v>
          </cell>
        </row>
        <row r="9">
          <cell r="AA9">
            <v>12.5</v>
          </cell>
          <cell r="AB9">
            <v>10</v>
          </cell>
          <cell r="AD9">
            <v>15</v>
          </cell>
        </row>
      </sheetData>
      <sheetData sheetId="4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K36" sqref="K36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7" t="s">
        <v>163</v>
      </c>
    </row>
    <row r="3" spans="1:16" x14ac:dyDescent="0.3">
      <c r="B3" s="87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8">
        <v>1.4999999999999999E-2</v>
      </c>
      <c r="E6" s="89">
        <v>0.01</v>
      </c>
      <c r="F6" s="88">
        <v>1.4E-2</v>
      </c>
    </row>
    <row r="8" spans="1:16" x14ac:dyDescent="0.3">
      <c r="A8" s="258" t="s">
        <v>170</v>
      </c>
      <c r="B8" s="85" t="s">
        <v>171</v>
      </c>
      <c r="C8" s="85" t="s">
        <v>166</v>
      </c>
      <c r="D8" s="85" t="s">
        <v>167</v>
      </c>
      <c r="E8" s="85" t="s">
        <v>168</v>
      </c>
      <c r="F8" s="90" t="s">
        <v>171</v>
      </c>
      <c r="G8" s="90" t="s">
        <v>172</v>
      </c>
      <c r="H8" s="90" t="s">
        <v>173</v>
      </c>
      <c r="I8" s="258" t="s">
        <v>174</v>
      </c>
      <c r="J8" s="85" t="s">
        <v>171</v>
      </c>
      <c r="K8" s="85" t="s">
        <v>166</v>
      </c>
      <c r="L8" s="85" t="s">
        <v>167</v>
      </c>
      <c r="M8" s="85" t="s">
        <v>168</v>
      </c>
      <c r="N8" s="90" t="s">
        <v>171</v>
      </c>
      <c r="O8" s="90" t="s">
        <v>172</v>
      </c>
      <c r="P8" s="90" t="s">
        <v>173</v>
      </c>
    </row>
    <row r="9" spans="1:16" x14ac:dyDescent="0.3">
      <c r="A9" s="260"/>
      <c r="B9" s="85" t="s">
        <v>11</v>
      </c>
      <c r="C9" s="91">
        <v>1500</v>
      </c>
      <c r="D9" s="91">
        <v>600</v>
      </c>
      <c r="E9" s="91">
        <v>500</v>
      </c>
      <c r="F9" s="90" t="s">
        <v>11</v>
      </c>
      <c r="G9" s="90">
        <f>250+1.14*C9+0.15*D9</f>
        <v>2050</v>
      </c>
      <c r="H9" s="92">
        <f>150+0.48*C9+0.2*D9+0.65*E9</f>
        <v>1315</v>
      </c>
      <c r="I9" s="261"/>
      <c r="J9" s="70" t="s">
        <v>11</v>
      </c>
      <c r="K9" s="70">
        <f>C9*1.015^20</f>
        <v>2020.2825098250783</v>
      </c>
      <c r="L9" s="91">
        <f>D9*1.01^20</f>
        <v>732.1140239687802</v>
      </c>
      <c r="M9" s="93">
        <f>E9*1.014^20</f>
        <v>660.28146207459883</v>
      </c>
      <c r="N9" s="92" t="s">
        <v>11</v>
      </c>
      <c r="O9" s="90">
        <f t="shared" ref="O9:O20" si="0">250+1.14*K9+0.15*L9</f>
        <v>2662.939164795906</v>
      </c>
      <c r="P9" s="92">
        <f t="shared" ref="P9:P20" si="1">150+0.48*K9+0.2*L9+0.65*M9</f>
        <v>1695.3413598582829</v>
      </c>
    </row>
    <row r="10" spans="1:16" x14ac:dyDescent="0.3">
      <c r="A10" s="260"/>
      <c r="B10" s="71" t="s">
        <v>12</v>
      </c>
      <c r="C10">
        <v>1500</v>
      </c>
      <c r="D10">
        <v>600</v>
      </c>
      <c r="E10">
        <v>1000</v>
      </c>
      <c r="F10" s="94" t="s">
        <v>12</v>
      </c>
      <c r="G10" s="94">
        <f>250+1.14*C10+0.15*D10</f>
        <v>2050</v>
      </c>
      <c r="H10" s="95">
        <f t="shared" ref="H10:H24" si="2">150+0.48*C10+0.2*D10+0.65*E10</f>
        <v>1640</v>
      </c>
      <c r="I10" s="261"/>
      <c r="J10" s="74" t="s">
        <v>12</v>
      </c>
      <c r="K10" s="74">
        <f t="shared" ref="K10:K12" si="3">C10*1.015^20</f>
        <v>2020.2825098250783</v>
      </c>
      <c r="L10">
        <f t="shared" ref="L10:L12" si="4">D10*1.01^20</f>
        <v>732.1140239687802</v>
      </c>
      <c r="M10" s="73">
        <f t="shared" ref="M10:M12" si="5">E10*1.014^20</f>
        <v>1320.5629241491977</v>
      </c>
      <c r="N10" s="95" t="s">
        <v>12</v>
      </c>
      <c r="O10" s="94">
        <f t="shared" si="0"/>
        <v>2662.939164795906</v>
      </c>
      <c r="P10" s="95">
        <f t="shared" si="1"/>
        <v>2124.524310206772</v>
      </c>
    </row>
    <row r="11" spans="1:16" x14ac:dyDescent="0.3">
      <c r="A11" s="260"/>
      <c r="B11" s="71" t="s">
        <v>13</v>
      </c>
      <c r="C11">
        <v>600</v>
      </c>
      <c r="D11">
        <v>800</v>
      </c>
      <c r="E11">
        <v>2000</v>
      </c>
      <c r="F11" s="94" t="s">
        <v>13</v>
      </c>
      <c r="G11" s="94">
        <f t="shared" ref="G11:G24" si="6">250+1.14*C11+0.15*D11</f>
        <v>1054</v>
      </c>
      <c r="H11" s="95">
        <f t="shared" si="2"/>
        <v>1898</v>
      </c>
      <c r="I11" s="261"/>
      <c r="J11" s="74" t="s">
        <v>13</v>
      </c>
      <c r="K11" s="74">
        <f t="shared" si="3"/>
        <v>808.11300393003137</v>
      </c>
      <c r="L11">
        <f t="shared" si="4"/>
        <v>976.15203195837364</v>
      </c>
      <c r="M11" s="73">
        <f t="shared" si="5"/>
        <v>2641.1258482983953</v>
      </c>
      <c r="N11" s="95" t="s">
        <v>13</v>
      </c>
      <c r="O11" s="94">
        <f t="shared" si="0"/>
        <v>1317.6716292739918</v>
      </c>
      <c r="P11" s="95">
        <f t="shared" si="1"/>
        <v>2449.8564496720469</v>
      </c>
    </row>
    <row r="12" spans="1:16" x14ac:dyDescent="0.3">
      <c r="A12" s="260"/>
      <c r="B12" s="71" t="s">
        <v>14</v>
      </c>
      <c r="C12">
        <v>700</v>
      </c>
      <c r="D12">
        <v>400</v>
      </c>
      <c r="E12">
        <v>1800</v>
      </c>
      <c r="F12" s="94" t="s">
        <v>14</v>
      </c>
      <c r="G12" s="96">
        <f t="shared" si="6"/>
        <v>1108</v>
      </c>
      <c r="H12" s="95">
        <f t="shared" si="2"/>
        <v>1736</v>
      </c>
      <c r="I12" s="261"/>
      <c r="J12" s="74" t="s">
        <v>14</v>
      </c>
      <c r="K12" s="76">
        <f t="shared" si="3"/>
        <v>942.79850458503654</v>
      </c>
      <c r="L12" s="97">
        <f t="shared" si="4"/>
        <v>488.07601597918682</v>
      </c>
      <c r="M12" s="98">
        <f t="shared" si="5"/>
        <v>2377.0132634685556</v>
      </c>
      <c r="N12" s="95" t="s">
        <v>14</v>
      </c>
      <c r="O12" s="94">
        <f t="shared" si="0"/>
        <v>1398.0016976238194</v>
      </c>
      <c r="P12" s="95">
        <f t="shared" si="1"/>
        <v>2245.217106651216</v>
      </c>
    </row>
    <row r="13" spans="1:16" x14ac:dyDescent="0.3">
      <c r="A13" s="260" t="s">
        <v>175</v>
      </c>
      <c r="B13" s="70" t="s">
        <v>11</v>
      </c>
      <c r="C13" s="70">
        <f>C9*1.015^5</f>
        <v>1615.9260058265613</v>
      </c>
      <c r="D13" s="91">
        <f>D9*1.01^5</f>
        <v>630.60603005999997</v>
      </c>
      <c r="E13" s="93">
        <f>E9*1.014^5</f>
        <v>535.99381630891219</v>
      </c>
      <c r="F13" s="92" t="s">
        <v>11</v>
      </c>
      <c r="G13" s="90">
        <f t="shared" si="6"/>
        <v>2186.7465511512801</v>
      </c>
      <c r="H13" s="92">
        <f t="shared" si="2"/>
        <v>1400.1616694095424</v>
      </c>
      <c r="I13" s="262" t="s">
        <v>176</v>
      </c>
      <c r="J13" s="70" t="s">
        <v>11</v>
      </c>
      <c r="K13" s="70">
        <f>C9*1.015^25</f>
        <v>2176.4180311619334</v>
      </c>
      <c r="L13" s="91">
        <f>D9*1.01^25</f>
        <v>769.45919701034052</v>
      </c>
      <c r="M13" s="93">
        <f>E9*1.014^25</f>
        <v>707.81356139078503</v>
      </c>
      <c r="N13" s="92" t="s">
        <v>11</v>
      </c>
      <c r="O13" s="90">
        <f t="shared" si="0"/>
        <v>2846.535435076155</v>
      </c>
      <c r="P13" s="92">
        <f t="shared" si="1"/>
        <v>1808.6513092638065</v>
      </c>
    </row>
    <row r="14" spans="1:16" x14ac:dyDescent="0.3">
      <c r="A14" s="260"/>
      <c r="B14" s="74" t="s">
        <v>12</v>
      </c>
      <c r="C14" s="74">
        <f t="shared" ref="C14:C16" si="7">C10*1.015^5</f>
        <v>1615.9260058265613</v>
      </c>
      <c r="D14">
        <f t="shared" ref="D14:D16" si="8">D10*1.01^5</f>
        <v>630.60603005999997</v>
      </c>
      <c r="E14" s="73">
        <f t="shared" ref="E14:E16" si="9">E10*1.014^5</f>
        <v>1071.9876326178244</v>
      </c>
      <c r="F14" s="95" t="s">
        <v>12</v>
      </c>
      <c r="G14" s="94">
        <f t="shared" si="6"/>
        <v>2186.7465511512801</v>
      </c>
      <c r="H14" s="95">
        <f t="shared" si="2"/>
        <v>1748.5576500103352</v>
      </c>
      <c r="I14" s="263"/>
      <c r="J14" s="74" t="s">
        <v>12</v>
      </c>
      <c r="K14" s="74">
        <f t="shared" ref="K14:K16" si="10">C10*1.015^25</f>
        <v>2176.4180311619334</v>
      </c>
      <c r="L14">
        <f t="shared" ref="L14:L16" si="11">D10*1.01^25</f>
        <v>769.45919701034052</v>
      </c>
      <c r="M14" s="73">
        <f t="shared" ref="M14:M16" si="12">E10*1.014^25</f>
        <v>1415.6271227815701</v>
      </c>
      <c r="N14" s="95" t="s">
        <v>12</v>
      </c>
      <c r="O14" s="94">
        <f t="shared" si="0"/>
        <v>2846.535435076155</v>
      </c>
      <c r="P14" s="95">
        <f t="shared" si="1"/>
        <v>2268.7301241678169</v>
      </c>
    </row>
    <row r="15" spans="1:16" x14ac:dyDescent="0.3">
      <c r="A15" s="260"/>
      <c r="B15" s="74" t="s">
        <v>13</v>
      </c>
      <c r="C15" s="74">
        <f t="shared" si="7"/>
        <v>646.37040233062453</v>
      </c>
      <c r="D15">
        <f t="shared" si="8"/>
        <v>840.80804007999996</v>
      </c>
      <c r="E15" s="73">
        <f t="shared" si="9"/>
        <v>2143.9752652356487</v>
      </c>
      <c r="F15" s="95" t="s">
        <v>13</v>
      </c>
      <c r="G15" s="94">
        <f t="shared" si="6"/>
        <v>1112.9834646689119</v>
      </c>
      <c r="H15" s="95">
        <f t="shared" si="2"/>
        <v>2022.0033235378714</v>
      </c>
      <c r="I15" s="263"/>
      <c r="J15" s="74" t="s">
        <v>13</v>
      </c>
      <c r="K15" s="74">
        <f t="shared" si="10"/>
        <v>870.56721246477332</v>
      </c>
      <c r="L15">
        <f t="shared" si="11"/>
        <v>1025.9455960137875</v>
      </c>
      <c r="M15" s="73">
        <f t="shared" si="12"/>
        <v>2831.2542455631401</v>
      </c>
      <c r="N15" s="95" t="s">
        <v>13</v>
      </c>
      <c r="O15" s="94">
        <f t="shared" si="0"/>
        <v>1396.3384616119097</v>
      </c>
      <c r="P15" s="95">
        <f t="shared" si="1"/>
        <v>2613.3766408018901</v>
      </c>
    </row>
    <row r="16" spans="1:16" x14ac:dyDescent="0.3">
      <c r="A16" s="260"/>
      <c r="B16" s="74" t="s">
        <v>14</v>
      </c>
      <c r="C16" s="76">
        <f t="shared" si="7"/>
        <v>754.09880271906195</v>
      </c>
      <c r="D16" s="97">
        <f t="shared" si="8"/>
        <v>420.40402003999998</v>
      </c>
      <c r="E16" s="98">
        <f t="shared" si="9"/>
        <v>1929.5777387120838</v>
      </c>
      <c r="F16" s="95" t="s">
        <v>14</v>
      </c>
      <c r="G16" s="96">
        <f t="shared" si="6"/>
        <v>1172.7332381057306</v>
      </c>
      <c r="H16" s="95">
        <f t="shared" si="2"/>
        <v>1850.2737594760042</v>
      </c>
      <c r="I16" s="264"/>
      <c r="J16" s="74" t="s">
        <v>14</v>
      </c>
      <c r="K16" s="76">
        <f t="shared" si="10"/>
        <v>1015.6617478755688</v>
      </c>
      <c r="L16" s="97">
        <f t="shared" si="11"/>
        <v>512.97279800689375</v>
      </c>
      <c r="M16" s="98">
        <f t="shared" si="12"/>
        <v>2548.128821006826</v>
      </c>
      <c r="N16" s="95" t="s">
        <v>14</v>
      </c>
      <c r="O16" s="94">
        <f t="shared" si="0"/>
        <v>1484.8003122791824</v>
      </c>
      <c r="P16" s="95">
        <f t="shared" si="1"/>
        <v>2396.3959322360888</v>
      </c>
    </row>
    <row r="17" spans="1:24" x14ac:dyDescent="0.3">
      <c r="A17" s="260" t="s">
        <v>177</v>
      </c>
      <c r="B17" s="70" t="s">
        <v>11</v>
      </c>
      <c r="C17" s="70">
        <f>C9*1.015^10</f>
        <v>1740.8112375377227</v>
      </c>
      <c r="D17" s="91">
        <f>D9*1.01^10</f>
        <v>662.77327524672285</v>
      </c>
      <c r="E17" s="93">
        <f>E9*1.014^10</f>
        <v>574.57874224278385</v>
      </c>
      <c r="F17" s="92" t="s">
        <v>11</v>
      </c>
      <c r="G17" s="90">
        <f t="shared" si="6"/>
        <v>2333.9408020800124</v>
      </c>
      <c r="H17" s="92">
        <f t="shared" si="2"/>
        <v>1491.620231525261</v>
      </c>
      <c r="I17" s="262" t="s">
        <v>178</v>
      </c>
      <c r="J17" s="70" t="s">
        <v>11</v>
      </c>
      <c r="K17" s="74">
        <f>C9*1.015^30</f>
        <v>2344.6203307362739</v>
      </c>
      <c r="L17">
        <f>D9*1.01^30</f>
        <v>808.70934919974377</v>
      </c>
      <c r="M17" s="73">
        <f>E9*1.014^30</f>
        <v>758.76738401009868</v>
      </c>
      <c r="N17" s="92" t="s">
        <v>11</v>
      </c>
      <c r="O17" s="90">
        <f t="shared" si="0"/>
        <v>3044.1735794193137</v>
      </c>
      <c r="P17" s="92">
        <f t="shared" si="1"/>
        <v>1930.3584281999242</v>
      </c>
    </row>
    <row r="18" spans="1:24" x14ac:dyDescent="0.3">
      <c r="A18" s="260"/>
      <c r="B18" s="74" t="s">
        <v>12</v>
      </c>
      <c r="C18" s="74">
        <f t="shared" ref="C18:C20" si="13">C10*1.015^10</f>
        <v>1740.8112375377227</v>
      </c>
      <c r="D18">
        <f t="shared" ref="D18:D20" si="14">D10*1.01^10</f>
        <v>662.77327524672285</v>
      </c>
      <c r="E18" s="73">
        <f t="shared" ref="E18:E20" si="15">E10*1.014^10</f>
        <v>1149.1574844855677</v>
      </c>
      <c r="F18" s="95" t="s">
        <v>12</v>
      </c>
      <c r="G18" s="94">
        <f t="shared" si="6"/>
        <v>2333.9408020800124</v>
      </c>
      <c r="H18" s="95">
        <f t="shared" si="2"/>
        <v>1865.0964139830705</v>
      </c>
      <c r="I18" s="263"/>
      <c r="J18" s="74" t="s">
        <v>12</v>
      </c>
      <c r="K18" s="74">
        <f t="shared" ref="K18:K20" si="16">C10*1.015^30</f>
        <v>2344.6203307362739</v>
      </c>
      <c r="L18">
        <f t="shared" ref="L18:L20" si="17">D10*1.01^30</f>
        <v>808.70934919974377</v>
      </c>
      <c r="M18" s="73">
        <f t="shared" ref="M18:M20" si="18">E10*1.014^30</f>
        <v>1517.5347680201974</v>
      </c>
      <c r="N18" s="95" t="s">
        <v>12</v>
      </c>
      <c r="O18" s="94">
        <f t="shared" si="0"/>
        <v>3044.1735794193137</v>
      </c>
      <c r="P18" s="95">
        <f t="shared" si="1"/>
        <v>2423.5572278064883</v>
      </c>
    </row>
    <row r="19" spans="1:24" x14ac:dyDescent="0.3">
      <c r="A19" s="260"/>
      <c r="B19" s="74" t="s">
        <v>13</v>
      </c>
      <c r="C19" s="74">
        <f t="shared" si="13"/>
        <v>696.32449501508916</v>
      </c>
      <c r="D19">
        <f t="shared" si="14"/>
        <v>883.69770032896383</v>
      </c>
      <c r="E19" s="73">
        <f t="shared" si="15"/>
        <v>2298.3149689711354</v>
      </c>
      <c r="F19" s="95" t="s">
        <v>13</v>
      </c>
      <c r="G19" s="94">
        <f t="shared" si="6"/>
        <v>1176.364579366546</v>
      </c>
      <c r="H19" s="95">
        <f t="shared" si="2"/>
        <v>2154.8800275042736</v>
      </c>
      <c r="I19" s="263"/>
      <c r="J19" s="74" t="s">
        <v>13</v>
      </c>
      <c r="K19" s="74">
        <f t="shared" si="16"/>
        <v>937.84813229450958</v>
      </c>
      <c r="L19">
        <f t="shared" si="17"/>
        <v>1078.279132266325</v>
      </c>
      <c r="M19" s="73">
        <f t="shared" si="18"/>
        <v>3035.0695360403947</v>
      </c>
      <c r="N19" s="95" t="s">
        <v>13</v>
      </c>
      <c r="O19" s="94">
        <f t="shared" si="0"/>
        <v>1480.8887406556896</v>
      </c>
      <c r="P19" s="95">
        <f t="shared" si="1"/>
        <v>2788.6181283808864</v>
      </c>
    </row>
    <row r="20" spans="1:24" x14ac:dyDescent="0.3">
      <c r="A20" s="260"/>
      <c r="B20" s="74" t="s">
        <v>14</v>
      </c>
      <c r="C20" s="76">
        <f t="shared" si="13"/>
        <v>812.37857751760396</v>
      </c>
      <c r="D20" s="97">
        <f t="shared" si="14"/>
        <v>441.84885016448192</v>
      </c>
      <c r="E20" s="98">
        <f t="shared" si="15"/>
        <v>2068.4834720740218</v>
      </c>
      <c r="F20" s="95" t="s">
        <v>14</v>
      </c>
      <c r="G20" s="94">
        <f t="shared" si="6"/>
        <v>1242.3889058947407</v>
      </c>
      <c r="H20" s="95">
        <f t="shared" si="2"/>
        <v>1972.8257440894604</v>
      </c>
      <c r="I20" s="264"/>
      <c r="J20" s="76" t="s">
        <v>14</v>
      </c>
      <c r="K20" s="76">
        <f t="shared" si="16"/>
        <v>1094.1561543435946</v>
      </c>
      <c r="L20" s="97">
        <f t="shared" si="17"/>
        <v>539.13956613316248</v>
      </c>
      <c r="M20" s="98">
        <f t="shared" si="18"/>
        <v>2731.5625824363551</v>
      </c>
      <c r="N20" s="99" t="s">
        <v>14</v>
      </c>
      <c r="O20" s="96">
        <f t="shared" si="0"/>
        <v>1578.2089508716722</v>
      </c>
      <c r="P20" s="99">
        <f t="shared" si="1"/>
        <v>2558.5385458951887</v>
      </c>
    </row>
    <row r="21" spans="1:24" x14ac:dyDescent="0.3">
      <c r="A21" s="260" t="s">
        <v>179</v>
      </c>
      <c r="B21" s="70" t="s">
        <v>11</v>
      </c>
      <c r="C21" s="74">
        <f>C9*1.015^15</f>
        <v>1875.3480999815504</v>
      </c>
      <c r="D21">
        <f>D9*1.01^15</f>
        <v>696.58137322199912</v>
      </c>
      <c r="E21" s="73">
        <f>E9*1.014^15</f>
        <v>615.94130564936893</v>
      </c>
      <c r="F21" s="92" t="s">
        <v>11</v>
      </c>
      <c r="G21" s="90">
        <f t="shared" si="6"/>
        <v>2492.3840399622668</v>
      </c>
      <c r="H21" s="92">
        <f t="shared" si="2"/>
        <v>1589.8452113076337</v>
      </c>
      <c r="I21" s="100"/>
    </row>
    <row r="22" spans="1:24" x14ac:dyDescent="0.3">
      <c r="A22" s="260"/>
      <c r="B22" s="74" t="s">
        <v>12</v>
      </c>
      <c r="C22" s="74">
        <f t="shared" ref="C22:C24" si="19">C10*1.015^15</f>
        <v>1875.3480999815504</v>
      </c>
      <c r="D22">
        <f t="shared" ref="D22:D24" si="20">D10*1.01^15</f>
        <v>696.58137322199912</v>
      </c>
      <c r="E22" s="73">
        <f t="shared" ref="E22:E24" si="21">E10*1.014^15</f>
        <v>1231.8826112987379</v>
      </c>
      <c r="F22" s="95" t="s">
        <v>12</v>
      </c>
      <c r="G22" s="94">
        <f t="shared" si="6"/>
        <v>2492.3840399622668</v>
      </c>
      <c r="H22" s="95">
        <f t="shared" si="2"/>
        <v>1990.2070599797235</v>
      </c>
      <c r="I22" s="100"/>
    </row>
    <row r="23" spans="1:24" x14ac:dyDescent="0.3">
      <c r="A23" s="260"/>
      <c r="B23" s="74" t="s">
        <v>13</v>
      </c>
      <c r="C23" s="74">
        <f t="shared" si="19"/>
        <v>750.13923999262011</v>
      </c>
      <c r="D23">
        <f t="shared" si="20"/>
        <v>928.77516429599871</v>
      </c>
      <c r="E23" s="73">
        <f t="shared" si="21"/>
        <v>2463.7652225974757</v>
      </c>
      <c r="F23" s="95" t="s">
        <v>13</v>
      </c>
      <c r="G23" s="94">
        <f t="shared" si="6"/>
        <v>1244.4750082359867</v>
      </c>
      <c r="H23" s="95">
        <f t="shared" si="2"/>
        <v>2297.2692627440165</v>
      </c>
    </row>
    <row r="24" spans="1:24" x14ac:dyDescent="0.3">
      <c r="A24" s="260"/>
      <c r="B24" s="76" t="s">
        <v>14</v>
      </c>
      <c r="C24" s="76">
        <f t="shared" si="19"/>
        <v>875.16244665805687</v>
      </c>
      <c r="D24" s="97">
        <f t="shared" si="20"/>
        <v>464.38758214799935</v>
      </c>
      <c r="E24" s="98">
        <f t="shared" si="21"/>
        <v>2217.3887003377281</v>
      </c>
      <c r="F24" s="99" t="s">
        <v>14</v>
      </c>
      <c r="G24" s="96">
        <f t="shared" si="6"/>
        <v>1317.3433265123847</v>
      </c>
      <c r="H24" s="99">
        <f t="shared" si="2"/>
        <v>2104.2581460449906</v>
      </c>
    </row>
    <row r="25" spans="1:24" x14ac:dyDescent="0.3">
      <c r="A25" s="101"/>
    </row>
    <row r="26" spans="1:24" x14ac:dyDescent="0.3">
      <c r="A26" s="100"/>
    </row>
    <row r="27" spans="1:24" x14ac:dyDescent="0.3">
      <c r="A27" s="102" t="s">
        <v>180</v>
      </c>
      <c r="B27" s="90" t="s">
        <v>171</v>
      </c>
      <c r="C27" s="90" t="s">
        <v>172</v>
      </c>
      <c r="D27" s="90" t="s">
        <v>173</v>
      </c>
      <c r="E27" s="102" t="s">
        <v>180</v>
      </c>
      <c r="F27" s="90" t="s">
        <v>171</v>
      </c>
      <c r="G27" s="90" t="s">
        <v>172</v>
      </c>
      <c r="H27" s="90" t="s">
        <v>173</v>
      </c>
      <c r="I27" s="102" t="s">
        <v>180</v>
      </c>
      <c r="J27" s="90" t="s">
        <v>171</v>
      </c>
      <c r="K27" s="90" t="s">
        <v>172</v>
      </c>
      <c r="L27" s="90" t="s">
        <v>173</v>
      </c>
      <c r="M27" s="102" t="s">
        <v>180</v>
      </c>
      <c r="N27" s="90" t="s">
        <v>171</v>
      </c>
      <c r="O27" s="90" t="s">
        <v>172</v>
      </c>
      <c r="P27" s="90" t="s">
        <v>173</v>
      </c>
      <c r="Q27" s="102" t="s">
        <v>180</v>
      </c>
      <c r="R27" s="90" t="s">
        <v>171</v>
      </c>
      <c r="S27" s="90" t="s">
        <v>172</v>
      </c>
      <c r="T27" s="90" t="s">
        <v>173</v>
      </c>
      <c r="U27" s="102" t="s">
        <v>180</v>
      </c>
      <c r="V27" s="90" t="s">
        <v>171</v>
      </c>
      <c r="W27" s="90" t="s">
        <v>172</v>
      </c>
      <c r="X27" s="90" t="s">
        <v>173</v>
      </c>
    </row>
    <row r="28" spans="1:24" x14ac:dyDescent="0.3">
      <c r="A28" s="258" t="s">
        <v>175</v>
      </c>
      <c r="B28" s="4" t="s">
        <v>11</v>
      </c>
      <c r="C28" s="85">
        <f t="shared" ref="C28:D31" si="22">G13</f>
        <v>2186.7465511512801</v>
      </c>
      <c r="D28" s="85">
        <f t="shared" si="22"/>
        <v>1400.1616694095424</v>
      </c>
      <c r="E28" s="258" t="s">
        <v>177</v>
      </c>
      <c r="F28" s="4" t="s">
        <v>11</v>
      </c>
      <c r="G28" s="85">
        <f t="shared" ref="G28:H31" si="23">G17</f>
        <v>2333.9408020800124</v>
      </c>
      <c r="H28" s="85">
        <f t="shared" si="23"/>
        <v>1491.620231525261</v>
      </c>
      <c r="I28" s="258" t="s">
        <v>179</v>
      </c>
      <c r="J28" s="4" t="s">
        <v>11</v>
      </c>
      <c r="K28" s="85">
        <f t="shared" ref="K28:L31" si="24">G21</f>
        <v>2492.3840399622668</v>
      </c>
      <c r="L28" s="85">
        <f t="shared" si="24"/>
        <v>1589.8452113076337</v>
      </c>
      <c r="M28" s="258" t="s">
        <v>174</v>
      </c>
      <c r="N28" s="4" t="s">
        <v>11</v>
      </c>
      <c r="O28" s="85">
        <f t="shared" ref="O28:P31" si="25">O9</f>
        <v>2662.939164795906</v>
      </c>
      <c r="P28" s="93">
        <f t="shared" si="25"/>
        <v>1695.3413598582829</v>
      </c>
      <c r="Q28" s="258" t="s">
        <v>176</v>
      </c>
      <c r="R28" s="4" t="s">
        <v>11</v>
      </c>
      <c r="S28" s="85">
        <f t="shared" ref="S28:T31" si="26">O13</f>
        <v>2846.535435076155</v>
      </c>
      <c r="T28" s="85">
        <f t="shared" si="26"/>
        <v>1808.6513092638065</v>
      </c>
      <c r="U28" s="258" t="s">
        <v>178</v>
      </c>
      <c r="V28" s="4" t="s">
        <v>11</v>
      </c>
      <c r="W28" s="85">
        <f t="shared" ref="W28:X31" si="27">O17</f>
        <v>3044.1735794193137</v>
      </c>
      <c r="X28" s="85">
        <f t="shared" si="27"/>
        <v>1930.3584281999242</v>
      </c>
    </row>
    <row r="29" spans="1:24" x14ac:dyDescent="0.3">
      <c r="A29" s="258"/>
      <c r="B29" s="103" t="s">
        <v>12</v>
      </c>
      <c r="C29" s="71">
        <f t="shared" si="22"/>
        <v>2186.7465511512801</v>
      </c>
      <c r="D29" s="71">
        <f t="shared" si="22"/>
        <v>1748.5576500103352</v>
      </c>
      <c r="E29" s="258"/>
      <c r="F29" s="103" t="s">
        <v>12</v>
      </c>
      <c r="G29" s="71">
        <f t="shared" si="23"/>
        <v>2333.9408020800124</v>
      </c>
      <c r="H29" s="71">
        <f t="shared" si="23"/>
        <v>1865.0964139830705</v>
      </c>
      <c r="I29" s="258"/>
      <c r="J29" s="103" t="s">
        <v>12</v>
      </c>
      <c r="K29" s="71">
        <f t="shared" si="24"/>
        <v>2492.3840399622668</v>
      </c>
      <c r="L29" s="71">
        <f t="shared" si="24"/>
        <v>1990.2070599797235</v>
      </c>
      <c r="M29" s="258"/>
      <c r="N29" s="103" t="s">
        <v>12</v>
      </c>
      <c r="O29" s="71">
        <f t="shared" si="25"/>
        <v>2662.939164795906</v>
      </c>
      <c r="P29" s="73">
        <f t="shared" si="25"/>
        <v>2124.524310206772</v>
      </c>
      <c r="Q29" s="258"/>
      <c r="R29" s="103" t="s">
        <v>12</v>
      </c>
      <c r="S29" s="71">
        <f t="shared" si="26"/>
        <v>2846.535435076155</v>
      </c>
      <c r="T29" s="71">
        <f t="shared" si="26"/>
        <v>2268.7301241678169</v>
      </c>
      <c r="U29" s="258"/>
      <c r="V29" s="103" t="s">
        <v>12</v>
      </c>
      <c r="W29" s="71">
        <f t="shared" si="27"/>
        <v>3044.1735794193137</v>
      </c>
      <c r="X29" s="71">
        <f t="shared" si="27"/>
        <v>2423.5572278064883</v>
      </c>
    </row>
    <row r="30" spans="1:24" x14ac:dyDescent="0.3">
      <c r="A30" s="258"/>
      <c r="B30" s="103" t="s">
        <v>13</v>
      </c>
      <c r="C30" s="71">
        <f t="shared" si="22"/>
        <v>1112.9834646689119</v>
      </c>
      <c r="D30" s="71">
        <f t="shared" si="22"/>
        <v>2022.0033235378714</v>
      </c>
      <c r="E30" s="258"/>
      <c r="F30" s="103" t="s">
        <v>13</v>
      </c>
      <c r="G30" s="71">
        <f t="shared" si="23"/>
        <v>1176.364579366546</v>
      </c>
      <c r="H30" s="71">
        <f t="shared" si="23"/>
        <v>2154.8800275042736</v>
      </c>
      <c r="I30" s="258"/>
      <c r="J30" s="103" t="s">
        <v>13</v>
      </c>
      <c r="K30" s="71">
        <f t="shared" si="24"/>
        <v>1244.4750082359867</v>
      </c>
      <c r="L30" s="71">
        <f t="shared" si="24"/>
        <v>2297.2692627440165</v>
      </c>
      <c r="M30" s="258"/>
      <c r="N30" s="103" t="s">
        <v>13</v>
      </c>
      <c r="O30" s="71">
        <f t="shared" si="25"/>
        <v>1317.6716292739918</v>
      </c>
      <c r="P30" s="73">
        <f t="shared" si="25"/>
        <v>2449.8564496720469</v>
      </c>
      <c r="Q30" s="258"/>
      <c r="R30" s="103" t="s">
        <v>13</v>
      </c>
      <c r="S30" s="71">
        <f t="shared" si="26"/>
        <v>1396.3384616119097</v>
      </c>
      <c r="T30" s="71">
        <f t="shared" si="26"/>
        <v>2613.3766408018901</v>
      </c>
      <c r="U30" s="258"/>
      <c r="V30" s="103" t="s">
        <v>13</v>
      </c>
      <c r="W30" s="71">
        <f t="shared" si="27"/>
        <v>1480.8887406556896</v>
      </c>
      <c r="X30" s="71">
        <f t="shared" si="27"/>
        <v>2788.6181283808864</v>
      </c>
    </row>
    <row r="31" spans="1:24" x14ac:dyDescent="0.3">
      <c r="A31" s="258"/>
      <c r="B31" s="103" t="s">
        <v>14</v>
      </c>
      <c r="C31" s="77">
        <f t="shared" si="22"/>
        <v>1172.7332381057306</v>
      </c>
      <c r="D31" s="77">
        <f t="shared" si="22"/>
        <v>1850.2737594760042</v>
      </c>
      <c r="E31" s="258"/>
      <c r="F31" s="103" t="s">
        <v>14</v>
      </c>
      <c r="G31" s="77">
        <f t="shared" si="23"/>
        <v>1242.3889058947407</v>
      </c>
      <c r="H31" s="77">
        <f t="shared" si="23"/>
        <v>1972.8257440894604</v>
      </c>
      <c r="I31" s="258"/>
      <c r="J31" s="103" t="s">
        <v>14</v>
      </c>
      <c r="K31" s="77">
        <f t="shared" si="24"/>
        <v>1317.3433265123847</v>
      </c>
      <c r="L31" s="77">
        <f t="shared" si="24"/>
        <v>2104.2581460449906</v>
      </c>
      <c r="M31" s="258"/>
      <c r="N31" s="103" t="s">
        <v>14</v>
      </c>
      <c r="O31" s="71">
        <f t="shared" si="25"/>
        <v>1398.0016976238194</v>
      </c>
      <c r="P31" s="73">
        <f t="shared" si="25"/>
        <v>2245.217106651216</v>
      </c>
      <c r="Q31" s="258"/>
      <c r="R31" s="103" t="s">
        <v>14</v>
      </c>
      <c r="S31" s="77">
        <f t="shared" si="26"/>
        <v>1484.8003122791824</v>
      </c>
      <c r="T31" s="77">
        <f t="shared" si="26"/>
        <v>2396.3959322360888</v>
      </c>
      <c r="U31" s="258"/>
      <c r="V31" s="103" t="s">
        <v>14</v>
      </c>
      <c r="W31" s="77">
        <f t="shared" si="27"/>
        <v>1578.2089508716722</v>
      </c>
      <c r="X31" s="77">
        <f t="shared" si="27"/>
        <v>2558.5385458951887</v>
      </c>
    </row>
    <row r="32" spans="1:24" x14ac:dyDescent="0.3">
      <c r="A32" s="258"/>
      <c r="B32" s="2" t="s">
        <v>181</v>
      </c>
      <c r="C32" s="104">
        <f>SUM(C28:C31)</f>
        <v>6659.2098050772029</v>
      </c>
      <c r="D32" s="104">
        <f>SUM(D28:D31)</f>
        <v>7020.9964024337532</v>
      </c>
      <c r="E32" s="258"/>
      <c r="F32" s="2" t="s">
        <v>181</v>
      </c>
      <c r="G32" s="104">
        <f>SUM(G28:G31)</f>
        <v>7086.6350894213119</v>
      </c>
      <c r="H32" s="104">
        <f>SUM(H28:H31)</f>
        <v>7484.422417102066</v>
      </c>
      <c r="I32" s="258"/>
      <c r="J32" s="2" t="s">
        <v>181</v>
      </c>
      <c r="K32" s="104">
        <f>SUM(K28:K31)</f>
        <v>7546.5864146729054</v>
      </c>
      <c r="L32" s="104">
        <f>SUM(L28:L31)</f>
        <v>7981.5796800763637</v>
      </c>
      <c r="M32" s="258"/>
      <c r="N32" s="2" t="s">
        <v>181</v>
      </c>
      <c r="O32" s="104">
        <f>SUM(O28:O31)</f>
        <v>8041.5516564896234</v>
      </c>
      <c r="P32" s="104">
        <f>SUM(P28:P31)</f>
        <v>8514.9392263883183</v>
      </c>
      <c r="Q32" s="258"/>
      <c r="R32" s="2" t="s">
        <v>181</v>
      </c>
      <c r="S32" s="104">
        <f>SUM(S28:S31)</f>
        <v>8574.2096440434034</v>
      </c>
      <c r="T32" s="104">
        <f>SUM(T28:T31)</f>
        <v>9087.1540064696019</v>
      </c>
      <c r="U32" s="258"/>
      <c r="V32" s="2" t="s">
        <v>181</v>
      </c>
      <c r="W32" s="104">
        <f>SUM(W28:W31)</f>
        <v>9147.4448503659896</v>
      </c>
      <c r="X32" s="104">
        <f>SUM(X28:X31)</f>
        <v>9701.0723302824881</v>
      </c>
    </row>
    <row r="33" spans="1:24" x14ac:dyDescent="0.3">
      <c r="A33" s="258"/>
      <c r="B33" s="103" t="s">
        <v>182</v>
      </c>
      <c r="C33" s="254">
        <f>C32/D32</f>
        <v>0.94847076160997024</v>
      </c>
      <c r="D33" s="254"/>
      <c r="E33" s="258"/>
      <c r="F33" s="103" t="s">
        <v>182</v>
      </c>
      <c r="G33" s="254">
        <f>G32/H32</f>
        <v>0.94685129920355626</v>
      </c>
      <c r="H33" s="254"/>
      <c r="I33" s="258"/>
      <c r="J33" s="103" t="s">
        <v>182</v>
      </c>
      <c r="K33" s="254">
        <f>K32/L32</f>
        <v>0.94550035421067213</v>
      </c>
      <c r="L33" s="254"/>
      <c r="M33" s="258"/>
      <c r="N33" s="103" t="s">
        <v>182</v>
      </c>
      <c r="O33" s="254">
        <f>O32/P32</f>
        <v>0.94440505594782898</v>
      </c>
      <c r="P33" s="254"/>
      <c r="Q33" s="258"/>
      <c r="R33" s="103" t="s">
        <v>182</v>
      </c>
      <c r="S33" s="254">
        <f>S32/T32</f>
        <v>0.94355280409454845</v>
      </c>
      <c r="T33" s="254"/>
      <c r="U33" s="258"/>
      <c r="V33" s="103" t="s">
        <v>182</v>
      </c>
      <c r="W33" s="254">
        <f>W32/X32</f>
        <v>0.94293131098627969</v>
      </c>
      <c r="X33" s="254"/>
    </row>
    <row r="34" spans="1:24" x14ac:dyDescent="0.3">
      <c r="A34" s="258"/>
      <c r="B34" s="105" t="s">
        <v>11</v>
      </c>
      <c r="C34" s="106">
        <f t="shared" ref="C34:C37" si="28">C28</f>
        <v>2186.7465511512801</v>
      </c>
      <c r="D34" s="106">
        <f>D28*$C$33</f>
        <v>1328.012404961956</v>
      </c>
      <c r="E34" s="258"/>
      <c r="F34" s="105" t="s">
        <v>11</v>
      </c>
      <c r="G34" s="107">
        <f t="shared" ref="G34:G37" si="29">G28</f>
        <v>2333.9408020800124</v>
      </c>
      <c r="H34" s="106">
        <f>H28*$G$33</f>
        <v>1412.3425541380027</v>
      </c>
      <c r="I34" s="259"/>
      <c r="J34" s="105" t="s">
        <v>11</v>
      </c>
      <c r="K34" s="107">
        <f t="shared" ref="K34:K37" si="30">K28</f>
        <v>2492.3840399622668</v>
      </c>
      <c r="L34" s="106">
        <f>L28*$K$33</f>
        <v>1503.1992104315086</v>
      </c>
      <c r="M34" s="259"/>
      <c r="N34" s="105" t="s">
        <v>11</v>
      </c>
      <c r="O34" s="107">
        <f t="shared" ref="O34:O37" si="31">O28</f>
        <v>2662.939164795906</v>
      </c>
      <c r="P34" s="106">
        <f>P28*$O$33</f>
        <v>1601.0889518076301</v>
      </c>
      <c r="Q34" s="259"/>
      <c r="R34" s="105" t="s">
        <v>11</v>
      </c>
      <c r="S34" s="107">
        <f t="shared" ref="S34:S37" si="32">S28</f>
        <v>2846.535435076155</v>
      </c>
      <c r="T34" s="106">
        <f>T28*$S$33</f>
        <v>1706.558014485141</v>
      </c>
      <c r="U34" s="259"/>
      <c r="V34" s="105" t="s">
        <v>11</v>
      </c>
      <c r="W34" s="107">
        <f t="shared" ref="W34:W37" si="33">W28</f>
        <v>3044.1735794193137</v>
      </c>
      <c r="X34" s="106">
        <f>X28*$W$33</f>
        <v>1820.1954033759689</v>
      </c>
    </row>
    <row r="35" spans="1:24" x14ac:dyDescent="0.3">
      <c r="A35" s="258"/>
      <c r="B35" s="105" t="s">
        <v>12</v>
      </c>
      <c r="C35" s="108">
        <f t="shared" si="28"/>
        <v>2186.7465511512801</v>
      </c>
      <c r="D35" s="108">
        <f t="shared" ref="D35:D37" si="34">D29*$C$33</f>
        <v>1658.4558060242425</v>
      </c>
      <c r="E35" s="258"/>
      <c r="F35" s="105" t="s">
        <v>12</v>
      </c>
      <c r="G35" s="109">
        <f t="shared" si="29"/>
        <v>2333.9408020800124</v>
      </c>
      <c r="H35" s="108">
        <f t="shared" ref="H35:H37" si="35">H29*$G$33</f>
        <v>1765.9689627197642</v>
      </c>
      <c r="I35" s="259"/>
      <c r="J35" s="105" t="s">
        <v>12</v>
      </c>
      <c r="K35" s="109">
        <f t="shared" si="30"/>
        <v>2492.3840399622668</v>
      </c>
      <c r="L35" s="108">
        <f t="shared" ref="L35:L37" si="36">L29*$K$33</f>
        <v>1881.7414801634088</v>
      </c>
      <c r="M35" s="259"/>
      <c r="N35" s="105" t="s">
        <v>12</v>
      </c>
      <c r="O35" s="109">
        <f t="shared" si="31"/>
        <v>2662.939164795906</v>
      </c>
      <c r="P35" s="108">
        <f t="shared" ref="P35:P37" si="37">P29*$O$33</f>
        <v>2006.4115000433494</v>
      </c>
      <c r="Q35" s="259"/>
      <c r="R35" s="105" t="s">
        <v>12</v>
      </c>
      <c r="S35" s="109">
        <f t="shared" si="32"/>
        <v>2846.535435076155</v>
      </c>
      <c r="T35" s="108">
        <f t="shared" ref="T35:T37" si="38">T29*$S$33</f>
        <v>2140.666670392317</v>
      </c>
      <c r="U35" s="259"/>
      <c r="V35" s="105" t="s">
        <v>12</v>
      </c>
      <c r="W35" s="109">
        <f t="shared" si="33"/>
        <v>3044.1735794193137</v>
      </c>
      <c r="X35" s="108">
        <f t="shared" ref="X35:X37" si="39">X29*$W$33</f>
        <v>2285.2479940658459</v>
      </c>
    </row>
    <row r="36" spans="1:24" x14ac:dyDescent="0.3">
      <c r="A36" s="258"/>
      <c r="B36" s="105" t="s">
        <v>13</v>
      </c>
      <c r="C36" s="108">
        <f t="shared" si="28"/>
        <v>1112.9834646689119</v>
      </c>
      <c r="D36" s="108">
        <f t="shared" si="34"/>
        <v>1917.811032253856</v>
      </c>
      <c r="E36" s="258"/>
      <c r="F36" s="105" t="s">
        <v>13</v>
      </c>
      <c r="G36" s="109">
        <f t="shared" si="29"/>
        <v>1176.364579366546</v>
      </c>
      <c r="H36" s="108">
        <f t="shared" si="35"/>
        <v>2040.3509536702165</v>
      </c>
      <c r="I36" s="259"/>
      <c r="J36" s="105" t="s">
        <v>13</v>
      </c>
      <c r="K36" s="109">
        <f t="shared" si="30"/>
        <v>1244.4750082359867</v>
      </c>
      <c r="L36" s="108">
        <f t="shared" si="36"/>
        <v>2172.0689016417573</v>
      </c>
      <c r="M36" s="259"/>
      <c r="N36" s="105" t="s">
        <v>13</v>
      </c>
      <c r="O36" s="109">
        <f t="shared" si="31"/>
        <v>1317.6716292739918</v>
      </c>
      <c r="P36" s="108">
        <f t="shared" si="37"/>
        <v>2313.6568174166791</v>
      </c>
      <c r="Q36" s="259"/>
      <c r="R36" s="105" t="s">
        <v>13</v>
      </c>
      <c r="S36" s="109">
        <f t="shared" si="32"/>
        <v>1396.3384616119097</v>
      </c>
      <c r="T36" s="108">
        <f t="shared" si="38"/>
        <v>2465.8588575838148</v>
      </c>
      <c r="U36" s="259"/>
      <c r="V36" s="105" t="s">
        <v>13</v>
      </c>
      <c r="W36" s="109">
        <f t="shared" si="33"/>
        <v>1480.8887406556896</v>
      </c>
      <c r="X36" s="108">
        <f t="shared" si="39"/>
        <v>2629.4753476342948</v>
      </c>
    </row>
    <row r="37" spans="1:24" x14ac:dyDescent="0.3">
      <c r="A37" s="258"/>
      <c r="B37" s="105" t="s">
        <v>14</v>
      </c>
      <c r="C37" s="110">
        <f t="shared" si="28"/>
        <v>1172.7332381057306</v>
      </c>
      <c r="D37" s="110">
        <f t="shared" si="34"/>
        <v>1754.9305618371486</v>
      </c>
      <c r="E37" s="258"/>
      <c r="F37" s="105" t="s">
        <v>14</v>
      </c>
      <c r="G37" s="111">
        <f t="shared" si="29"/>
        <v>1242.3889058947407</v>
      </c>
      <c r="H37" s="110">
        <f t="shared" si="35"/>
        <v>1867.9726188933282</v>
      </c>
      <c r="I37" s="259"/>
      <c r="J37" s="105" t="s">
        <v>14</v>
      </c>
      <c r="K37" s="111">
        <f t="shared" si="30"/>
        <v>1317.3433265123847</v>
      </c>
      <c r="L37" s="110">
        <f t="shared" si="36"/>
        <v>1989.5768224362307</v>
      </c>
      <c r="M37" s="259"/>
      <c r="N37" s="105" t="s">
        <v>14</v>
      </c>
      <c r="O37" s="109">
        <f t="shared" si="31"/>
        <v>1398.0016976238194</v>
      </c>
      <c r="P37" s="110">
        <f t="shared" si="37"/>
        <v>2120.3943872219643</v>
      </c>
      <c r="Q37" s="259"/>
      <c r="R37" s="105" t="s">
        <v>14</v>
      </c>
      <c r="S37" s="111">
        <f t="shared" si="32"/>
        <v>1484.8003122791824</v>
      </c>
      <c r="T37" s="110">
        <f t="shared" si="38"/>
        <v>2261.126101582131</v>
      </c>
      <c r="U37" s="259"/>
      <c r="V37" s="105" t="s">
        <v>14</v>
      </c>
      <c r="W37" s="111">
        <f t="shared" si="33"/>
        <v>1578.2089508716722</v>
      </c>
      <c r="X37" s="110">
        <f t="shared" si="39"/>
        <v>2412.52610528988</v>
      </c>
    </row>
    <row r="38" spans="1:24" x14ac:dyDescent="0.3">
      <c r="A38" s="258"/>
      <c r="B38" s="2" t="s">
        <v>181</v>
      </c>
      <c r="C38" s="112">
        <f>SUM(C34:C37)</f>
        <v>6659.2098050772029</v>
      </c>
      <c r="D38" s="113">
        <f>SUM(D34:D37)</f>
        <v>6659.2098050772038</v>
      </c>
      <c r="E38" s="258"/>
      <c r="F38" s="2" t="s">
        <v>181</v>
      </c>
      <c r="G38" s="113">
        <f>SUM(G34:G37)</f>
        <v>7086.6350894213119</v>
      </c>
      <c r="H38" s="113">
        <f>SUM(H34:H37)</f>
        <v>7086.6350894213119</v>
      </c>
      <c r="I38" s="258"/>
      <c r="J38" s="2" t="s">
        <v>181</v>
      </c>
      <c r="K38" s="113">
        <f>SUM(K34:K37)</f>
        <v>7546.5864146729054</v>
      </c>
      <c r="L38" s="113">
        <f>SUM(L34:L37)</f>
        <v>7546.5864146729054</v>
      </c>
      <c r="M38" s="258"/>
      <c r="N38" s="2" t="s">
        <v>181</v>
      </c>
      <c r="O38" s="113">
        <f>SUM(O34:O37)</f>
        <v>8041.5516564896234</v>
      </c>
      <c r="P38" s="113">
        <f>SUM(P34:P37)</f>
        <v>8041.5516564896225</v>
      </c>
      <c r="Q38" s="258"/>
      <c r="R38" s="2" t="s">
        <v>181</v>
      </c>
      <c r="S38" s="113">
        <f>SUM(S34:S37)</f>
        <v>8574.2096440434034</v>
      </c>
      <c r="T38" s="113">
        <f>SUM(T34:T37)</f>
        <v>8574.2096440434034</v>
      </c>
      <c r="U38" s="258"/>
      <c r="V38" s="2" t="s">
        <v>181</v>
      </c>
      <c r="W38" s="113">
        <f>SUM(W34:W37)</f>
        <v>9147.4448503659896</v>
      </c>
      <c r="X38" s="113">
        <f>SUM(X34:X37)</f>
        <v>9147.4448503659896</v>
      </c>
    </row>
    <row r="39" spans="1:24" x14ac:dyDescent="0.3">
      <c r="A39" s="255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56"/>
      <c r="B40" t="str">
        <f t="shared" si="40"/>
        <v>A</v>
      </c>
      <c r="C40" s="94">
        <f t="shared" si="40"/>
        <v>2050</v>
      </c>
      <c r="D40" s="95">
        <f t="shared" si="40"/>
        <v>1315</v>
      </c>
    </row>
    <row r="41" spans="1:24" x14ac:dyDescent="0.3">
      <c r="A41" s="256"/>
      <c r="B41" t="str">
        <f t="shared" si="40"/>
        <v>B</v>
      </c>
      <c r="C41" s="94">
        <f t="shared" si="40"/>
        <v>2050</v>
      </c>
      <c r="D41" s="95">
        <f t="shared" si="40"/>
        <v>1640</v>
      </c>
    </row>
    <row r="42" spans="1:24" x14ac:dyDescent="0.3">
      <c r="A42" s="256"/>
      <c r="B42" t="str">
        <f t="shared" si="40"/>
        <v>C</v>
      </c>
      <c r="C42" s="94">
        <f t="shared" si="40"/>
        <v>1054</v>
      </c>
      <c r="D42" s="95">
        <f t="shared" si="40"/>
        <v>1898</v>
      </c>
      <c r="F42" s="114"/>
      <c r="G42" s="114"/>
      <c r="H42" s="114"/>
      <c r="I42" s="114"/>
      <c r="J42" s="114"/>
    </row>
    <row r="43" spans="1:24" x14ac:dyDescent="0.3">
      <c r="A43" s="256"/>
      <c r="B43" t="str">
        <f t="shared" si="40"/>
        <v>D</v>
      </c>
      <c r="C43" s="96">
        <f t="shared" si="40"/>
        <v>1108</v>
      </c>
      <c r="D43" s="95">
        <f t="shared" si="40"/>
        <v>1736</v>
      </c>
      <c r="F43" s="114"/>
      <c r="G43" s="79" t="s">
        <v>183</v>
      </c>
      <c r="H43" s="68" t="s">
        <v>172</v>
      </c>
      <c r="I43" s="68" t="s">
        <v>173</v>
      </c>
      <c r="J43" s="114"/>
    </row>
    <row r="44" spans="1:24" x14ac:dyDescent="0.3">
      <c r="A44" s="256"/>
      <c r="B44" s="115" t="s">
        <v>181</v>
      </c>
      <c r="C44" s="113">
        <f>SUM(C40:C43)</f>
        <v>6262</v>
      </c>
      <c r="D44" s="113">
        <f>SUM(D40:D43)</f>
        <v>6589</v>
      </c>
      <c r="F44" s="114"/>
      <c r="G44" s="68">
        <v>0</v>
      </c>
      <c r="H44" s="20">
        <f>C50</f>
        <v>6262</v>
      </c>
      <c r="I44" s="20">
        <f>D50</f>
        <v>6262</v>
      </c>
      <c r="J44" s="114"/>
    </row>
    <row r="45" spans="1:24" x14ac:dyDescent="0.3">
      <c r="A45" s="256"/>
      <c r="B45" s="116" t="s">
        <v>182</v>
      </c>
      <c r="C45" s="254">
        <f>C44/D44</f>
        <v>0.95037183184094698</v>
      </c>
      <c r="D45" s="254"/>
      <c r="F45" s="114"/>
      <c r="G45" s="68">
        <v>5</v>
      </c>
      <c r="H45" s="117">
        <f>C38</f>
        <v>6659.2098050772029</v>
      </c>
      <c r="I45" s="118">
        <f>D38</f>
        <v>6659.2098050772038</v>
      </c>
      <c r="J45" s="114"/>
    </row>
    <row r="46" spans="1:24" x14ac:dyDescent="0.3">
      <c r="A46" s="256"/>
      <c r="B46" s="119" t="s">
        <v>11</v>
      </c>
      <c r="C46" s="107">
        <f t="shared" ref="C46:C49" si="41">C40</f>
        <v>2050</v>
      </c>
      <c r="D46" s="106">
        <f>D40*$C$45</f>
        <v>1249.7389588708452</v>
      </c>
      <c r="F46" s="114"/>
      <c r="G46" s="68">
        <v>10</v>
      </c>
      <c r="H46" s="20">
        <f>G38</f>
        <v>7086.6350894213119</v>
      </c>
      <c r="I46" s="20">
        <f>H38</f>
        <v>7086.6350894213119</v>
      </c>
      <c r="J46" s="114"/>
    </row>
    <row r="47" spans="1:24" x14ac:dyDescent="0.3">
      <c r="A47" s="256"/>
      <c r="B47" s="119" t="s">
        <v>12</v>
      </c>
      <c r="C47" s="109">
        <f t="shared" si="41"/>
        <v>2050</v>
      </c>
      <c r="D47" s="108">
        <f t="shared" ref="D47:D49" si="42">D41*$C$45</f>
        <v>1558.6098042191531</v>
      </c>
      <c r="F47" s="114"/>
      <c r="G47" s="68">
        <v>15</v>
      </c>
      <c r="H47" s="20">
        <f>K38</f>
        <v>7546.5864146729054</v>
      </c>
      <c r="I47" s="20">
        <f>L38</f>
        <v>7546.5864146729054</v>
      </c>
      <c r="J47" s="114"/>
    </row>
    <row r="48" spans="1:24" x14ac:dyDescent="0.3">
      <c r="A48" s="256"/>
      <c r="B48" s="119" t="s">
        <v>13</v>
      </c>
      <c r="C48" s="109">
        <f t="shared" si="41"/>
        <v>1054</v>
      </c>
      <c r="D48" s="108">
        <f t="shared" si="42"/>
        <v>1803.8057368341174</v>
      </c>
      <c r="F48" s="114"/>
      <c r="G48" s="68">
        <v>20</v>
      </c>
      <c r="H48" s="20">
        <f>O38</f>
        <v>8041.5516564896234</v>
      </c>
      <c r="I48" s="20">
        <f>P38</f>
        <v>8041.5516564896225</v>
      </c>
      <c r="J48" s="114"/>
    </row>
    <row r="49" spans="1:10" x14ac:dyDescent="0.3">
      <c r="A49" s="256"/>
      <c r="B49" s="119" t="s">
        <v>14</v>
      </c>
      <c r="C49" s="111">
        <f t="shared" si="41"/>
        <v>1108</v>
      </c>
      <c r="D49" s="110">
        <f t="shared" si="42"/>
        <v>1649.845500075884</v>
      </c>
      <c r="F49" s="114"/>
      <c r="G49" s="68">
        <v>25</v>
      </c>
      <c r="H49" s="20">
        <f>S38</f>
        <v>8574.2096440434034</v>
      </c>
      <c r="I49" s="20">
        <f>T38</f>
        <v>8574.2096440434034</v>
      </c>
      <c r="J49" s="114"/>
    </row>
    <row r="50" spans="1:10" x14ac:dyDescent="0.3">
      <c r="A50" s="257"/>
      <c r="B50" s="115" t="s">
        <v>181</v>
      </c>
      <c r="C50" s="113">
        <f>SUM(C46:C49)</f>
        <v>6262</v>
      </c>
      <c r="D50" s="113">
        <f>SUM(D46:D49)</f>
        <v>6262</v>
      </c>
      <c r="F50" s="114"/>
      <c r="G50" s="68">
        <v>30</v>
      </c>
      <c r="H50" s="20">
        <f>W38</f>
        <v>9147.4448503659896</v>
      </c>
      <c r="I50" s="20">
        <f>X38</f>
        <v>9147.4448503659896</v>
      </c>
      <c r="J50" s="114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55"/>
  <sheetViews>
    <sheetView topLeftCell="A32" zoomScale="70" zoomScaleNormal="70" workbookViewId="0">
      <selection activeCell="O26" sqref="O26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65" t="s">
        <v>188</v>
      </c>
      <c r="D2" s="266"/>
      <c r="E2" s="267"/>
    </row>
    <row r="3" spans="3:5" x14ac:dyDescent="0.3">
      <c r="C3" s="126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72">
        <v>0</v>
      </c>
      <c r="E4" s="122">
        <f t="shared" ref="E4:E33" si="0">D4/$D$34</f>
        <v>0</v>
      </c>
    </row>
    <row r="5" spans="3:5" x14ac:dyDescent="0.3">
      <c r="C5" s="5">
        <v>2</v>
      </c>
      <c r="D5" s="72">
        <v>0</v>
      </c>
      <c r="E5" s="161">
        <f t="shared" si="0"/>
        <v>0</v>
      </c>
    </row>
    <row r="6" spans="3:5" x14ac:dyDescent="0.3">
      <c r="C6" s="5">
        <v>3</v>
      </c>
      <c r="D6" s="72">
        <v>3</v>
      </c>
      <c r="E6" s="161">
        <f t="shared" si="0"/>
        <v>8.21917808219178E-3</v>
      </c>
    </row>
    <row r="7" spans="3:5" x14ac:dyDescent="0.3">
      <c r="C7" s="5">
        <v>4</v>
      </c>
      <c r="D7" s="72">
        <v>5</v>
      </c>
      <c r="E7" s="161">
        <f t="shared" si="0"/>
        <v>1.3698630136986301E-2</v>
      </c>
    </row>
    <row r="8" spans="3:5" x14ac:dyDescent="0.3">
      <c r="C8" s="5">
        <v>5</v>
      </c>
      <c r="D8" s="72">
        <v>12</v>
      </c>
      <c r="E8" s="161">
        <f t="shared" si="0"/>
        <v>3.287671232876712E-2</v>
      </c>
    </row>
    <row r="9" spans="3:5" x14ac:dyDescent="0.3">
      <c r="C9" s="5">
        <v>6</v>
      </c>
      <c r="D9" s="72">
        <v>25</v>
      </c>
      <c r="E9" s="161">
        <f t="shared" si="0"/>
        <v>6.8493150684931503E-2</v>
      </c>
    </row>
    <row r="10" spans="3:5" x14ac:dyDescent="0.3">
      <c r="C10" s="5">
        <v>7</v>
      </c>
      <c r="D10" s="72">
        <v>19</v>
      </c>
      <c r="E10" s="161">
        <f t="shared" si="0"/>
        <v>5.2054794520547946E-2</v>
      </c>
    </row>
    <row r="11" spans="3:5" x14ac:dyDescent="0.3">
      <c r="C11" s="5">
        <v>8</v>
      </c>
      <c r="D11" s="72">
        <v>40</v>
      </c>
      <c r="E11" s="161">
        <f t="shared" si="0"/>
        <v>0.1095890410958904</v>
      </c>
    </row>
    <row r="12" spans="3:5" x14ac:dyDescent="0.3">
      <c r="C12" s="5">
        <v>9</v>
      </c>
      <c r="D12" s="72">
        <v>45</v>
      </c>
      <c r="E12" s="161">
        <f t="shared" si="0"/>
        <v>0.12328767123287671</v>
      </c>
    </row>
    <row r="13" spans="3:5" x14ac:dyDescent="0.3">
      <c r="C13" s="5">
        <v>10</v>
      </c>
      <c r="D13" s="72">
        <v>38</v>
      </c>
      <c r="E13" s="161">
        <f t="shared" si="0"/>
        <v>0.10410958904109589</v>
      </c>
    </row>
    <row r="14" spans="3:5" x14ac:dyDescent="0.3">
      <c r="C14" s="5">
        <v>11</v>
      </c>
      <c r="D14" s="72">
        <v>30</v>
      </c>
      <c r="E14" s="161">
        <f t="shared" si="0"/>
        <v>8.2191780821917804E-2</v>
      </c>
    </row>
    <row r="15" spans="3:5" x14ac:dyDescent="0.3">
      <c r="C15" s="5">
        <v>12</v>
      </c>
      <c r="D15" s="72">
        <v>21</v>
      </c>
      <c r="E15" s="161">
        <f t="shared" si="0"/>
        <v>5.7534246575342465E-2</v>
      </c>
    </row>
    <row r="16" spans="3:5" x14ac:dyDescent="0.3">
      <c r="C16" s="5">
        <v>13</v>
      </c>
      <c r="D16" s="72">
        <v>17</v>
      </c>
      <c r="E16" s="161">
        <f t="shared" si="0"/>
        <v>4.6575342465753428E-2</v>
      </c>
    </row>
    <row r="17" spans="3:12" x14ac:dyDescent="0.3">
      <c r="C17" s="5">
        <v>14</v>
      </c>
      <c r="D17" s="72">
        <v>19</v>
      </c>
      <c r="E17" s="161">
        <f t="shared" si="0"/>
        <v>5.2054794520547946E-2</v>
      </c>
    </row>
    <row r="18" spans="3:12" x14ac:dyDescent="0.3">
      <c r="C18" s="5">
        <v>15</v>
      </c>
      <c r="D18" s="72">
        <v>15</v>
      </c>
      <c r="E18" s="161">
        <f t="shared" si="0"/>
        <v>4.1095890410958902E-2</v>
      </c>
    </row>
    <row r="19" spans="3:12" x14ac:dyDescent="0.3">
      <c r="C19" s="5">
        <v>16</v>
      </c>
      <c r="D19" s="72">
        <v>12</v>
      </c>
      <c r="E19" s="161">
        <f t="shared" si="0"/>
        <v>3.287671232876712E-2</v>
      </c>
    </row>
    <row r="20" spans="3:12" x14ac:dyDescent="0.3">
      <c r="C20" s="5">
        <v>17</v>
      </c>
      <c r="D20" s="72">
        <v>10</v>
      </c>
      <c r="E20" s="161">
        <f t="shared" si="0"/>
        <v>2.7397260273972601E-2</v>
      </c>
    </row>
    <row r="21" spans="3:12" x14ac:dyDescent="0.3">
      <c r="C21" s="5">
        <v>18</v>
      </c>
      <c r="D21" s="72">
        <v>9</v>
      </c>
      <c r="E21" s="161">
        <f t="shared" si="0"/>
        <v>2.4657534246575342E-2</v>
      </c>
    </row>
    <row r="22" spans="3:12" x14ac:dyDescent="0.3">
      <c r="C22" s="5">
        <v>19</v>
      </c>
      <c r="D22" s="72">
        <v>6</v>
      </c>
      <c r="E22" s="161">
        <f t="shared" si="0"/>
        <v>1.643835616438356E-2</v>
      </c>
    </row>
    <row r="23" spans="3:12" x14ac:dyDescent="0.3">
      <c r="C23" s="5">
        <v>20</v>
      </c>
      <c r="D23" s="72">
        <v>3</v>
      </c>
      <c r="E23" s="161">
        <f t="shared" si="0"/>
        <v>8.21917808219178E-3</v>
      </c>
    </row>
    <row r="24" spans="3:12" x14ac:dyDescent="0.3">
      <c r="C24" s="5">
        <v>21</v>
      </c>
      <c r="D24" s="72">
        <v>5</v>
      </c>
      <c r="E24" s="161">
        <f t="shared" si="0"/>
        <v>1.3698630136986301E-2</v>
      </c>
    </row>
    <row r="25" spans="3:12" x14ac:dyDescent="0.3">
      <c r="C25" s="5">
        <v>22</v>
      </c>
      <c r="D25" s="72">
        <v>7</v>
      </c>
      <c r="E25" s="161">
        <f t="shared" si="0"/>
        <v>1.9178082191780823E-2</v>
      </c>
    </row>
    <row r="26" spans="3:12" x14ac:dyDescent="0.3">
      <c r="C26" s="5">
        <v>23</v>
      </c>
      <c r="D26" s="72">
        <v>6</v>
      </c>
      <c r="E26" s="161">
        <f t="shared" si="0"/>
        <v>1.643835616438356E-2</v>
      </c>
    </row>
    <row r="27" spans="3:12" x14ac:dyDescent="0.3">
      <c r="C27" s="5">
        <v>24</v>
      </c>
      <c r="D27" s="72">
        <v>6</v>
      </c>
      <c r="E27" s="161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72">
        <v>5</v>
      </c>
      <c r="E28" s="161">
        <f t="shared" si="0"/>
        <v>1.3698630136986301E-2</v>
      </c>
      <c r="H28" s="4" t="s">
        <v>11</v>
      </c>
      <c r="I28" s="4">
        <f>'[1](Intrigrate UE)Network Auto'!AA6</f>
        <v>15</v>
      </c>
      <c r="J28" s="4">
        <v>99999</v>
      </c>
      <c r="K28" s="162">
        <f>'[1](Intrigrate UE)Network Auto'!AC6</f>
        <v>12.5</v>
      </c>
      <c r="L28" s="162">
        <f>'[1](Intrigrate UE)Network Auto'!AD6</f>
        <v>12.5</v>
      </c>
    </row>
    <row r="29" spans="3:12" x14ac:dyDescent="0.3">
      <c r="C29" s="5">
        <v>26</v>
      </c>
      <c r="D29" s="72">
        <v>2</v>
      </c>
      <c r="E29" s="161">
        <f t="shared" si="0"/>
        <v>5.4794520547945206E-3</v>
      </c>
      <c r="H29" s="4" t="s">
        <v>12</v>
      </c>
      <c r="I29" s="4">
        <v>99999</v>
      </c>
      <c r="J29" s="4">
        <f>'[1](Intrigrate UE)Network Auto'!AB7</f>
        <v>15</v>
      </c>
      <c r="K29" s="162">
        <f>'[1](Intrigrate UE)Network Auto'!AC7</f>
        <v>10</v>
      </c>
      <c r="L29" s="162">
        <f>'[1](Intrigrate UE)Network Auto'!AD7</f>
        <v>10</v>
      </c>
    </row>
    <row r="30" spans="3:12" x14ac:dyDescent="0.3">
      <c r="C30" s="5">
        <v>27</v>
      </c>
      <c r="D30" s="72">
        <v>1</v>
      </c>
      <c r="E30" s="161">
        <f t="shared" si="0"/>
        <v>2.7397260273972603E-3</v>
      </c>
      <c r="H30" s="4" t="s">
        <v>13</v>
      </c>
      <c r="I30" s="4">
        <f>'[1](Intrigrate UE)Network Auto'!AA8</f>
        <v>12.5</v>
      </c>
      <c r="J30" s="4">
        <f>'[1](Intrigrate UE)Network Auto'!AB8</f>
        <v>10</v>
      </c>
      <c r="K30" s="4">
        <f>'[1](Intrigrate UE)Network Auto'!AC8</f>
        <v>15</v>
      </c>
      <c r="L30" s="4">
        <v>99999</v>
      </c>
    </row>
    <row r="31" spans="3:12" x14ac:dyDescent="0.3">
      <c r="C31" s="5">
        <v>28</v>
      </c>
      <c r="D31" s="72">
        <v>1</v>
      </c>
      <c r="E31" s="161">
        <f t="shared" si="0"/>
        <v>2.7397260273972603E-3</v>
      </c>
      <c r="H31" s="4" t="s">
        <v>14</v>
      </c>
      <c r="I31" s="4">
        <f>'[1](Intrigrate UE)Network Auto'!AA9</f>
        <v>12.5</v>
      </c>
      <c r="J31" s="4">
        <f>'[1](Intrigrate UE)Network Auto'!AB9</f>
        <v>10</v>
      </c>
      <c r="K31" s="4">
        <v>99999</v>
      </c>
      <c r="L31" s="4">
        <f>'[1](Intrigrate UE)Network Auto'!AD9</f>
        <v>15</v>
      </c>
    </row>
    <row r="32" spans="3:12" x14ac:dyDescent="0.3">
      <c r="C32" s="5">
        <v>29</v>
      </c>
      <c r="D32" s="72">
        <v>2</v>
      </c>
      <c r="E32" s="161">
        <f t="shared" si="0"/>
        <v>5.4794520547945206E-3</v>
      </c>
    </row>
    <row r="33" spans="3:25" x14ac:dyDescent="0.3">
      <c r="C33" s="14">
        <v>30</v>
      </c>
      <c r="D33" s="78">
        <v>1</v>
      </c>
      <c r="E33" s="160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23" t="s">
        <v>213</v>
      </c>
      <c r="D35" s="123">
        <f>SUMPRODUCT(D4:D33,C4:C33)/D34</f>
        <v>11.863013698630137</v>
      </c>
    </row>
    <row r="36" spans="3:25" ht="15.6" x14ac:dyDescent="0.3">
      <c r="Q36" s="159" t="s">
        <v>212</v>
      </c>
      <c r="R36" s="158"/>
    </row>
    <row r="37" spans="3:25" x14ac:dyDescent="0.3">
      <c r="Q37" s="157"/>
      <c r="R37" s="156" t="s">
        <v>211</v>
      </c>
      <c r="S37" s="91"/>
      <c r="T37" s="91"/>
      <c r="U37" s="156"/>
      <c r="V37" s="91"/>
      <c r="W37" s="91"/>
      <c r="X37" s="91"/>
      <c r="Y37" s="93"/>
    </row>
    <row r="38" spans="3:25" ht="18.600000000000001" x14ac:dyDescent="0.4">
      <c r="H38" s="271" t="s">
        <v>210</v>
      </c>
      <c r="I38" s="272"/>
      <c r="J38" s="272"/>
      <c r="K38" s="272"/>
      <c r="L38" s="272"/>
      <c r="M38" s="272"/>
      <c r="N38" s="273"/>
      <c r="Q38" s="74"/>
      <c r="R38" s="124" t="s">
        <v>209</v>
      </c>
      <c r="S38" s="124"/>
      <c r="T38" s="124"/>
      <c r="U38" s="124" t="s">
        <v>192</v>
      </c>
      <c r="V38" s="155">
        <f>'Trip Length Frequency'!$D$35</f>
        <v>11.863013698630137</v>
      </c>
      <c r="W38" s="154" t="s">
        <v>185</v>
      </c>
      <c r="X38" s="154">
        <f>S106</f>
        <v>11.865155208352226</v>
      </c>
      <c r="Y38" s="134"/>
    </row>
    <row r="39" spans="3:25" ht="15.6" x14ac:dyDescent="0.3">
      <c r="C39" s="146" t="s">
        <v>183</v>
      </c>
      <c r="D39" s="146" t="s">
        <v>171</v>
      </c>
      <c r="E39" s="146" t="s">
        <v>172</v>
      </c>
      <c r="F39" s="146" t="s">
        <v>173</v>
      </c>
      <c r="H39" s="258" t="s">
        <v>170</v>
      </c>
      <c r="I39" s="143" t="s">
        <v>199</v>
      </c>
      <c r="J39" s="149" t="s">
        <v>11</v>
      </c>
      <c r="K39" s="148" t="s">
        <v>12</v>
      </c>
      <c r="L39" s="148" t="s">
        <v>13</v>
      </c>
      <c r="M39" s="148" t="s">
        <v>14</v>
      </c>
      <c r="N39" s="146" t="s">
        <v>172</v>
      </c>
      <c r="Q39" s="133"/>
      <c r="R39" s="124" t="s">
        <v>190</v>
      </c>
      <c r="S39" s="154">
        <f>Y106</f>
        <v>0.61499999999999999</v>
      </c>
      <c r="T39" s="124"/>
      <c r="U39" s="124"/>
      <c r="V39" s="124"/>
      <c r="W39" s="124"/>
      <c r="X39" s="124"/>
      <c r="Y39" s="134"/>
    </row>
    <row r="40" spans="3:25" ht="15.6" x14ac:dyDescent="0.3">
      <c r="C40" s="258" t="s">
        <v>170</v>
      </c>
      <c r="D40" s="103" t="s">
        <v>11</v>
      </c>
      <c r="E40" s="85">
        <f>'[1]Trip Rate'!C46</f>
        <v>2050</v>
      </c>
      <c r="F40" s="85">
        <f>'[1]Trip Rate'!D46</f>
        <v>1249.7389588708452</v>
      </c>
      <c r="H40" s="258"/>
      <c r="I40" s="115" t="s">
        <v>11</v>
      </c>
      <c r="J40" s="70"/>
      <c r="K40" s="91"/>
      <c r="L40" s="91"/>
      <c r="M40" s="93"/>
      <c r="N40" s="71">
        <f>E40</f>
        <v>2050</v>
      </c>
      <c r="Q40" s="133"/>
      <c r="R40" s="124" t="s">
        <v>193</v>
      </c>
      <c r="S40" s="154">
        <f>Y105</f>
        <v>2.25</v>
      </c>
      <c r="T40" s="124"/>
      <c r="U40" s="124"/>
      <c r="V40" s="124"/>
      <c r="W40" s="124"/>
      <c r="X40" s="124"/>
      <c r="Y40" s="134"/>
    </row>
    <row r="41" spans="3:25" ht="15.6" x14ac:dyDescent="0.3">
      <c r="C41" s="258"/>
      <c r="D41" s="103" t="s">
        <v>12</v>
      </c>
      <c r="E41" s="71">
        <f>'[1]Trip Rate'!C47</f>
        <v>2050</v>
      </c>
      <c r="F41" s="71">
        <f>'[1]Trip Rate'!D47</f>
        <v>1558.6098042191531</v>
      </c>
      <c r="H41" s="258"/>
      <c r="I41" s="115" t="s">
        <v>12</v>
      </c>
      <c r="J41" s="74"/>
      <c r="M41" s="73"/>
      <c r="N41" s="71">
        <f>E41</f>
        <v>2050</v>
      </c>
      <c r="Q41" s="133"/>
      <c r="R41" s="124"/>
      <c r="S41" s="124"/>
      <c r="T41" s="124"/>
      <c r="U41" s="124"/>
      <c r="V41" s="124"/>
      <c r="W41" s="124"/>
      <c r="X41" s="124"/>
      <c r="Y41" s="134"/>
    </row>
    <row r="42" spans="3:25" ht="15.6" x14ac:dyDescent="0.3">
      <c r="C42" s="258"/>
      <c r="D42" s="103" t="s">
        <v>13</v>
      </c>
      <c r="E42" s="71">
        <f>'[1]Trip Rate'!C48</f>
        <v>1054</v>
      </c>
      <c r="F42" s="71">
        <f>'[1]Trip Rate'!D48</f>
        <v>1803.8057368341174</v>
      </c>
      <c r="H42" s="258"/>
      <c r="I42" s="115" t="s">
        <v>13</v>
      </c>
      <c r="J42" s="74"/>
      <c r="M42" s="73"/>
      <c r="N42" s="71">
        <f>E42</f>
        <v>1054</v>
      </c>
      <c r="Q42" s="133"/>
      <c r="R42" s="124" t="s">
        <v>207</v>
      </c>
      <c r="S42" s="124"/>
      <c r="T42" s="124"/>
      <c r="U42" s="124"/>
      <c r="V42" s="124"/>
      <c r="W42" s="124"/>
      <c r="X42" s="124"/>
      <c r="Y42" s="134"/>
    </row>
    <row r="43" spans="3:25" ht="15.6" x14ac:dyDescent="0.3">
      <c r="C43" s="258"/>
      <c r="D43" s="103" t="s">
        <v>14</v>
      </c>
      <c r="E43" s="77">
        <f>'[1]Trip Rate'!C49</f>
        <v>1108</v>
      </c>
      <c r="F43" s="77">
        <f>'[1]Trip Rate'!D49</f>
        <v>1649.845500075884</v>
      </c>
      <c r="H43" s="258"/>
      <c r="I43" s="115" t="s">
        <v>14</v>
      </c>
      <c r="J43" s="76"/>
      <c r="K43" s="97"/>
      <c r="L43" s="97"/>
      <c r="M43" s="98"/>
      <c r="N43" s="71">
        <f>E43</f>
        <v>1108</v>
      </c>
      <c r="Q43" s="133"/>
      <c r="R43" s="136" t="s">
        <v>199</v>
      </c>
      <c r="S43" s="140">
        <v>1</v>
      </c>
      <c r="T43" s="140">
        <v>2</v>
      </c>
      <c r="U43" s="140">
        <v>3</v>
      </c>
      <c r="V43" s="139">
        <v>4</v>
      </c>
      <c r="W43" s="124"/>
      <c r="X43" s="124"/>
      <c r="Y43" s="134"/>
    </row>
    <row r="44" spans="3:25" ht="15.6" x14ac:dyDescent="0.3">
      <c r="C44" s="258"/>
      <c r="D44" s="2" t="s">
        <v>181</v>
      </c>
      <c r="E44" s="104">
        <f>SUM(E40:E43)</f>
        <v>6262</v>
      </c>
      <c r="F44" s="104">
        <f>SUM(F40:F43)</f>
        <v>6262</v>
      </c>
      <c r="G44" s="123" t="s">
        <v>202</v>
      </c>
      <c r="H44" s="258"/>
      <c r="I44" s="146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33"/>
      <c r="R44" s="138">
        <v>1</v>
      </c>
      <c r="S44" s="153">
        <f t="shared" ref="S44:V47" si="1">(I28^$S$40)*(EXP((-$S$39)*I28))</f>
        <v>4.3635377481334434E-2</v>
      </c>
      <c r="T44" s="153">
        <f t="shared" si="1"/>
        <v>0</v>
      </c>
      <c r="U44" s="153">
        <f t="shared" si="1"/>
        <v>0.13471274931976218</v>
      </c>
      <c r="V44" s="153">
        <f t="shared" si="1"/>
        <v>0.13471274931976218</v>
      </c>
      <c r="W44" s="124"/>
      <c r="X44" s="124"/>
      <c r="Y44" s="134"/>
    </row>
    <row r="45" spans="3:25" ht="15.6" x14ac:dyDescent="0.3">
      <c r="C45" s="258" t="s">
        <v>175</v>
      </c>
      <c r="D45" s="103" t="s">
        <v>11</v>
      </c>
      <c r="E45" s="85">
        <f>'[1]Trip Rate'!C34</f>
        <v>2186.7465511512801</v>
      </c>
      <c r="F45" s="85">
        <f>'[1]Trip Rate'!D34</f>
        <v>1328.012404961956</v>
      </c>
      <c r="H45" s="258" t="s">
        <v>175</v>
      </c>
      <c r="I45" s="143" t="s">
        <v>199</v>
      </c>
      <c r="J45" s="149" t="s">
        <v>11</v>
      </c>
      <c r="K45" s="148" t="s">
        <v>12</v>
      </c>
      <c r="L45" s="148" t="s">
        <v>13</v>
      </c>
      <c r="M45" s="148" t="s">
        <v>14</v>
      </c>
      <c r="N45" s="146" t="s">
        <v>172</v>
      </c>
      <c r="Q45" s="133"/>
      <c r="R45" s="138">
        <v>2</v>
      </c>
      <c r="S45" s="153">
        <f t="shared" si="1"/>
        <v>0</v>
      </c>
      <c r="T45" s="153">
        <f t="shared" si="1"/>
        <v>4.3635377481334434E-2</v>
      </c>
      <c r="U45" s="153">
        <f t="shared" si="1"/>
        <v>0.37939267033514551</v>
      </c>
      <c r="V45" s="153">
        <f t="shared" si="1"/>
        <v>0.37939267033514551</v>
      </c>
      <c r="W45" s="124"/>
      <c r="X45" s="124"/>
      <c r="Y45" s="134"/>
    </row>
    <row r="46" spans="3:25" ht="15.6" x14ac:dyDescent="0.3">
      <c r="C46" s="258"/>
      <c r="D46" s="103" t="s">
        <v>12</v>
      </c>
      <c r="E46" s="71">
        <f>'[1]Trip Rate'!C35</f>
        <v>2186.7465511512801</v>
      </c>
      <c r="F46" s="71">
        <f>'[1]Trip Rate'!D35</f>
        <v>1658.4558060242425</v>
      </c>
      <c r="H46" s="258"/>
      <c r="I46" s="115" t="s">
        <v>11</v>
      </c>
      <c r="J46" s="70"/>
      <c r="K46" s="91"/>
      <c r="L46" s="91"/>
      <c r="M46" s="93"/>
      <c r="N46" s="85">
        <f>E45</f>
        <v>2186.7465511512801</v>
      </c>
      <c r="Q46" s="133"/>
      <c r="R46" s="138">
        <v>3</v>
      </c>
      <c r="S46" s="153">
        <f t="shared" si="1"/>
        <v>0.13471274931976218</v>
      </c>
      <c r="T46" s="153">
        <f t="shared" si="1"/>
        <v>0.37939267033514551</v>
      </c>
      <c r="U46" s="153">
        <f t="shared" si="1"/>
        <v>4.3635377481334434E-2</v>
      </c>
      <c r="V46" s="153">
        <f t="shared" si="1"/>
        <v>0</v>
      </c>
      <c r="W46" s="124"/>
      <c r="X46" s="124"/>
      <c r="Y46" s="134"/>
    </row>
    <row r="47" spans="3:25" ht="15.6" x14ac:dyDescent="0.3">
      <c r="C47" s="258"/>
      <c r="D47" s="103" t="s">
        <v>13</v>
      </c>
      <c r="E47" s="71">
        <f>'[1]Trip Rate'!C36</f>
        <v>1112.9834646689119</v>
      </c>
      <c r="F47" s="71">
        <f>'[1]Trip Rate'!D36</f>
        <v>1917.811032253856</v>
      </c>
      <c r="H47" s="258"/>
      <c r="I47" s="115" t="s">
        <v>12</v>
      </c>
      <c r="J47" s="74"/>
      <c r="M47" s="73"/>
      <c r="N47" s="71">
        <f>E46</f>
        <v>2186.7465511512801</v>
      </c>
      <c r="Q47" s="133"/>
      <c r="R47" s="142">
        <v>4</v>
      </c>
      <c r="S47" s="153">
        <f t="shared" si="1"/>
        <v>0.13471274931976218</v>
      </c>
      <c r="T47" s="153">
        <f t="shared" si="1"/>
        <v>0.37939267033514551</v>
      </c>
      <c r="U47" s="153">
        <f t="shared" si="1"/>
        <v>0</v>
      </c>
      <c r="V47" s="153">
        <f t="shared" si="1"/>
        <v>4.3635377481334434E-2</v>
      </c>
      <c r="W47" s="124"/>
      <c r="X47" s="124"/>
      <c r="Y47" s="134"/>
    </row>
    <row r="48" spans="3:25" ht="15.6" x14ac:dyDescent="0.3">
      <c r="C48" s="258"/>
      <c r="D48" s="103" t="s">
        <v>14</v>
      </c>
      <c r="E48" s="77">
        <f>'[1]Trip Rate'!C37</f>
        <v>1172.7332381057306</v>
      </c>
      <c r="F48" s="77">
        <f>'[1]Trip Rate'!D37</f>
        <v>1754.9305618371486</v>
      </c>
      <c r="H48" s="258"/>
      <c r="I48" s="115" t="s">
        <v>13</v>
      </c>
      <c r="J48" s="74"/>
      <c r="M48" s="73"/>
      <c r="N48" s="71">
        <f>E47</f>
        <v>1112.9834646689119</v>
      </c>
      <c r="Q48" s="133"/>
      <c r="R48" s="124"/>
      <c r="S48" s="124"/>
      <c r="T48" s="124"/>
      <c r="U48" s="124"/>
      <c r="V48" s="124"/>
      <c r="W48" s="124"/>
      <c r="X48" s="124"/>
      <c r="Y48" s="134"/>
    </row>
    <row r="49" spans="3:25" ht="15.6" x14ac:dyDescent="0.3">
      <c r="C49" s="258"/>
      <c r="D49" s="2" t="s">
        <v>181</v>
      </c>
      <c r="E49" s="104">
        <f>SUM(E45:E48)</f>
        <v>6659.2098050772029</v>
      </c>
      <c r="F49" s="104">
        <f>SUM(F45:F48)</f>
        <v>6659.2098050772038</v>
      </c>
      <c r="G49" s="123" t="s">
        <v>202</v>
      </c>
      <c r="H49" s="258"/>
      <c r="I49" s="115" t="s">
        <v>14</v>
      </c>
      <c r="J49" s="76"/>
      <c r="K49" s="97"/>
      <c r="L49" s="97"/>
      <c r="M49" s="98"/>
      <c r="N49" s="77">
        <f>E48</f>
        <v>1172.7332381057306</v>
      </c>
      <c r="Q49" s="152" t="s">
        <v>206</v>
      </c>
      <c r="R49" s="151"/>
      <c r="S49" s="151"/>
      <c r="T49" s="150"/>
      <c r="U49" s="124"/>
      <c r="V49" s="124"/>
      <c r="W49" s="124"/>
      <c r="X49" s="124"/>
      <c r="Y49" s="134"/>
    </row>
    <row r="50" spans="3:25" ht="15.6" x14ac:dyDescent="0.3">
      <c r="C50" s="258" t="s">
        <v>177</v>
      </c>
      <c r="D50" s="103" t="s">
        <v>11</v>
      </c>
      <c r="E50" s="85">
        <f>'[1]Trip Rate'!G34</f>
        <v>2333.9408020800124</v>
      </c>
      <c r="F50" s="85">
        <f>'[1]Trip Rate'!H34</f>
        <v>1412.3425541380027</v>
      </c>
      <c r="H50" s="258"/>
      <c r="I50" s="146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23" t="s">
        <v>202</v>
      </c>
      <c r="Q50" s="133"/>
      <c r="R50" s="124"/>
      <c r="S50" s="124"/>
      <c r="T50" s="124"/>
      <c r="U50" s="124"/>
      <c r="V50" s="124"/>
      <c r="W50" s="124"/>
      <c r="X50" s="124"/>
      <c r="Y50" s="134"/>
    </row>
    <row r="51" spans="3:25" ht="15.6" x14ac:dyDescent="0.3">
      <c r="C51" s="258"/>
      <c r="D51" s="103" t="s">
        <v>12</v>
      </c>
      <c r="E51" s="71">
        <f>'[1]Trip Rate'!G35</f>
        <v>2333.9408020800124</v>
      </c>
      <c r="F51" s="71">
        <f>'[1]Trip Rate'!H35</f>
        <v>1765.9689627197642</v>
      </c>
      <c r="H51" s="258" t="s">
        <v>177</v>
      </c>
      <c r="I51" s="143" t="s">
        <v>199</v>
      </c>
      <c r="J51" s="149" t="s">
        <v>11</v>
      </c>
      <c r="K51" s="148" t="s">
        <v>12</v>
      </c>
      <c r="L51" s="148" t="s">
        <v>13</v>
      </c>
      <c r="M51" s="148" t="s">
        <v>14</v>
      </c>
      <c r="N51" s="146" t="s">
        <v>172</v>
      </c>
      <c r="Q51" s="74"/>
      <c r="R51" s="268" t="s">
        <v>205</v>
      </c>
      <c r="S51" s="269"/>
      <c r="T51" s="269"/>
      <c r="U51" s="269"/>
      <c r="V51" s="270"/>
      <c r="W51" s="124"/>
      <c r="X51" s="124"/>
      <c r="Y51" s="134"/>
    </row>
    <row r="52" spans="3:25" ht="15.6" x14ac:dyDescent="0.3">
      <c r="C52" s="258"/>
      <c r="D52" s="103" t="s">
        <v>13</v>
      </c>
      <c r="E52" s="71">
        <f>'[1]Trip Rate'!G36</f>
        <v>1176.364579366546</v>
      </c>
      <c r="F52" s="71">
        <f>'[1]Trip Rate'!H36</f>
        <v>2040.3509536702165</v>
      </c>
      <c r="H52" s="258"/>
      <c r="I52" s="115" t="s">
        <v>11</v>
      </c>
      <c r="J52" s="70"/>
      <c r="K52" s="91"/>
      <c r="L52" s="91"/>
      <c r="M52" s="93"/>
      <c r="N52" s="85">
        <f>E50</f>
        <v>2333.9408020800124</v>
      </c>
      <c r="Q52" s="133"/>
      <c r="R52" s="136" t="s">
        <v>199</v>
      </c>
      <c r="S52" s="140">
        <v>1</v>
      </c>
      <c r="T52" s="140">
        <v>2</v>
      </c>
      <c r="U52" s="140">
        <v>3</v>
      </c>
      <c r="V52" s="139">
        <v>4</v>
      </c>
      <c r="W52" s="135" t="s">
        <v>198</v>
      </c>
      <c r="X52" s="135" t="s">
        <v>197</v>
      </c>
      <c r="Y52" s="135" t="s">
        <v>194</v>
      </c>
    </row>
    <row r="53" spans="3:25" ht="15.6" x14ac:dyDescent="0.3">
      <c r="C53" s="258"/>
      <c r="D53" s="103" t="s">
        <v>14</v>
      </c>
      <c r="E53" s="77">
        <f>'[1]Trip Rate'!G37</f>
        <v>1242.3889058947407</v>
      </c>
      <c r="F53" s="77">
        <f>'[1]Trip Rate'!H37</f>
        <v>1867.9726188933282</v>
      </c>
      <c r="H53" s="258"/>
      <c r="I53" s="115" t="s">
        <v>12</v>
      </c>
      <c r="J53" s="74"/>
      <c r="M53" s="73"/>
      <c r="N53" s="71">
        <f>E51</f>
        <v>2333.9408020800124</v>
      </c>
      <c r="Q53" s="133"/>
      <c r="R53" s="138">
        <v>1</v>
      </c>
      <c r="S53" s="147">
        <f t="shared" ref="S53:V56" si="2">S44</f>
        <v>4.3635377481334434E-2</v>
      </c>
      <c r="T53" s="147">
        <f t="shared" si="2"/>
        <v>0</v>
      </c>
      <c r="U53" s="147">
        <f t="shared" si="2"/>
        <v>0.13471274931976218</v>
      </c>
      <c r="V53" s="147">
        <f t="shared" si="2"/>
        <v>0.13471274931976218</v>
      </c>
      <c r="W53" s="136">
        <f>N40</f>
        <v>2050</v>
      </c>
      <c r="X53" s="136">
        <f>SUM(S53:V53)</f>
        <v>0.31306087612085881</v>
      </c>
      <c r="Y53" s="135">
        <f>W53/X53</f>
        <v>6548.2471824699887</v>
      </c>
    </row>
    <row r="54" spans="3:25" ht="15.6" x14ac:dyDescent="0.3">
      <c r="C54" s="258"/>
      <c r="D54" s="2" t="s">
        <v>181</v>
      </c>
      <c r="E54" s="104">
        <f>SUM(E50:E53)</f>
        <v>7086.6350894213119</v>
      </c>
      <c r="F54" s="104">
        <f>SUM(F50:F53)</f>
        <v>7086.6350894213119</v>
      </c>
      <c r="G54" s="123" t="s">
        <v>202</v>
      </c>
      <c r="H54" s="258"/>
      <c r="I54" s="115" t="s">
        <v>13</v>
      </c>
      <c r="J54" s="74"/>
      <c r="M54" s="73"/>
      <c r="N54" s="71">
        <f>E52</f>
        <v>1176.364579366546</v>
      </c>
      <c r="Q54" s="133"/>
      <c r="R54" s="138">
        <v>2</v>
      </c>
      <c r="S54" s="147">
        <f t="shared" si="2"/>
        <v>0</v>
      </c>
      <c r="T54" s="147">
        <f t="shared" si="2"/>
        <v>4.3635377481334434E-2</v>
      </c>
      <c r="U54" s="147">
        <f t="shared" si="2"/>
        <v>0.37939267033514551</v>
      </c>
      <c r="V54" s="147">
        <f t="shared" si="2"/>
        <v>0.37939267033514551</v>
      </c>
      <c r="W54" s="136">
        <f>N41</f>
        <v>2050</v>
      </c>
      <c r="X54" s="136">
        <f>SUM(S54:V54)</f>
        <v>0.80242071815162541</v>
      </c>
      <c r="Y54" s="135">
        <f>W54/X54</f>
        <v>2554.7695287855618</v>
      </c>
    </row>
    <row r="55" spans="3:25" ht="15.6" x14ac:dyDescent="0.3">
      <c r="C55" s="258" t="s">
        <v>179</v>
      </c>
      <c r="D55" s="103" t="s">
        <v>11</v>
      </c>
      <c r="E55" s="85">
        <f>'[1]Trip Rate'!K34</f>
        <v>2492.3840399622668</v>
      </c>
      <c r="F55" s="85">
        <f>'[1]Trip Rate'!L34</f>
        <v>1503.1992104315086</v>
      </c>
      <c r="H55" s="258"/>
      <c r="I55" s="115" t="s">
        <v>14</v>
      </c>
      <c r="J55" s="76"/>
      <c r="K55" s="97"/>
      <c r="L55" s="97"/>
      <c r="M55" s="98"/>
      <c r="N55" s="77">
        <f>E53</f>
        <v>1242.3889058947407</v>
      </c>
      <c r="Q55" s="133"/>
      <c r="R55" s="138">
        <v>3</v>
      </c>
      <c r="S55" s="147">
        <f t="shared" si="2"/>
        <v>0.13471274931976218</v>
      </c>
      <c r="T55" s="147">
        <f t="shared" si="2"/>
        <v>0.37939267033514551</v>
      </c>
      <c r="U55" s="147">
        <f t="shared" si="2"/>
        <v>4.3635377481334434E-2</v>
      </c>
      <c r="V55" s="147">
        <f t="shared" si="2"/>
        <v>0</v>
      </c>
      <c r="W55" s="136">
        <f>N42</f>
        <v>1054</v>
      </c>
      <c r="X55" s="136">
        <f>SUM(S55:V55)</f>
        <v>0.55774079713624214</v>
      </c>
      <c r="Y55" s="135">
        <f>W55/X55</f>
        <v>1889.7667257117182</v>
      </c>
    </row>
    <row r="56" spans="3:25" ht="15.6" x14ac:dyDescent="0.3">
      <c r="C56" s="258"/>
      <c r="D56" s="103" t="s">
        <v>12</v>
      </c>
      <c r="E56" s="71">
        <f>'[1]Trip Rate'!K35</f>
        <v>2492.3840399622668</v>
      </c>
      <c r="F56" s="71">
        <f>'[1]Trip Rate'!L35</f>
        <v>1881.7414801634088</v>
      </c>
      <c r="H56" s="258"/>
      <c r="I56" s="146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23" t="s">
        <v>202</v>
      </c>
      <c r="Q56" s="133"/>
      <c r="R56" s="142">
        <v>4</v>
      </c>
      <c r="S56" s="147">
        <f t="shared" si="2"/>
        <v>0.13471274931976218</v>
      </c>
      <c r="T56" s="147">
        <f t="shared" si="2"/>
        <v>0.37939267033514551</v>
      </c>
      <c r="U56" s="147">
        <f t="shared" si="2"/>
        <v>0</v>
      </c>
      <c r="V56" s="147">
        <f t="shared" si="2"/>
        <v>4.3635377481334434E-2</v>
      </c>
      <c r="W56" s="136">
        <f>N43</f>
        <v>1108</v>
      </c>
      <c r="X56" s="136">
        <f>SUM(S56:V56)</f>
        <v>0.55774079713624214</v>
      </c>
      <c r="Y56" s="135">
        <f>W56/X56</f>
        <v>1986.5858938221859</v>
      </c>
    </row>
    <row r="57" spans="3:25" ht="15.6" x14ac:dyDescent="0.3">
      <c r="C57" s="258"/>
      <c r="D57" s="103" t="s">
        <v>13</v>
      </c>
      <c r="E57" s="71">
        <f>'[1]Trip Rate'!K36</f>
        <v>1244.4750082359867</v>
      </c>
      <c r="F57" s="71">
        <f>'[1]Trip Rate'!L36</f>
        <v>2172.0689016417573</v>
      </c>
      <c r="H57" s="258" t="s">
        <v>179</v>
      </c>
      <c r="I57" s="143" t="s">
        <v>199</v>
      </c>
      <c r="J57" s="149" t="s">
        <v>11</v>
      </c>
      <c r="K57" s="148" t="s">
        <v>12</v>
      </c>
      <c r="L57" s="148" t="s">
        <v>13</v>
      </c>
      <c r="M57" s="148" t="s">
        <v>14</v>
      </c>
      <c r="N57" s="146" t="s">
        <v>172</v>
      </c>
      <c r="Q57" s="133"/>
      <c r="R57" s="135" t="s">
        <v>196</v>
      </c>
      <c r="S57" s="4">
        <f>J44</f>
        <v>2050</v>
      </c>
      <c r="T57" s="4">
        <f>K44</f>
        <v>2050</v>
      </c>
      <c r="U57" s="4">
        <f>L44</f>
        <v>1054</v>
      </c>
      <c r="V57" s="4">
        <f>M44</f>
        <v>1108</v>
      </c>
      <c r="W57" s="124"/>
      <c r="X57" s="124"/>
      <c r="Y57" s="134"/>
    </row>
    <row r="58" spans="3:25" ht="15.6" x14ac:dyDescent="0.3">
      <c r="C58" s="258"/>
      <c r="D58" s="103" t="s">
        <v>14</v>
      </c>
      <c r="E58" s="77">
        <f>'[1]Trip Rate'!K37</f>
        <v>1317.3433265123847</v>
      </c>
      <c r="F58" s="77">
        <f>'[1]Trip Rate'!L37</f>
        <v>1989.5768224362307</v>
      </c>
      <c r="H58" s="258"/>
      <c r="I58" s="115" t="s">
        <v>11</v>
      </c>
      <c r="J58" s="70"/>
      <c r="K58" s="91"/>
      <c r="L58" s="91"/>
      <c r="M58" s="93"/>
      <c r="N58" s="85">
        <f>E55</f>
        <v>2492.3840399622668</v>
      </c>
      <c r="Q58" s="133"/>
      <c r="R58" s="135" t="s">
        <v>195</v>
      </c>
      <c r="S58" s="136">
        <f>SUM(S53:S56)</f>
        <v>0.31306087612085881</v>
      </c>
      <c r="T58" s="136">
        <f>SUM(T53:T56)</f>
        <v>0.80242071815162541</v>
      </c>
      <c r="U58" s="136">
        <f>SUM(U53:U56)</f>
        <v>0.55774079713624214</v>
      </c>
      <c r="V58" s="136">
        <f>SUM(V53:V56)</f>
        <v>0.55774079713624214</v>
      </c>
      <c r="W58" s="124"/>
      <c r="X58" s="124"/>
      <c r="Y58" s="134"/>
    </row>
    <row r="59" spans="3:25" ht="15.6" x14ac:dyDescent="0.3">
      <c r="C59" s="258"/>
      <c r="D59" s="2" t="s">
        <v>181</v>
      </c>
      <c r="E59" s="104">
        <f>SUM(E55:E58)</f>
        <v>7546.5864146729054</v>
      </c>
      <c r="F59" s="104">
        <f>SUM(F55:F58)</f>
        <v>7546.5864146729054</v>
      </c>
      <c r="G59" s="123" t="s">
        <v>202</v>
      </c>
      <c r="H59" s="258"/>
      <c r="I59" s="115" t="s">
        <v>12</v>
      </c>
      <c r="J59" s="74"/>
      <c r="M59" s="73"/>
      <c r="N59" s="71">
        <f>E56</f>
        <v>2492.3840399622668</v>
      </c>
      <c r="Q59" s="133"/>
      <c r="R59" s="135" t="s">
        <v>194</v>
      </c>
      <c r="S59" s="135">
        <f>S57/S58</f>
        <v>6548.2471824699887</v>
      </c>
      <c r="T59" s="135">
        <f>T57/T58</f>
        <v>2554.7695287855618</v>
      </c>
      <c r="U59" s="135">
        <f>U57/U58</f>
        <v>1889.7667257117182</v>
      </c>
      <c r="V59" s="135">
        <f>V57/V58</f>
        <v>1986.5858938221859</v>
      </c>
      <c r="W59" s="124"/>
      <c r="X59" s="124"/>
      <c r="Y59" s="134"/>
    </row>
    <row r="60" spans="3:25" ht="15.6" x14ac:dyDescent="0.3">
      <c r="C60" s="258" t="s">
        <v>174</v>
      </c>
      <c r="D60" s="103" t="s">
        <v>11</v>
      </c>
      <c r="E60" s="85">
        <f>'[1]Trip Rate'!O34</f>
        <v>2662.939164795906</v>
      </c>
      <c r="F60" s="85">
        <f>'[1]Trip Rate'!P34</f>
        <v>1601.0889518076301</v>
      </c>
      <c r="H60" s="258"/>
      <c r="I60" s="115" t="s">
        <v>13</v>
      </c>
      <c r="J60" s="74"/>
      <c r="M60" s="73"/>
      <c r="N60" s="71">
        <f>E57</f>
        <v>1244.4750082359867</v>
      </c>
      <c r="Q60" s="133"/>
      <c r="R60" s="124"/>
      <c r="S60" s="124"/>
      <c r="T60" s="124"/>
      <c r="U60" s="124"/>
      <c r="V60" s="124"/>
      <c r="W60" s="124"/>
      <c r="X60" s="124"/>
      <c r="Y60" s="134"/>
    </row>
    <row r="61" spans="3:25" ht="15.6" x14ac:dyDescent="0.3">
      <c r="C61" s="258"/>
      <c r="D61" s="103" t="s">
        <v>12</v>
      </c>
      <c r="E61" s="71">
        <f>'[1]Trip Rate'!O35</f>
        <v>2662.939164795906</v>
      </c>
      <c r="F61" s="71">
        <f>'[1]Trip Rate'!P35</f>
        <v>2006.4115000433494</v>
      </c>
      <c r="H61" s="258"/>
      <c r="I61" s="115" t="s">
        <v>14</v>
      </c>
      <c r="J61" s="76"/>
      <c r="K61" s="97"/>
      <c r="L61" s="97"/>
      <c r="M61" s="98"/>
      <c r="N61" s="77">
        <f>E58</f>
        <v>1317.3433265123847</v>
      </c>
      <c r="Q61" s="133"/>
      <c r="R61" s="124"/>
      <c r="S61" s="124"/>
      <c r="T61" s="124"/>
      <c r="U61" s="124"/>
      <c r="V61" s="124"/>
      <c r="W61" s="124"/>
      <c r="X61" s="124"/>
      <c r="Y61" s="134"/>
    </row>
    <row r="62" spans="3:25" ht="15.6" x14ac:dyDescent="0.3">
      <c r="C62" s="258"/>
      <c r="D62" s="103" t="s">
        <v>13</v>
      </c>
      <c r="E62" s="71">
        <f>'[1]Trip Rate'!O36</f>
        <v>1317.6716292739918</v>
      </c>
      <c r="F62" s="71">
        <f>'[1]Trip Rate'!P36</f>
        <v>2313.6568174166791</v>
      </c>
      <c r="H62" s="258"/>
      <c r="I62" s="146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23" t="s">
        <v>202</v>
      </c>
      <c r="Q62" s="74"/>
      <c r="R62" s="268" t="s">
        <v>204</v>
      </c>
      <c r="S62" s="269"/>
      <c r="T62" s="269"/>
      <c r="U62" s="269"/>
      <c r="V62" s="270"/>
      <c r="W62" s="124"/>
      <c r="X62" s="124"/>
      <c r="Y62" s="134"/>
    </row>
    <row r="63" spans="3:25" ht="15.6" x14ac:dyDescent="0.3">
      <c r="C63" s="258"/>
      <c r="D63" s="103" t="s">
        <v>14</v>
      </c>
      <c r="E63" s="77">
        <f>'[1]Trip Rate'!O37</f>
        <v>1398.0016976238194</v>
      </c>
      <c r="F63" s="77">
        <f>'[1]Trip Rate'!P37</f>
        <v>2120.3943872219643</v>
      </c>
      <c r="H63" s="258" t="s">
        <v>174</v>
      </c>
      <c r="I63" s="143" t="s">
        <v>199</v>
      </c>
      <c r="J63" s="149" t="s">
        <v>11</v>
      </c>
      <c r="K63" s="148" t="s">
        <v>12</v>
      </c>
      <c r="L63" s="148" t="s">
        <v>13</v>
      </c>
      <c r="M63" s="148" t="s">
        <v>14</v>
      </c>
      <c r="N63" s="146" t="s">
        <v>172</v>
      </c>
      <c r="Q63" s="133"/>
      <c r="R63" s="136" t="s">
        <v>199</v>
      </c>
      <c r="S63" s="140">
        <v>1</v>
      </c>
      <c r="T63" s="140">
        <v>2</v>
      </c>
      <c r="U63" s="140">
        <v>3</v>
      </c>
      <c r="V63" s="139">
        <v>4</v>
      </c>
      <c r="W63" s="135" t="s">
        <v>198</v>
      </c>
      <c r="X63" s="135" t="s">
        <v>197</v>
      </c>
      <c r="Y63" s="135" t="s">
        <v>194</v>
      </c>
    </row>
    <row r="64" spans="3:25" ht="15.6" x14ac:dyDescent="0.3">
      <c r="C64" s="258"/>
      <c r="D64" s="2" t="s">
        <v>181</v>
      </c>
      <c r="E64" s="104">
        <f>SUM(E60:E63)</f>
        <v>8041.5516564896234</v>
      </c>
      <c r="F64" s="104">
        <f>SUM(F60:F63)</f>
        <v>8041.5516564896225</v>
      </c>
      <c r="G64" s="123" t="s">
        <v>202</v>
      </c>
      <c r="H64" s="258"/>
      <c r="I64" s="115" t="s">
        <v>11</v>
      </c>
      <c r="J64" s="70"/>
      <c r="K64" s="91"/>
      <c r="L64" s="91"/>
      <c r="M64" s="93"/>
      <c r="N64" s="85">
        <f>E60</f>
        <v>2662.939164795906</v>
      </c>
      <c r="Q64" s="133"/>
      <c r="R64" s="138">
        <v>1</v>
      </c>
      <c r="S64" s="147">
        <f t="shared" ref="S64:V67" si="3">S53*S$59</f>
        <v>285.73523764816258</v>
      </c>
      <c r="T64" s="147">
        <f t="shared" si="3"/>
        <v>0</v>
      </c>
      <c r="U64" s="147">
        <f t="shared" si="3"/>
        <v>254.57567119363048</v>
      </c>
      <c r="V64" s="147">
        <f t="shared" si="3"/>
        <v>267.61844751664381</v>
      </c>
      <c r="W64" s="136">
        <f>W53</f>
        <v>2050</v>
      </c>
      <c r="X64" s="136">
        <f>SUM(S64:V64)</f>
        <v>807.92935635843696</v>
      </c>
      <c r="Y64" s="135">
        <f>W64/X64</f>
        <v>2.5373505540631944</v>
      </c>
    </row>
    <row r="65" spans="3:25" ht="15.6" x14ac:dyDescent="0.3">
      <c r="C65" s="258" t="s">
        <v>176</v>
      </c>
      <c r="D65" s="103" t="s">
        <v>11</v>
      </c>
      <c r="E65" s="85">
        <f>'[1]Trip Rate'!S34</f>
        <v>2846.535435076155</v>
      </c>
      <c r="F65" s="85">
        <f>'[1]Trip Rate'!T34</f>
        <v>1706.558014485141</v>
      </c>
      <c r="H65" s="258"/>
      <c r="I65" s="115" t="s">
        <v>12</v>
      </c>
      <c r="J65" s="74"/>
      <c r="M65" s="73"/>
      <c r="N65" s="71">
        <f>E61</f>
        <v>2662.939164795906</v>
      </c>
      <c r="Q65" s="133"/>
      <c r="R65" s="138">
        <v>2</v>
      </c>
      <c r="S65" s="147">
        <f t="shared" si="3"/>
        <v>0</v>
      </c>
      <c r="T65" s="147">
        <f t="shared" si="3"/>
        <v>111.47833276636888</v>
      </c>
      <c r="U65" s="147">
        <f t="shared" si="3"/>
        <v>716.96364437827322</v>
      </c>
      <c r="V65" s="147">
        <f t="shared" si="3"/>
        <v>753.69612710733099</v>
      </c>
      <c r="W65" s="136">
        <f>W54</f>
        <v>2050</v>
      </c>
      <c r="X65" s="136">
        <f>SUM(S65:V65)</f>
        <v>1582.1381042519731</v>
      </c>
      <c r="Y65" s="135">
        <f>W65/X65</f>
        <v>1.2957149533853303</v>
      </c>
    </row>
    <row r="66" spans="3:25" ht="15.6" x14ac:dyDescent="0.3">
      <c r="C66" s="258"/>
      <c r="D66" s="103" t="s">
        <v>12</v>
      </c>
      <c r="E66" s="71">
        <f>'[1]Trip Rate'!S35</f>
        <v>2846.535435076155</v>
      </c>
      <c r="F66" s="71">
        <f>'[1]Trip Rate'!T35</f>
        <v>2140.666670392317</v>
      </c>
      <c r="H66" s="258"/>
      <c r="I66" s="115" t="s">
        <v>13</v>
      </c>
      <c r="J66" s="74"/>
      <c r="M66" s="73"/>
      <c r="N66" s="71">
        <f>E62</f>
        <v>1317.6716292739918</v>
      </c>
      <c r="Q66" s="133"/>
      <c r="R66" s="138">
        <v>3</v>
      </c>
      <c r="S66" s="147">
        <f t="shared" si="3"/>
        <v>882.13238117591857</v>
      </c>
      <c r="T66" s="147">
        <f t="shared" si="3"/>
        <v>969.26083361681572</v>
      </c>
      <c r="U66" s="147">
        <f t="shared" si="3"/>
        <v>82.460684428096215</v>
      </c>
      <c r="V66" s="147">
        <f t="shared" si="3"/>
        <v>0</v>
      </c>
      <c r="W66" s="136">
        <f>W55</f>
        <v>1054</v>
      </c>
      <c r="X66" s="136">
        <f>SUM(S66:V66)</f>
        <v>1933.8538992208305</v>
      </c>
      <c r="Y66" s="135">
        <f>W66/X66</f>
        <v>0.54502566115499596</v>
      </c>
    </row>
    <row r="67" spans="3:25" ht="15.6" x14ac:dyDescent="0.3">
      <c r="C67" s="258"/>
      <c r="D67" s="103" t="s">
        <v>13</v>
      </c>
      <c r="E67" s="71">
        <f>'[1]Trip Rate'!S36</f>
        <v>1396.3384616119097</v>
      </c>
      <c r="F67" s="71">
        <f>'[1]Trip Rate'!T36</f>
        <v>2465.8588575838148</v>
      </c>
      <c r="H67" s="258"/>
      <c r="I67" s="115" t="s">
        <v>14</v>
      </c>
      <c r="J67" s="76"/>
      <c r="K67" s="97"/>
      <c r="L67" s="97"/>
      <c r="M67" s="98"/>
      <c r="N67" s="77">
        <f>E63</f>
        <v>1398.0016976238194</v>
      </c>
      <c r="Q67" s="133"/>
      <c r="R67" s="142">
        <v>4</v>
      </c>
      <c r="S67" s="147">
        <f t="shared" si="3"/>
        <v>882.13238117591857</v>
      </c>
      <c r="T67" s="147">
        <f t="shared" si="3"/>
        <v>969.26083361681572</v>
      </c>
      <c r="U67" s="147">
        <f t="shared" si="3"/>
        <v>0</v>
      </c>
      <c r="V67" s="147">
        <f t="shared" si="3"/>
        <v>86.68542537602525</v>
      </c>
      <c r="W67" s="136">
        <f>W56</f>
        <v>1108</v>
      </c>
      <c r="X67" s="136">
        <f>SUM(S67:V67)</f>
        <v>1938.0786401687596</v>
      </c>
      <c r="Y67" s="135">
        <f>W67/X67</f>
        <v>0.57170022775934426</v>
      </c>
    </row>
    <row r="68" spans="3:25" ht="15.6" x14ac:dyDescent="0.3">
      <c r="C68" s="258"/>
      <c r="D68" s="103" t="s">
        <v>14</v>
      </c>
      <c r="E68" s="77">
        <f>'[1]Trip Rate'!S37</f>
        <v>1484.8003122791824</v>
      </c>
      <c r="F68" s="77">
        <f>'[1]Trip Rate'!T37</f>
        <v>2261.126101582131</v>
      </c>
      <c r="H68" s="258"/>
      <c r="I68" s="146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23" t="s">
        <v>202</v>
      </c>
      <c r="Q68" s="133"/>
      <c r="R68" s="135" t="s">
        <v>196</v>
      </c>
      <c r="S68" s="136">
        <f>S57</f>
        <v>2050</v>
      </c>
      <c r="T68" s="136">
        <f>T57</f>
        <v>2050</v>
      </c>
      <c r="U68" s="136">
        <f>U57</f>
        <v>1054</v>
      </c>
      <c r="V68" s="136">
        <f>V57</f>
        <v>1108</v>
      </c>
      <c r="W68" s="124"/>
      <c r="X68" s="124"/>
      <c r="Y68" s="134"/>
    </row>
    <row r="69" spans="3:25" ht="15.6" x14ac:dyDescent="0.3">
      <c r="C69" s="258"/>
      <c r="D69" s="2" t="s">
        <v>181</v>
      </c>
      <c r="E69" s="104">
        <f>SUM(E65:E68)</f>
        <v>8574.2096440434034</v>
      </c>
      <c r="F69" s="104">
        <f>SUM(F65:F68)</f>
        <v>8574.2096440434034</v>
      </c>
      <c r="G69" s="123" t="s">
        <v>202</v>
      </c>
      <c r="H69" s="258" t="s">
        <v>176</v>
      </c>
      <c r="I69" s="143" t="s">
        <v>199</v>
      </c>
      <c r="J69" s="149" t="s">
        <v>11</v>
      </c>
      <c r="K69" s="148" t="s">
        <v>12</v>
      </c>
      <c r="L69" s="148" t="s">
        <v>13</v>
      </c>
      <c r="M69" s="148" t="s">
        <v>14</v>
      </c>
      <c r="N69" s="146" t="s">
        <v>172</v>
      </c>
      <c r="Q69" s="133"/>
      <c r="R69" s="135" t="s">
        <v>195</v>
      </c>
      <c r="S69" s="136">
        <f>SUM(S64:S67)</f>
        <v>2049.9999999999995</v>
      </c>
      <c r="T69" s="136">
        <f>SUM(T64:T67)</f>
        <v>2050</v>
      </c>
      <c r="U69" s="136">
        <f>SUM(U64:U67)</f>
        <v>1054</v>
      </c>
      <c r="V69" s="136">
        <f>SUM(V64:V67)</f>
        <v>1108</v>
      </c>
      <c r="W69" s="124"/>
      <c r="X69" s="124"/>
      <c r="Y69" s="134"/>
    </row>
    <row r="70" spans="3:25" ht="15.6" x14ac:dyDescent="0.3">
      <c r="C70" s="258" t="s">
        <v>178</v>
      </c>
      <c r="D70" s="103" t="s">
        <v>11</v>
      </c>
      <c r="E70" s="85">
        <v>3044.1735794193137</v>
      </c>
      <c r="F70" s="85">
        <v>1930.3584281999242</v>
      </c>
      <c r="H70" s="258"/>
      <c r="I70" s="115" t="s">
        <v>11</v>
      </c>
      <c r="J70" s="70"/>
      <c r="K70" s="91"/>
      <c r="L70" s="91"/>
      <c r="M70" s="93"/>
      <c r="N70" s="85">
        <f>E65</f>
        <v>2846.535435076155</v>
      </c>
      <c r="Q70" s="133"/>
      <c r="R70" s="135" t="s">
        <v>194</v>
      </c>
      <c r="S70" s="135">
        <f>S68/S69</f>
        <v>1.0000000000000002</v>
      </c>
      <c r="T70" s="135">
        <f>T68/T69</f>
        <v>1</v>
      </c>
      <c r="U70" s="135">
        <f>U68/U69</f>
        <v>1</v>
      </c>
      <c r="V70" s="135">
        <f>V68/V69</f>
        <v>1</v>
      </c>
      <c r="W70" s="124"/>
      <c r="X70" s="124"/>
      <c r="Y70" s="134"/>
    </row>
    <row r="71" spans="3:25" ht="15.6" x14ac:dyDescent="0.3">
      <c r="C71" s="258"/>
      <c r="D71" s="103" t="s">
        <v>12</v>
      </c>
      <c r="E71" s="71">
        <v>3044.1735794193137</v>
      </c>
      <c r="F71" s="71">
        <v>2423.5572278064883</v>
      </c>
      <c r="H71" s="258"/>
      <c r="I71" s="115" t="s">
        <v>12</v>
      </c>
      <c r="J71" s="74"/>
      <c r="M71" s="73"/>
      <c r="N71" s="71">
        <f>E66</f>
        <v>2846.535435076155</v>
      </c>
      <c r="Q71" s="133"/>
      <c r="R71" s="124"/>
      <c r="S71" s="124"/>
      <c r="T71" s="124"/>
      <c r="U71" s="124"/>
      <c r="V71" s="124"/>
      <c r="W71" s="124"/>
      <c r="X71" s="124"/>
      <c r="Y71" s="134"/>
    </row>
    <row r="72" spans="3:25" ht="15.6" x14ac:dyDescent="0.3">
      <c r="C72" s="258"/>
      <c r="D72" s="103" t="s">
        <v>13</v>
      </c>
      <c r="E72" s="71">
        <v>1480.8887406556896</v>
      </c>
      <c r="F72" s="71">
        <v>2788.6181283808864</v>
      </c>
      <c r="H72" s="258"/>
      <c r="I72" s="115" t="s">
        <v>13</v>
      </c>
      <c r="J72" s="74"/>
      <c r="M72" s="73"/>
      <c r="N72" s="71">
        <f>E67</f>
        <v>1396.3384616119097</v>
      </c>
      <c r="Q72" s="133"/>
      <c r="R72" s="124"/>
      <c r="S72" s="124"/>
      <c r="T72" s="124"/>
      <c r="U72" s="124"/>
      <c r="V72" s="124"/>
      <c r="W72" s="124"/>
      <c r="X72" s="124"/>
      <c r="Y72" s="134"/>
    </row>
    <row r="73" spans="3:25" ht="15.6" x14ac:dyDescent="0.3">
      <c r="C73" s="258"/>
      <c r="D73" s="103" t="s">
        <v>14</v>
      </c>
      <c r="E73" s="77">
        <v>1578.2089508716722</v>
      </c>
      <c r="F73" s="77">
        <v>2558.5385458951887</v>
      </c>
      <c r="H73" s="258"/>
      <c r="I73" s="115" t="s">
        <v>14</v>
      </c>
      <c r="J73" s="76"/>
      <c r="K73" s="97"/>
      <c r="L73" s="97"/>
      <c r="M73" s="98"/>
      <c r="N73" s="77">
        <f>E68</f>
        <v>1484.8003122791824</v>
      </c>
      <c r="Q73" s="74"/>
      <c r="R73" s="268" t="s">
        <v>203</v>
      </c>
      <c r="S73" s="269"/>
      <c r="T73" s="269"/>
      <c r="U73" s="269"/>
      <c r="V73" s="270"/>
      <c r="W73" s="124"/>
      <c r="X73" s="124"/>
      <c r="Y73" s="134"/>
    </row>
    <row r="74" spans="3:25" ht="15.6" x14ac:dyDescent="0.3">
      <c r="C74" s="258"/>
      <c r="D74" s="2" t="s">
        <v>181</v>
      </c>
      <c r="E74" s="104">
        <f>SUM(E70:E73)</f>
        <v>9147.4448503659896</v>
      </c>
      <c r="F74" s="104">
        <f>SUM(F70:F73)</f>
        <v>9701.0723302824881</v>
      </c>
      <c r="G74" s="123" t="s">
        <v>202</v>
      </c>
      <c r="H74" s="258"/>
      <c r="I74" s="146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23" t="s">
        <v>202</v>
      </c>
      <c r="Q74" s="133"/>
      <c r="R74" s="136" t="s">
        <v>199</v>
      </c>
      <c r="S74" s="140">
        <v>1</v>
      </c>
      <c r="T74" s="140">
        <v>2</v>
      </c>
      <c r="U74" s="140">
        <v>3</v>
      </c>
      <c r="V74" s="139">
        <v>4</v>
      </c>
      <c r="W74" s="135" t="s">
        <v>198</v>
      </c>
      <c r="X74" s="135" t="s">
        <v>197</v>
      </c>
      <c r="Y74" s="135" t="s">
        <v>194</v>
      </c>
    </row>
    <row r="75" spans="3:25" ht="15.6" x14ac:dyDescent="0.3">
      <c r="H75" s="258" t="s">
        <v>178</v>
      </c>
      <c r="I75" s="143" t="s">
        <v>199</v>
      </c>
      <c r="J75" s="149" t="s">
        <v>11</v>
      </c>
      <c r="K75" s="148" t="s">
        <v>12</v>
      </c>
      <c r="L75" s="148" t="s">
        <v>13</v>
      </c>
      <c r="M75" s="148" t="s">
        <v>14</v>
      </c>
      <c r="N75" s="146" t="s">
        <v>172</v>
      </c>
      <c r="Q75" s="133"/>
      <c r="R75" s="138">
        <v>1</v>
      </c>
      <c r="S75" s="147">
        <f t="shared" ref="S75:V78" si="4">S64*$Y64</f>
        <v>725.01046356194388</v>
      </c>
      <c r="T75" s="147">
        <f t="shared" si="4"/>
        <v>0</v>
      </c>
      <c r="U75" s="147">
        <f t="shared" si="4"/>
        <v>645.94772035416793</v>
      </c>
      <c r="V75" s="147">
        <f t="shared" si="4"/>
        <v>679.04181608388808</v>
      </c>
      <c r="W75" s="136">
        <f>W64</f>
        <v>2050</v>
      </c>
      <c r="X75" s="136">
        <f>SUM(S75:V75)</f>
        <v>2050</v>
      </c>
      <c r="Y75" s="135">
        <f>W75/X75</f>
        <v>1</v>
      </c>
    </row>
    <row r="76" spans="3:25" ht="15.6" x14ac:dyDescent="0.3">
      <c r="H76" s="258"/>
      <c r="I76" s="115" t="s">
        <v>11</v>
      </c>
      <c r="J76" s="70"/>
      <c r="K76" s="91"/>
      <c r="L76" s="91"/>
      <c r="M76" s="93"/>
      <c r="N76" s="85">
        <f>E70</f>
        <v>3044.1735794193137</v>
      </c>
      <c r="Q76" s="133"/>
      <c r="R76" s="138">
        <v>2</v>
      </c>
      <c r="S76" s="147">
        <f t="shared" si="4"/>
        <v>0</v>
      </c>
      <c r="T76" s="147">
        <f t="shared" si="4"/>
        <v>144.44414274384999</v>
      </c>
      <c r="U76" s="147">
        <f t="shared" si="4"/>
        <v>928.98051505457079</v>
      </c>
      <c r="V76" s="147">
        <f t="shared" si="4"/>
        <v>976.57534220157936</v>
      </c>
      <c r="W76" s="136">
        <f>W65</f>
        <v>2050</v>
      </c>
      <c r="X76" s="136">
        <f>SUM(S76:V76)</f>
        <v>2050</v>
      </c>
      <c r="Y76" s="135">
        <f>W76/X76</f>
        <v>1</v>
      </c>
    </row>
    <row r="77" spans="3:25" ht="15.6" x14ac:dyDescent="0.3">
      <c r="H77" s="258"/>
      <c r="I77" s="115" t="s">
        <v>12</v>
      </c>
      <c r="J77" s="74"/>
      <c r="M77" s="73"/>
      <c r="N77" s="71">
        <f>E71</f>
        <v>3044.1735794193137</v>
      </c>
      <c r="Q77" s="133"/>
      <c r="R77" s="138">
        <v>3</v>
      </c>
      <c r="S77" s="147">
        <f t="shared" si="4"/>
        <v>480.78478427663595</v>
      </c>
      <c r="T77" s="147">
        <f t="shared" si="4"/>
        <v>528.27202667364747</v>
      </c>
      <c r="U77" s="147">
        <f t="shared" si="4"/>
        <v>44.943189049716622</v>
      </c>
      <c r="V77" s="147">
        <f t="shared" si="4"/>
        <v>0</v>
      </c>
      <c r="W77" s="136">
        <f>W66</f>
        <v>1054</v>
      </c>
      <c r="X77" s="136">
        <f>SUM(S77:V77)</f>
        <v>1054</v>
      </c>
      <c r="Y77" s="135">
        <f>W77/X77</f>
        <v>1</v>
      </c>
    </row>
    <row r="78" spans="3:25" ht="15.6" x14ac:dyDescent="0.3">
      <c r="H78" s="258"/>
      <c r="I78" s="115" t="s">
        <v>13</v>
      </c>
      <c r="J78" s="74"/>
      <c r="M78" s="73"/>
      <c r="N78" s="71">
        <f>E72</f>
        <v>1480.8887406556896</v>
      </c>
      <c r="Q78" s="133"/>
      <c r="R78" s="142">
        <v>4</v>
      </c>
      <c r="S78" s="147">
        <f t="shared" si="4"/>
        <v>504.31528323216531</v>
      </c>
      <c r="T78" s="147">
        <f t="shared" si="4"/>
        <v>554.12663933694546</v>
      </c>
      <c r="U78" s="147">
        <f t="shared" si="4"/>
        <v>0</v>
      </c>
      <c r="V78" s="147">
        <f t="shared" si="4"/>
        <v>49.558077430889277</v>
      </c>
      <c r="W78" s="136">
        <f>W67</f>
        <v>1108</v>
      </c>
      <c r="X78" s="136">
        <f>SUM(S78:V78)</f>
        <v>1108</v>
      </c>
      <c r="Y78" s="135">
        <f>W78/X78</f>
        <v>1</v>
      </c>
    </row>
    <row r="79" spans="3:25" ht="15.6" x14ac:dyDescent="0.3">
      <c r="H79" s="258"/>
      <c r="I79" s="115" t="s">
        <v>14</v>
      </c>
      <c r="J79" s="76"/>
      <c r="K79" s="97"/>
      <c r="L79" s="97"/>
      <c r="M79" s="98"/>
      <c r="N79" s="77">
        <f>E73</f>
        <v>1578.2089508716722</v>
      </c>
      <c r="Q79" s="133"/>
      <c r="R79" s="135" t="s">
        <v>196</v>
      </c>
      <c r="S79" s="136">
        <f>S68</f>
        <v>2050</v>
      </c>
      <c r="T79" s="136">
        <f>T68</f>
        <v>2050</v>
      </c>
      <c r="U79" s="136">
        <f>U68</f>
        <v>1054</v>
      </c>
      <c r="V79" s="136">
        <f>V68</f>
        <v>1108</v>
      </c>
      <c r="W79" s="124"/>
      <c r="X79" s="124"/>
      <c r="Y79" s="134"/>
    </row>
    <row r="80" spans="3:25" ht="15.6" x14ac:dyDescent="0.3">
      <c r="H80" s="258"/>
      <c r="I80" s="146" t="s">
        <v>173</v>
      </c>
      <c r="J80" s="145">
        <f>F70</f>
        <v>1930.3584281999242</v>
      </c>
      <c r="K80" s="144">
        <f>F71</f>
        <v>2423.5572278064883</v>
      </c>
      <c r="L80" s="144">
        <f>F72</f>
        <v>2788.6181283808864</v>
      </c>
      <c r="M80" s="143">
        <f>F73</f>
        <v>2558.5385458951887</v>
      </c>
      <c r="N80" s="4">
        <f>SUM(N76:N79)</f>
        <v>9147.4448503659896</v>
      </c>
      <c r="O80" s="123" t="s">
        <v>202</v>
      </c>
      <c r="Q80" s="133"/>
      <c r="R80" s="135" t="s">
        <v>195</v>
      </c>
      <c r="S80" s="136">
        <f>SUM(S75:S78)</f>
        <v>1710.1105310707451</v>
      </c>
      <c r="T80" s="136">
        <f>SUM(T75:T78)</f>
        <v>1226.842808754443</v>
      </c>
      <c r="U80" s="136">
        <f>SUM(U75:U78)</f>
        <v>1619.8714244584553</v>
      </c>
      <c r="V80" s="136">
        <f>SUM(V75:V78)</f>
        <v>1705.1752357163566</v>
      </c>
      <c r="W80" s="124"/>
      <c r="X80" s="124"/>
      <c r="Y80" s="134"/>
    </row>
    <row r="81" spans="17:25" ht="15.6" x14ac:dyDescent="0.3">
      <c r="Q81" s="133"/>
      <c r="R81" s="135" t="s">
        <v>194</v>
      </c>
      <c r="S81" s="135">
        <f>S79/S80</f>
        <v>1.1987529243015895</v>
      </c>
      <c r="T81" s="135">
        <f>T79/T80</f>
        <v>1.6709557128033954</v>
      </c>
      <c r="U81" s="135">
        <f>U79/U80</f>
        <v>0.65066892599353454</v>
      </c>
      <c r="V81" s="135">
        <f>V79/V80</f>
        <v>0.64978658896281771</v>
      </c>
      <c r="W81" s="124"/>
      <c r="X81" s="124"/>
      <c r="Y81" s="134"/>
    </row>
    <row r="82" spans="17:25" ht="15.6" x14ac:dyDescent="0.3">
      <c r="Q82" s="133"/>
      <c r="R82" s="124"/>
      <c r="S82" s="124"/>
      <c r="T82" s="124"/>
      <c r="U82" s="124"/>
      <c r="V82" s="124"/>
      <c r="W82" s="124"/>
      <c r="X82" s="124"/>
      <c r="Y82" s="134"/>
    </row>
    <row r="83" spans="17:25" ht="15.6" x14ac:dyDescent="0.3">
      <c r="Q83" s="133"/>
      <c r="R83" s="124"/>
      <c r="S83" s="124"/>
      <c r="T83" s="124"/>
      <c r="U83" s="124"/>
      <c r="V83" s="124"/>
      <c r="W83" s="124"/>
      <c r="X83" s="124"/>
      <c r="Y83" s="134"/>
    </row>
    <row r="84" spans="17:25" ht="15.6" x14ac:dyDescent="0.3">
      <c r="Q84" s="74"/>
      <c r="R84" s="268" t="s">
        <v>201</v>
      </c>
      <c r="S84" s="269"/>
      <c r="T84" s="269"/>
      <c r="U84" s="269"/>
      <c r="V84" s="270"/>
      <c r="W84" s="124"/>
      <c r="X84" s="124"/>
      <c r="Y84" s="134"/>
    </row>
    <row r="85" spans="17:25" ht="15.6" x14ac:dyDescent="0.3">
      <c r="Q85" s="133"/>
      <c r="R85" s="136" t="s">
        <v>199</v>
      </c>
      <c r="S85" s="140">
        <v>1</v>
      </c>
      <c r="T85" s="140">
        <v>2</v>
      </c>
      <c r="U85" s="140">
        <v>3</v>
      </c>
      <c r="V85" s="139">
        <v>4</v>
      </c>
      <c r="W85" s="135" t="s">
        <v>198</v>
      </c>
      <c r="X85" s="135" t="s">
        <v>197</v>
      </c>
      <c r="Y85" s="135" t="s">
        <v>194</v>
      </c>
    </row>
    <row r="86" spans="17:25" ht="15.6" x14ac:dyDescent="0.3">
      <c r="Q86" s="133"/>
      <c r="R86" s="138">
        <v>1</v>
      </c>
      <c r="S86" s="137">
        <f t="shared" ref="S86:V89" si="5">S75*S$81</f>
        <v>869.10841334413124</v>
      </c>
      <c r="T86" s="137">
        <f t="shared" si="5"/>
        <v>0</v>
      </c>
      <c r="U86" s="137">
        <f t="shared" si="5"/>
        <v>420.29810945081846</v>
      </c>
      <c r="V86" s="137">
        <f t="shared" si="5"/>
        <v>441.23226543626663</v>
      </c>
      <c r="W86" s="136">
        <f>W75</f>
        <v>2050</v>
      </c>
      <c r="X86" s="136">
        <f>SUM(S86:V86)</f>
        <v>1730.6387882312165</v>
      </c>
      <c r="Y86" s="135">
        <f>W86/X86</f>
        <v>1.1845337189600285</v>
      </c>
    </row>
    <row r="87" spans="17:25" ht="15.6" x14ac:dyDescent="0.3">
      <c r="Q87" s="133"/>
      <c r="R87" s="138">
        <v>2</v>
      </c>
      <c r="S87" s="137">
        <f t="shared" si="5"/>
        <v>0</v>
      </c>
      <c r="T87" s="137">
        <f t="shared" si="5"/>
        <v>241.35976549882525</v>
      </c>
      <c r="U87" s="137">
        <f t="shared" si="5"/>
        <v>604.45875399947818</v>
      </c>
      <c r="V87" s="137">
        <f t="shared" si="5"/>
        <v>634.56556047436072</v>
      </c>
      <c r="W87" s="136">
        <f>W76</f>
        <v>2050</v>
      </c>
      <c r="X87" s="136">
        <f>SUM(S87:V87)</f>
        <v>1480.384079972664</v>
      </c>
      <c r="Y87" s="135">
        <f>W87/X87</f>
        <v>1.3847757671359544</v>
      </c>
    </row>
    <row r="88" spans="17:25" ht="15.6" x14ac:dyDescent="0.3">
      <c r="Q88" s="133"/>
      <c r="R88" s="138">
        <v>3</v>
      </c>
      <c r="S88" s="137">
        <f t="shared" si="5"/>
        <v>576.34216611132626</v>
      </c>
      <c r="T88" s="137">
        <f t="shared" si="5"/>
        <v>882.71916088455896</v>
      </c>
      <c r="U88" s="137">
        <f t="shared" si="5"/>
        <v>29.243136549703497</v>
      </c>
      <c r="V88" s="137">
        <f t="shared" si="5"/>
        <v>0</v>
      </c>
      <c r="W88" s="136">
        <f>W77</f>
        <v>1054</v>
      </c>
      <c r="X88" s="136">
        <f>SUM(S88:V88)</f>
        <v>1488.3044635455888</v>
      </c>
      <c r="Y88" s="135">
        <f>W88/X88</f>
        <v>0.70818842905910195</v>
      </c>
    </row>
    <row r="89" spans="17:25" ht="15.6" x14ac:dyDescent="0.3">
      <c r="Q89" s="133"/>
      <c r="R89" s="142">
        <v>4</v>
      </c>
      <c r="S89" s="136">
        <f t="shared" si="5"/>
        <v>604.5494205445425</v>
      </c>
      <c r="T89" s="136">
        <f t="shared" si="5"/>
        <v>925.92107361661567</v>
      </c>
      <c r="U89" s="136">
        <f t="shared" si="5"/>
        <v>0</v>
      </c>
      <c r="V89" s="141">
        <f t="shared" si="5"/>
        <v>32.202174089372747</v>
      </c>
      <c r="W89" s="136">
        <f>W78</f>
        <v>1108</v>
      </c>
      <c r="X89" s="136">
        <f>SUM(S89:V89)</f>
        <v>1562.6726682505307</v>
      </c>
      <c r="Y89" s="135">
        <f>W89/X89</f>
        <v>0.70904164545249682</v>
      </c>
    </row>
    <row r="90" spans="17:25" ht="15.6" x14ac:dyDescent="0.3">
      <c r="Q90" s="133"/>
      <c r="R90" s="135" t="s">
        <v>196</v>
      </c>
      <c r="S90" s="136">
        <f>S79</f>
        <v>2050</v>
      </c>
      <c r="T90" s="136">
        <f>T79</f>
        <v>2050</v>
      </c>
      <c r="U90" s="136">
        <f>U79</f>
        <v>1054</v>
      </c>
      <c r="V90" s="136">
        <f>V79</f>
        <v>1108</v>
      </c>
      <c r="W90" s="124"/>
      <c r="X90" s="124"/>
      <c r="Y90" s="134"/>
    </row>
    <row r="91" spans="17:25" ht="15.6" x14ac:dyDescent="0.3">
      <c r="Q91" s="133"/>
      <c r="R91" s="135" t="s">
        <v>195</v>
      </c>
      <c r="S91" s="136">
        <f>SUM(S86:S89)</f>
        <v>2050</v>
      </c>
      <c r="T91" s="136">
        <f>SUM(T86:T89)</f>
        <v>2050</v>
      </c>
      <c r="U91" s="136">
        <f>SUM(U86:U89)</f>
        <v>1054</v>
      </c>
      <c r="V91" s="136">
        <f>SUM(V86:V89)</f>
        <v>1108</v>
      </c>
      <c r="W91" s="124"/>
      <c r="X91" s="124"/>
      <c r="Y91" s="134"/>
    </row>
    <row r="92" spans="17:25" ht="15.6" x14ac:dyDescent="0.3">
      <c r="Q92" s="133"/>
      <c r="R92" s="135" t="s">
        <v>194</v>
      </c>
      <c r="S92" s="135">
        <f>S90/S91</f>
        <v>1</v>
      </c>
      <c r="T92" s="135">
        <f>T90/T91</f>
        <v>1</v>
      </c>
      <c r="U92" s="135">
        <f>U90/U91</f>
        <v>1</v>
      </c>
      <c r="V92" s="135">
        <f>V90/V91</f>
        <v>1</v>
      </c>
      <c r="W92" s="124"/>
      <c r="X92" s="124"/>
      <c r="Y92" s="134"/>
    </row>
    <row r="93" spans="17:25" ht="15.6" x14ac:dyDescent="0.3">
      <c r="Q93" s="133"/>
      <c r="R93" s="124"/>
      <c r="S93" s="124"/>
      <c r="T93" s="124"/>
      <c r="U93" s="124"/>
      <c r="V93" s="124"/>
      <c r="W93" s="124"/>
      <c r="X93" s="124"/>
      <c r="Y93" s="134"/>
    </row>
    <row r="94" spans="17:25" ht="15.6" x14ac:dyDescent="0.3">
      <c r="Q94" s="133"/>
      <c r="R94" s="124"/>
      <c r="S94" s="124"/>
      <c r="T94" s="124"/>
      <c r="U94" s="124"/>
      <c r="V94" s="124"/>
      <c r="W94" s="124"/>
      <c r="X94" s="124"/>
      <c r="Y94" s="134"/>
    </row>
    <row r="95" spans="17:25" ht="15.6" x14ac:dyDescent="0.3">
      <c r="Q95" s="74"/>
      <c r="R95" s="268" t="s">
        <v>200</v>
      </c>
      <c r="S95" s="269"/>
      <c r="T95" s="269"/>
      <c r="U95" s="269"/>
      <c r="V95" s="270"/>
      <c r="W95" s="124"/>
      <c r="X95" s="124"/>
      <c r="Y95" s="134"/>
    </row>
    <row r="96" spans="17:25" ht="15.6" x14ac:dyDescent="0.3">
      <c r="Q96" s="133"/>
      <c r="R96" s="136" t="s">
        <v>199</v>
      </c>
      <c r="S96" s="140">
        <v>1</v>
      </c>
      <c r="T96" s="140">
        <v>2</v>
      </c>
      <c r="U96" s="140">
        <v>3</v>
      </c>
      <c r="V96" s="139">
        <v>4</v>
      </c>
      <c r="W96" s="135" t="s">
        <v>198</v>
      </c>
      <c r="X96" s="135" t="s">
        <v>197</v>
      </c>
      <c r="Y96" s="135" t="s">
        <v>194</v>
      </c>
    </row>
    <row r="97" spans="17:25" ht="15.6" x14ac:dyDescent="0.3">
      <c r="Q97" s="133"/>
      <c r="R97" s="138">
        <v>1</v>
      </c>
      <c r="S97" s="137">
        <f t="shared" ref="S97:V100" si="6">S86*$Y86</f>
        <v>1029.4882210379733</v>
      </c>
      <c r="T97" s="137">
        <f t="shared" si="6"/>
        <v>0</v>
      </c>
      <c r="U97" s="137">
        <f t="shared" si="6"/>
        <v>497.85728265964707</v>
      </c>
      <c r="V97" s="137">
        <f t="shared" si="6"/>
        <v>522.65449630237936</v>
      </c>
      <c r="W97" s="136">
        <f>W86</f>
        <v>2050</v>
      </c>
      <c r="X97" s="136">
        <f>SUM(S97:V97)</f>
        <v>2050</v>
      </c>
      <c r="Y97" s="135">
        <f>W97/X97</f>
        <v>1</v>
      </c>
    </row>
    <row r="98" spans="17:25" ht="15.6" x14ac:dyDescent="0.3">
      <c r="Q98" s="133"/>
      <c r="R98" s="138">
        <v>2</v>
      </c>
      <c r="S98" s="137">
        <f t="shared" si="6"/>
        <v>0</v>
      </c>
      <c r="T98" s="137">
        <f t="shared" si="6"/>
        <v>334.22915442438978</v>
      </c>
      <c r="U98" s="137">
        <f t="shared" si="6"/>
        <v>837.03983477167048</v>
      </c>
      <c r="V98" s="137">
        <f t="shared" si="6"/>
        <v>878.73101080393974</v>
      </c>
      <c r="W98" s="136">
        <f>W87</f>
        <v>2050</v>
      </c>
      <c r="X98" s="136">
        <f>SUM(S98:V98)</f>
        <v>2050</v>
      </c>
      <c r="Y98" s="135">
        <f>W98/X98</f>
        <v>1</v>
      </c>
    </row>
    <row r="99" spans="17:25" ht="15.6" x14ac:dyDescent="0.3">
      <c r="Q99" s="133"/>
      <c r="R99" s="138">
        <v>3</v>
      </c>
      <c r="S99" s="137">
        <f t="shared" si="6"/>
        <v>408.15885321890016</v>
      </c>
      <c r="T99" s="137">
        <f t="shared" si="6"/>
        <v>625.13149584720452</v>
      </c>
      <c r="U99" s="137">
        <f t="shared" si="6"/>
        <v>20.709650933895325</v>
      </c>
      <c r="V99" s="137">
        <f t="shared" si="6"/>
        <v>0</v>
      </c>
      <c r="W99" s="136">
        <f>W88</f>
        <v>1054</v>
      </c>
      <c r="X99" s="136">
        <f>SUM(S99:V99)</f>
        <v>1054</v>
      </c>
      <c r="Y99" s="135">
        <f>W99/X99</f>
        <v>1</v>
      </c>
    </row>
    <row r="100" spans="17:25" ht="15.6" x14ac:dyDescent="0.3">
      <c r="Q100" s="133"/>
      <c r="R100" s="138">
        <v>4</v>
      </c>
      <c r="S100" s="137">
        <f t="shared" si="6"/>
        <v>428.65071590025588</v>
      </c>
      <c r="T100" s="137">
        <f t="shared" si="6"/>
        <v>656.51660159626761</v>
      </c>
      <c r="U100" s="137">
        <f t="shared" si="6"/>
        <v>0</v>
      </c>
      <c r="V100" s="137">
        <f t="shared" si="6"/>
        <v>22.832682503476612</v>
      </c>
      <c r="W100" s="136">
        <f>W89</f>
        <v>1108</v>
      </c>
      <c r="X100" s="136">
        <f>SUM(S100:V100)</f>
        <v>1108.0000000000002</v>
      </c>
      <c r="Y100" s="135">
        <f>W100/X100</f>
        <v>0.99999999999999978</v>
      </c>
    </row>
    <row r="101" spans="17:25" ht="15.6" x14ac:dyDescent="0.3">
      <c r="Q101" s="133"/>
      <c r="R101" s="135" t="s">
        <v>196</v>
      </c>
      <c r="S101" s="136">
        <f>S90</f>
        <v>2050</v>
      </c>
      <c r="T101" s="136">
        <f>T90</f>
        <v>2050</v>
      </c>
      <c r="U101" s="136">
        <f>U90</f>
        <v>1054</v>
      </c>
      <c r="V101" s="136">
        <f>V90</f>
        <v>1108</v>
      </c>
      <c r="W101" s="124"/>
      <c r="X101" s="124"/>
      <c r="Y101" s="134"/>
    </row>
    <row r="102" spans="17:25" ht="15.6" x14ac:dyDescent="0.3">
      <c r="Q102" s="133"/>
      <c r="R102" s="135" t="s">
        <v>195</v>
      </c>
      <c r="S102" s="136">
        <f>SUM(S97:S100)</f>
        <v>1866.2977901571294</v>
      </c>
      <c r="T102" s="136">
        <f>SUM(T97:T100)</f>
        <v>1615.877251867862</v>
      </c>
      <c r="U102" s="136">
        <f>SUM(U97:U100)</f>
        <v>1355.6067683652129</v>
      </c>
      <c r="V102" s="136">
        <f>SUM(V97:V100)</f>
        <v>1424.2181896097957</v>
      </c>
      <c r="W102" s="124"/>
      <c r="X102" s="124"/>
      <c r="Y102" s="134"/>
    </row>
    <row r="103" spans="17:25" ht="15.6" x14ac:dyDescent="0.3">
      <c r="Q103" s="133"/>
      <c r="R103" s="135" t="s">
        <v>194</v>
      </c>
      <c r="S103" s="135">
        <f>S101/S102</f>
        <v>1.0984313493868543</v>
      </c>
      <c r="T103" s="135">
        <f>T101/T102</f>
        <v>1.2686607213699659</v>
      </c>
      <c r="U103" s="135">
        <f>U101/U102</f>
        <v>0.77751160926340457</v>
      </c>
      <c r="V103" s="135">
        <f>V101/V102</f>
        <v>0.77797068460666652</v>
      </c>
      <c r="W103" s="124"/>
      <c r="X103" s="124"/>
      <c r="Y103" s="134"/>
    </row>
    <row r="104" spans="17:25" ht="15.6" x14ac:dyDescent="0.3">
      <c r="Q104" s="133"/>
      <c r="R104" s="124"/>
      <c r="S104" s="124"/>
      <c r="T104" s="124"/>
      <c r="U104" s="124"/>
      <c r="V104" s="124"/>
      <c r="W104" s="124"/>
      <c r="X104" s="124"/>
      <c r="Y104" s="134"/>
    </row>
    <row r="105" spans="17:25" ht="15.6" x14ac:dyDescent="0.3">
      <c r="Q105" s="133"/>
      <c r="R105" s="124"/>
      <c r="S105" s="124"/>
      <c r="T105" s="124"/>
      <c r="U105" s="124"/>
      <c r="V105" s="124"/>
      <c r="W105" s="124"/>
      <c r="X105" s="125" t="s">
        <v>193</v>
      </c>
      <c r="Y105" s="123">
        <v>2.25</v>
      </c>
    </row>
    <row r="106" spans="17:25" ht="15.6" x14ac:dyDescent="0.3">
      <c r="Q106" s="131"/>
      <c r="R106" s="128" t="s">
        <v>192</v>
      </c>
      <c r="S106" s="132">
        <f>SUMPRODUCT(S97:V100,I28:L31)/N44</f>
        <v>11.865155208352226</v>
      </c>
      <c r="T106" s="129"/>
      <c r="U106" s="130" t="s">
        <v>191</v>
      </c>
      <c r="V106" s="130">
        <f>V38</f>
        <v>11.863013698630137</v>
      </c>
      <c r="W106" s="129"/>
      <c r="X106" s="128" t="s">
        <v>190</v>
      </c>
      <c r="Y106" s="127">
        <v>0.61499999999999999</v>
      </c>
    </row>
    <row r="107" spans="17:25" ht="15.6" x14ac:dyDescent="0.3">
      <c r="Q107" s="124"/>
      <c r="R107" s="124"/>
      <c r="S107" s="124"/>
      <c r="T107" s="124"/>
      <c r="U107" s="124"/>
      <c r="V107" s="124"/>
      <c r="W107" s="124"/>
    </row>
    <row r="112" spans="17:25" ht="17.399999999999999" x14ac:dyDescent="0.3">
      <c r="Q112" s="124"/>
      <c r="R112" s="124"/>
      <c r="U112" s="125" t="s">
        <v>189</v>
      </c>
      <c r="V112" s="125"/>
      <c r="W112" s="125"/>
    </row>
    <row r="113" spans="10:25" ht="18" x14ac:dyDescent="0.35">
      <c r="J113" s="114"/>
      <c r="K113" s="114"/>
      <c r="L113" s="114"/>
      <c r="M113" s="114"/>
      <c r="N113" s="114"/>
      <c r="O113" s="114"/>
      <c r="Q113" s="265" t="s">
        <v>188</v>
      </c>
      <c r="R113" s="266"/>
      <c r="S113" s="267"/>
      <c r="T113" s="124"/>
      <c r="U113" s="124"/>
      <c r="V113" s="124"/>
      <c r="W113" s="124"/>
      <c r="X113" s="124"/>
      <c r="Y113" s="124"/>
    </row>
    <row r="114" spans="10:25" x14ac:dyDescent="0.3">
      <c r="J114" s="114"/>
      <c r="K114" s="68" t="s">
        <v>171</v>
      </c>
      <c r="L114" s="68" t="s">
        <v>166</v>
      </c>
      <c r="M114" s="68" t="s">
        <v>167</v>
      </c>
      <c r="N114" s="68" t="s">
        <v>168</v>
      </c>
      <c r="O114" s="114"/>
      <c r="Q114" s="126" t="s">
        <v>187</v>
      </c>
      <c r="R114" s="9" t="s">
        <v>186</v>
      </c>
      <c r="S114" s="4" t="s">
        <v>185</v>
      </c>
    </row>
    <row r="115" spans="10:25" x14ac:dyDescent="0.3">
      <c r="J115" s="114"/>
      <c r="K115" s="68" t="s">
        <v>11</v>
      </c>
      <c r="L115" s="20">
        <v>1500</v>
      </c>
      <c r="M115" s="20">
        <v>600</v>
      </c>
      <c r="N115" s="20">
        <v>500</v>
      </c>
      <c r="O115" s="114"/>
      <c r="Q115" s="5">
        <v>1</v>
      </c>
      <c r="R115" s="122">
        <f t="shared" ref="R115:R144" si="7">E4</f>
        <v>0</v>
      </c>
      <c r="S115" s="121">
        <f t="shared" ref="S115:S144" si="8">(Q115^$S$40)*(EXP((-$S$39)*Q115))</f>
        <v>0.54064089530931658</v>
      </c>
    </row>
    <row r="116" spans="10:25" x14ac:dyDescent="0.3">
      <c r="J116" s="114"/>
      <c r="K116" s="68" t="s">
        <v>12</v>
      </c>
      <c r="L116" s="20">
        <v>1500</v>
      </c>
      <c r="M116" s="20">
        <v>600</v>
      </c>
      <c r="N116" s="20">
        <v>1000</v>
      </c>
      <c r="O116" s="114"/>
      <c r="Q116" s="5">
        <v>2</v>
      </c>
      <c r="R116" s="122">
        <f t="shared" si="7"/>
        <v>0</v>
      </c>
      <c r="S116" s="121">
        <f t="shared" si="8"/>
        <v>1.3903856521622542</v>
      </c>
    </row>
    <row r="117" spans="10:25" x14ac:dyDescent="0.3">
      <c r="J117" s="114"/>
      <c r="K117" s="68" t="s">
        <v>13</v>
      </c>
      <c r="L117" s="20">
        <v>600</v>
      </c>
      <c r="M117" s="20">
        <v>800</v>
      </c>
      <c r="N117" s="20">
        <v>2000</v>
      </c>
      <c r="O117" s="114"/>
      <c r="Q117" s="5">
        <v>3</v>
      </c>
      <c r="R117" s="122">
        <f t="shared" si="7"/>
        <v>8.21917808219178E-3</v>
      </c>
      <c r="S117" s="121">
        <f t="shared" si="8"/>
        <v>1.8717571639020969</v>
      </c>
    </row>
    <row r="118" spans="10:25" x14ac:dyDescent="0.3">
      <c r="J118" s="114"/>
      <c r="K118" s="68" t="s">
        <v>14</v>
      </c>
      <c r="L118" s="20">
        <v>700</v>
      </c>
      <c r="M118" s="20">
        <v>400</v>
      </c>
      <c r="N118" s="20">
        <v>1800</v>
      </c>
      <c r="O118" s="114"/>
      <c r="Q118" s="5">
        <v>4</v>
      </c>
      <c r="R118" s="122">
        <f t="shared" si="7"/>
        <v>1.3698630136986301E-2</v>
      </c>
      <c r="S118" s="121">
        <f t="shared" si="8"/>
        <v>1.9331722617386569</v>
      </c>
    </row>
    <row r="119" spans="10:25" x14ac:dyDescent="0.3">
      <c r="J119" s="114"/>
      <c r="K119" s="114"/>
      <c r="L119" s="114"/>
      <c r="M119" s="114"/>
      <c r="N119" s="114"/>
      <c r="O119" s="114"/>
      <c r="Q119" s="5">
        <v>5</v>
      </c>
      <c r="R119" s="122">
        <f t="shared" si="7"/>
        <v>3.287671232876712E-2</v>
      </c>
      <c r="S119" s="121">
        <f t="shared" si="8"/>
        <v>1.7267401126401603</v>
      </c>
    </row>
    <row r="120" spans="10:25" x14ac:dyDescent="0.3">
      <c r="Q120" s="5">
        <v>6</v>
      </c>
      <c r="R120" s="122">
        <f t="shared" si="7"/>
        <v>6.8493150684931503E-2</v>
      </c>
      <c r="S120" s="121">
        <f t="shared" si="8"/>
        <v>1.4069986318773016</v>
      </c>
    </row>
    <row r="121" spans="10:25" x14ac:dyDescent="0.3">
      <c r="Q121" s="5">
        <v>7</v>
      </c>
      <c r="R121" s="122">
        <f t="shared" si="7"/>
        <v>5.2054794520547946E-2</v>
      </c>
      <c r="S121" s="121">
        <f t="shared" si="8"/>
        <v>1.0760509752385436</v>
      </c>
    </row>
    <row r="122" spans="10:25" x14ac:dyDescent="0.3">
      <c r="Q122" s="5">
        <v>8</v>
      </c>
      <c r="R122" s="122">
        <f t="shared" si="7"/>
        <v>0.1095890410958904</v>
      </c>
      <c r="S122" s="121">
        <f t="shared" si="8"/>
        <v>0.78564005933213754</v>
      </c>
    </row>
    <row r="123" spans="10:25" x14ac:dyDescent="0.3">
      <c r="Q123" s="5">
        <v>9</v>
      </c>
      <c r="R123" s="122">
        <f t="shared" si="7"/>
        <v>0.12328767123287671</v>
      </c>
      <c r="S123" s="121">
        <f t="shared" si="8"/>
        <v>0.55363774223860962</v>
      </c>
    </row>
    <row r="124" spans="10:25" x14ac:dyDescent="0.3">
      <c r="Q124" s="5">
        <v>10</v>
      </c>
      <c r="R124" s="122">
        <f t="shared" si="7"/>
        <v>0.10410958904109589</v>
      </c>
      <c r="S124" s="121">
        <f t="shared" si="8"/>
        <v>0.37939267033514551</v>
      </c>
    </row>
    <row r="125" spans="10:25" x14ac:dyDescent="0.3">
      <c r="Q125" s="5">
        <v>11</v>
      </c>
      <c r="R125" s="122">
        <f t="shared" si="7"/>
        <v>8.2191780821917804E-2</v>
      </c>
      <c r="S125" s="121">
        <f t="shared" si="8"/>
        <v>0.25417414511362646</v>
      </c>
    </row>
    <row r="126" spans="10:25" x14ac:dyDescent="0.3">
      <c r="Q126" s="5">
        <v>12</v>
      </c>
      <c r="R126" s="122">
        <f t="shared" si="7"/>
        <v>5.7534246575342465E-2</v>
      </c>
      <c r="S126" s="121">
        <f t="shared" si="8"/>
        <v>0.16713389221961983</v>
      </c>
    </row>
    <row r="127" spans="10:25" x14ac:dyDescent="0.3">
      <c r="Q127" s="5">
        <v>13</v>
      </c>
      <c r="R127" s="122">
        <f t="shared" si="7"/>
        <v>4.6575342465753428E-2</v>
      </c>
      <c r="S127" s="121">
        <f t="shared" si="8"/>
        <v>0.10819025885257831</v>
      </c>
    </row>
    <row r="128" spans="10:25" x14ac:dyDescent="0.3">
      <c r="Q128" s="5">
        <v>14</v>
      </c>
      <c r="R128" s="122">
        <f t="shared" si="7"/>
        <v>5.2054794520547946E-2</v>
      </c>
      <c r="S128" s="121">
        <f t="shared" si="8"/>
        <v>6.9105496421729945E-2</v>
      </c>
    </row>
    <row r="129" spans="17:19" x14ac:dyDescent="0.3">
      <c r="Q129" s="5">
        <v>15</v>
      </c>
      <c r="R129" s="122">
        <f t="shared" si="7"/>
        <v>4.1095890410958902E-2</v>
      </c>
      <c r="S129" s="121">
        <f t="shared" si="8"/>
        <v>4.3635377481334434E-2</v>
      </c>
    </row>
    <row r="130" spans="17:19" x14ac:dyDescent="0.3">
      <c r="Q130" s="5">
        <v>16</v>
      </c>
      <c r="R130" s="122">
        <f t="shared" si="7"/>
        <v>3.287671232876712E-2</v>
      </c>
      <c r="S130" s="121">
        <f t="shared" si="8"/>
        <v>2.7277983292692792E-2</v>
      </c>
    </row>
    <row r="131" spans="17:19" x14ac:dyDescent="0.3">
      <c r="Q131" s="5">
        <v>17</v>
      </c>
      <c r="R131" s="122">
        <f t="shared" si="7"/>
        <v>2.7397260273972601E-2</v>
      </c>
      <c r="S131" s="121">
        <f t="shared" si="8"/>
        <v>1.6902901661008326E-2</v>
      </c>
    </row>
    <row r="132" spans="17:19" x14ac:dyDescent="0.3">
      <c r="Q132" s="5">
        <v>18</v>
      </c>
      <c r="R132" s="122">
        <f t="shared" si="7"/>
        <v>2.4657534246575342E-2</v>
      </c>
      <c r="S132" s="121">
        <f t="shared" si="8"/>
        <v>1.0392576303094392E-2</v>
      </c>
    </row>
    <row r="133" spans="17:19" x14ac:dyDescent="0.3">
      <c r="Q133" s="5">
        <v>19</v>
      </c>
      <c r="R133" s="122">
        <f t="shared" si="7"/>
        <v>1.643835616438356E-2</v>
      </c>
      <c r="S133" s="121">
        <f t="shared" si="8"/>
        <v>6.3454814828335093E-3</v>
      </c>
    </row>
    <row r="134" spans="17:19" x14ac:dyDescent="0.3">
      <c r="Q134" s="5">
        <v>20</v>
      </c>
      <c r="R134" s="122">
        <f t="shared" si="7"/>
        <v>8.21917808219178E-3</v>
      </c>
      <c r="S134" s="121">
        <f t="shared" si="8"/>
        <v>3.850307035031125E-3</v>
      </c>
    </row>
    <row r="135" spans="17:19" x14ac:dyDescent="0.3">
      <c r="Q135" s="5">
        <v>21</v>
      </c>
      <c r="R135" s="122">
        <f t="shared" si="7"/>
        <v>1.3698630136986301E-2</v>
      </c>
      <c r="S135" s="121">
        <f t="shared" si="8"/>
        <v>2.323165659202766E-3</v>
      </c>
    </row>
    <row r="136" spans="17:19" x14ac:dyDescent="0.3">
      <c r="Q136" s="5">
        <v>22</v>
      </c>
      <c r="R136" s="122">
        <f t="shared" si="7"/>
        <v>1.9178082191780823E-2</v>
      </c>
      <c r="S136" s="121">
        <f t="shared" si="8"/>
        <v>1.3945904654781372E-3</v>
      </c>
    </row>
    <row r="137" spans="17:19" x14ac:dyDescent="0.3">
      <c r="Q137" s="5">
        <v>23</v>
      </c>
      <c r="R137" s="122">
        <f t="shared" si="7"/>
        <v>1.643835616438356E-2</v>
      </c>
      <c r="S137" s="121">
        <f t="shared" si="8"/>
        <v>8.332823529066983E-4</v>
      </c>
    </row>
    <row r="138" spans="17:19" x14ac:dyDescent="0.3">
      <c r="Q138" s="5">
        <v>24</v>
      </c>
      <c r="R138" s="122">
        <f t="shared" si="7"/>
        <v>1.643835616438356E-2</v>
      </c>
      <c r="S138" s="121">
        <f t="shared" si="8"/>
        <v>4.9577970070068108E-4</v>
      </c>
    </row>
    <row r="139" spans="17:19" x14ac:dyDescent="0.3">
      <c r="Q139" s="5">
        <v>25</v>
      </c>
      <c r="R139" s="122">
        <f t="shared" si="7"/>
        <v>1.3698630136986301E-2</v>
      </c>
      <c r="S139" s="121">
        <f t="shared" si="8"/>
        <v>2.9382406325766022E-4</v>
      </c>
    </row>
    <row r="140" spans="17:19" x14ac:dyDescent="0.3">
      <c r="Q140" s="5">
        <v>26</v>
      </c>
      <c r="R140" s="122">
        <f t="shared" si="7"/>
        <v>5.4794520547945206E-3</v>
      </c>
      <c r="S140" s="121">
        <f t="shared" si="8"/>
        <v>1.7350870456165639E-4</v>
      </c>
    </row>
    <row r="141" spans="17:19" x14ac:dyDescent="0.3">
      <c r="Q141" s="5">
        <v>27</v>
      </c>
      <c r="R141" s="122">
        <f t="shared" si="7"/>
        <v>2.7397260273972603E-3</v>
      </c>
      <c r="S141" s="121">
        <f t="shared" si="8"/>
        <v>1.0211948062928739E-4</v>
      </c>
    </row>
    <row r="142" spans="17:19" x14ac:dyDescent="0.3">
      <c r="Q142" s="5">
        <v>28</v>
      </c>
      <c r="R142" s="122">
        <f t="shared" si="7"/>
        <v>2.7397260273972603E-3</v>
      </c>
      <c r="S142" s="121">
        <f t="shared" si="8"/>
        <v>5.9917625216699833E-5</v>
      </c>
    </row>
    <row r="143" spans="17:19" x14ac:dyDescent="0.3">
      <c r="Q143" s="5">
        <v>29</v>
      </c>
      <c r="R143" s="122">
        <f t="shared" si="7"/>
        <v>5.4794520547945206E-3</v>
      </c>
      <c r="S143" s="121">
        <f t="shared" si="8"/>
        <v>3.5055277593753535E-5</v>
      </c>
    </row>
    <row r="144" spans="17:19" x14ac:dyDescent="0.3">
      <c r="Q144" s="14">
        <v>30</v>
      </c>
      <c r="R144" s="122">
        <f t="shared" si="7"/>
        <v>2.7397260273972603E-3</v>
      </c>
      <c r="S144" s="121">
        <f t="shared" si="8"/>
        <v>2.0454535990190085E-5</v>
      </c>
    </row>
    <row r="147" spans="15:19" x14ac:dyDescent="0.3">
      <c r="O147" s="114"/>
      <c r="P147" s="114"/>
      <c r="Q147" s="114"/>
      <c r="R147" s="114"/>
      <c r="S147" s="114"/>
    </row>
    <row r="148" spans="15:19" x14ac:dyDescent="0.3">
      <c r="O148" s="114"/>
      <c r="P148" s="114"/>
      <c r="Q148" s="114"/>
      <c r="R148" s="114"/>
      <c r="S148" s="114"/>
    </row>
    <row r="149" spans="15:19" x14ac:dyDescent="0.3">
      <c r="O149" s="114"/>
      <c r="P149" s="114"/>
      <c r="Q149" s="114"/>
      <c r="R149" s="114"/>
      <c r="S149" s="114"/>
    </row>
    <row r="150" spans="15:19" x14ac:dyDescent="0.3">
      <c r="O150" s="114"/>
      <c r="P150" s="114"/>
      <c r="Q150" s="114"/>
      <c r="R150" s="114"/>
      <c r="S150" s="114"/>
    </row>
    <row r="151" spans="15:19" x14ac:dyDescent="0.3">
      <c r="O151" s="114"/>
      <c r="P151" s="114"/>
      <c r="Q151" s="114"/>
      <c r="R151" s="114"/>
      <c r="S151" s="114"/>
    </row>
    <row r="152" spans="15:19" ht="40.799999999999997" x14ac:dyDescent="0.85">
      <c r="O152" s="114"/>
      <c r="P152" s="120" t="s">
        <v>184</v>
      </c>
      <c r="Q152" s="114"/>
      <c r="R152" s="114"/>
      <c r="S152" s="114"/>
    </row>
    <row r="153" spans="15:19" x14ac:dyDescent="0.3">
      <c r="O153" s="114"/>
      <c r="P153" s="114"/>
      <c r="Q153" s="114"/>
      <c r="R153" s="114"/>
      <c r="S153" s="114"/>
    </row>
    <row r="154" spans="15:19" x14ac:dyDescent="0.3">
      <c r="O154" s="114"/>
      <c r="P154" s="114"/>
      <c r="Q154" s="114"/>
      <c r="R154" s="114"/>
      <c r="S154" s="114"/>
    </row>
    <row r="155" spans="15:19" x14ac:dyDescent="0.3">
      <c r="O155" s="114"/>
      <c r="P155" s="114"/>
      <c r="Q155" s="114"/>
      <c r="R155" s="114"/>
      <c r="S155" s="114"/>
    </row>
  </sheetData>
  <mergeCells count="22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13:S113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P111" zoomScale="47" zoomScaleNormal="47" workbookViewId="0">
      <selection activeCell="AH134" sqref="AH134"/>
    </sheetView>
  </sheetViews>
  <sheetFormatPr defaultColWidth="9.88671875" defaultRowHeight="15.6" x14ac:dyDescent="0.3"/>
  <cols>
    <col min="1" max="3" width="9.88671875" style="124"/>
    <col min="4" max="4" width="20.109375" style="124" customWidth="1"/>
    <col min="5" max="8" width="9.88671875" style="124"/>
    <col min="9" max="9" width="13.33203125" style="124" bestFit="1" customWidth="1"/>
    <col min="10" max="10" width="9.88671875" style="124"/>
    <col min="11" max="11" width="11" style="124" customWidth="1"/>
    <col min="12" max="12" width="13.21875" style="124" bestFit="1" customWidth="1"/>
    <col min="13" max="13" width="9.88671875" style="124"/>
    <col min="14" max="14" width="21.44140625" style="124" customWidth="1"/>
    <col min="15" max="23" width="9.88671875" style="124"/>
    <col min="24" max="24" width="19.33203125" style="124" customWidth="1"/>
    <col min="25" max="33" width="9.88671875" style="124"/>
    <col min="34" max="34" width="20.88671875" style="124" customWidth="1"/>
    <col min="35" max="43" width="9.88671875" style="124"/>
    <col min="44" max="44" width="20.6640625" style="124" customWidth="1"/>
    <col min="45" max="53" width="9.88671875" style="124"/>
    <col min="54" max="54" width="20.5546875" style="124" customWidth="1"/>
    <col min="55" max="63" width="9.88671875" style="124"/>
    <col min="64" max="64" width="19" style="124" customWidth="1"/>
    <col min="65" max="16384" width="9.88671875" style="124"/>
  </cols>
  <sheetData>
    <row r="2" spans="2:71" ht="17.399999999999999" x14ac:dyDescent="0.3">
      <c r="B2" s="185" t="s">
        <v>225</v>
      </c>
      <c r="C2" s="184"/>
      <c r="D2" s="182" t="s">
        <v>208</v>
      </c>
      <c r="E2" s="182"/>
      <c r="F2" s="182"/>
      <c r="G2" s="182" t="s">
        <v>192</v>
      </c>
      <c r="H2" s="183">
        <f>'[2]Trip Length Frequency'!S106</f>
        <v>11.865155208352226</v>
      </c>
      <c r="I2" s="182"/>
      <c r="J2" s="182"/>
      <c r="K2" s="181"/>
      <c r="L2" s="185" t="s">
        <v>224</v>
      </c>
      <c r="M2" s="184"/>
      <c r="N2" s="182" t="s">
        <v>208</v>
      </c>
      <c r="O2" s="182"/>
      <c r="P2" s="182"/>
      <c r="Q2" s="182" t="s">
        <v>192</v>
      </c>
      <c r="R2" s="183">
        <f>$H$2</f>
        <v>11.865155208352226</v>
      </c>
      <c r="S2" s="182"/>
      <c r="T2" s="182"/>
      <c r="U2" s="181"/>
      <c r="V2" s="185" t="s">
        <v>223</v>
      </c>
      <c r="W2" s="184"/>
      <c r="X2" s="182" t="s">
        <v>208</v>
      </c>
      <c r="Y2" s="182"/>
      <c r="Z2" s="182"/>
      <c r="AA2" s="182" t="s">
        <v>192</v>
      </c>
      <c r="AB2" s="183">
        <f>$H$2</f>
        <v>11.865155208352226</v>
      </c>
      <c r="AC2" s="182"/>
      <c r="AD2" s="182"/>
      <c r="AE2" s="181"/>
      <c r="AF2" s="185" t="s">
        <v>222</v>
      </c>
      <c r="AG2" s="184"/>
      <c r="AH2" s="182" t="s">
        <v>208</v>
      </c>
      <c r="AI2" s="182"/>
      <c r="AJ2" s="182"/>
      <c r="AK2" s="182" t="s">
        <v>192</v>
      </c>
      <c r="AL2" s="183">
        <f>$H$2</f>
        <v>11.865155208352226</v>
      </c>
      <c r="AM2" s="182"/>
      <c r="AN2" s="182"/>
      <c r="AO2" s="181"/>
      <c r="AP2" s="185" t="s">
        <v>221</v>
      </c>
      <c r="AQ2" s="184"/>
      <c r="AR2" s="182" t="s">
        <v>208</v>
      </c>
      <c r="AS2" s="182"/>
      <c r="AT2" s="182"/>
      <c r="AU2" s="182" t="s">
        <v>192</v>
      </c>
      <c r="AV2" s="183">
        <f>$H$2</f>
        <v>11.865155208352226</v>
      </c>
      <c r="AW2" s="182"/>
      <c r="AX2" s="182"/>
      <c r="AY2" s="181"/>
      <c r="AZ2" s="185" t="s">
        <v>220</v>
      </c>
      <c r="BA2" s="184"/>
      <c r="BB2" s="182" t="s">
        <v>208</v>
      </c>
      <c r="BC2" s="182"/>
      <c r="BD2" s="182"/>
      <c r="BE2" s="182" t="s">
        <v>192</v>
      </c>
      <c r="BF2" s="183" t="str">
        <f>'[2]Trip Length Frequency'!BT106</f>
        <v>mean</v>
      </c>
      <c r="BG2" s="182">
        <f>$H$2</f>
        <v>11.865155208352226</v>
      </c>
      <c r="BH2" s="182"/>
      <c r="BI2" s="181"/>
      <c r="BJ2" s="185" t="s">
        <v>219</v>
      </c>
      <c r="BK2" s="184"/>
      <c r="BL2" s="182" t="s">
        <v>208</v>
      </c>
      <c r="BM2" s="182"/>
      <c r="BN2" s="182"/>
      <c r="BO2" s="182" t="s">
        <v>192</v>
      </c>
      <c r="BP2" s="183">
        <f>$H$2</f>
        <v>11.865155208352226</v>
      </c>
      <c r="BQ2" s="182"/>
      <c r="BR2" s="182"/>
      <c r="BS2" s="181"/>
    </row>
    <row r="3" spans="2:71" x14ac:dyDescent="0.3">
      <c r="C3" s="133"/>
      <c r="D3" s="124" t="s">
        <v>193</v>
      </c>
      <c r="E3" s="124">
        <f>'[2]Trip Length Frequency'!S40</f>
        <v>2.25</v>
      </c>
      <c r="K3" s="134"/>
      <c r="M3" s="133"/>
      <c r="N3" s="124" t="s">
        <v>193</v>
      </c>
      <c r="O3" s="124">
        <f>E3</f>
        <v>2.25</v>
      </c>
      <c r="U3" s="134"/>
      <c r="W3" s="133"/>
      <c r="X3" s="124" t="s">
        <v>193</v>
      </c>
      <c r="Y3" s="124">
        <f>E3</f>
        <v>2.25</v>
      </c>
      <c r="AE3" s="134"/>
      <c r="AG3" s="133"/>
      <c r="AH3" s="124" t="s">
        <v>193</v>
      </c>
      <c r="AI3" s="124">
        <f>E3</f>
        <v>2.25</v>
      </c>
      <c r="AO3" s="134"/>
      <c r="AQ3" s="133"/>
      <c r="AR3" s="124" t="s">
        <v>193</v>
      </c>
      <c r="AS3" s="124">
        <f>E3</f>
        <v>2.25</v>
      </c>
      <c r="AY3" s="134"/>
      <c r="BA3" s="133"/>
      <c r="BB3" s="124" t="s">
        <v>193</v>
      </c>
      <c r="BC3" s="124">
        <f>E3</f>
        <v>2.25</v>
      </c>
      <c r="BI3" s="134"/>
      <c r="BK3" s="133"/>
      <c r="BL3" s="124" t="s">
        <v>193</v>
      </c>
      <c r="BM3" s="124">
        <f>E3</f>
        <v>2.25</v>
      </c>
      <c r="BS3" s="134"/>
    </row>
    <row r="4" spans="2:71" x14ac:dyDescent="0.3">
      <c r="C4" s="133"/>
      <c r="D4" s="124" t="s">
        <v>190</v>
      </c>
      <c r="E4" s="124">
        <f>'[2]Trip Length Frequency'!S39</f>
        <v>0.61499999999999999</v>
      </c>
      <c r="K4" s="134"/>
      <c r="M4" s="133"/>
      <c r="N4" s="124" t="s">
        <v>190</v>
      </c>
      <c r="O4" s="124">
        <f>E4</f>
        <v>0.61499999999999999</v>
      </c>
      <c r="U4" s="134"/>
      <c r="W4" s="133"/>
      <c r="X4" s="124" t="s">
        <v>190</v>
      </c>
      <c r="Y4" s="124">
        <f>E4</f>
        <v>0.61499999999999999</v>
      </c>
      <c r="AE4" s="134"/>
      <c r="AG4" s="133"/>
      <c r="AH4" s="124" t="s">
        <v>190</v>
      </c>
      <c r="AI4" s="124">
        <f>E4</f>
        <v>0.61499999999999999</v>
      </c>
      <c r="AO4" s="134"/>
      <c r="AQ4" s="133"/>
      <c r="AR4" s="124" t="s">
        <v>190</v>
      </c>
      <c r="AS4" s="124">
        <f>E4</f>
        <v>0.61499999999999999</v>
      </c>
      <c r="AY4" s="134"/>
      <c r="BA4" s="133"/>
      <c r="BB4" s="124" t="s">
        <v>190</v>
      </c>
      <c r="BC4" s="124">
        <f>E4</f>
        <v>0.61499999999999999</v>
      </c>
      <c r="BI4" s="134"/>
      <c r="BK4" s="133"/>
      <c r="BL4" s="124" t="s">
        <v>190</v>
      </c>
      <c r="BM4" s="124">
        <f>E4</f>
        <v>0.61499999999999999</v>
      </c>
      <c r="BS4" s="134"/>
    </row>
    <row r="5" spans="2:71" x14ac:dyDescent="0.3">
      <c r="C5" s="133"/>
      <c r="D5" s="124" t="s">
        <v>207</v>
      </c>
      <c r="K5" s="134"/>
      <c r="M5" s="133"/>
      <c r="N5" s="124" t="s">
        <v>207</v>
      </c>
      <c r="U5" s="134"/>
      <c r="W5" s="133"/>
      <c r="X5" s="124" t="s">
        <v>207</v>
      </c>
      <c r="AE5" s="134"/>
      <c r="AG5" s="133"/>
      <c r="AH5" s="124" t="s">
        <v>207</v>
      </c>
      <c r="AO5" s="134"/>
      <c r="AQ5" s="133"/>
      <c r="AR5" s="124" t="s">
        <v>207</v>
      </c>
      <c r="AY5" s="134"/>
      <c r="BA5" s="133"/>
      <c r="BB5" s="124" t="s">
        <v>207</v>
      </c>
      <c r="BI5" s="134"/>
      <c r="BK5" s="133"/>
      <c r="BL5" s="124" t="s">
        <v>207</v>
      </c>
      <c r="BS5" s="134"/>
    </row>
    <row r="6" spans="2:71" x14ac:dyDescent="0.3">
      <c r="C6" s="133"/>
      <c r="D6" s="136" t="s">
        <v>199</v>
      </c>
      <c r="E6" s="140" t="s">
        <v>11</v>
      </c>
      <c r="F6" s="140" t="s">
        <v>12</v>
      </c>
      <c r="G6" s="140" t="s">
        <v>13</v>
      </c>
      <c r="H6" s="139" t="s">
        <v>14</v>
      </c>
      <c r="K6" s="134"/>
      <c r="M6" s="133"/>
      <c r="N6" s="136" t="s">
        <v>199</v>
      </c>
      <c r="O6" s="140" t="s">
        <v>11</v>
      </c>
      <c r="P6" s="140" t="s">
        <v>12</v>
      </c>
      <c r="Q6" s="140" t="s">
        <v>13</v>
      </c>
      <c r="R6" s="139" t="s">
        <v>14</v>
      </c>
      <c r="U6" s="134"/>
      <c r="W6" s="133"/>
      <c r="X6" s="136" t="s">
        <v>199</v>
      </c>
      <c r="Y6" s="140" t="s">
        <v>11</v>
      </c>
      <c r="Z6" s="140" t="s">
        <v>12</v>
      </c>
      <c r="AA6" s="140" t="s">
        <v>13</v>
      </c>
      <c r="AB6" s="139" t="s">
        <v>14</v>
      </c>
      <c r="AE6" s="134"/>
      <c r="AG6" s="133"/>
      <c r="AH6" s="136" t="s">
        <v>199</v>
      </c>
      <c r="AI6" s="140" t="s">
        <v>11</v>
      </c>
      <c r="AJ6" s="140" t="s">
        <v>12</v>
      </c>
      <c r="AK6" s="140" t="s">
        <v>13</v>
      </c>
      <c r="AL6" s="139" t="s">
        <v>14</v>
      </c>
      <c r="AO6" s="134"/>
      <c r="AQ6" s="133"/>
      <c r="AR6" s="136" t="s">
        <v>199</v>
      </c>
      <c r="AS6" s="140" t="s">
        <v>11</v>
      </c>
      <c r="AT6" s="140" t="s">
        <v>12</v>
      </c>
      <c r="AU6" s="140" t="s">
        <v>13</v>
      </c>
      <c r="AV6" s="139" t="s">
        <v>14</v>
      </c>
      <c r="AY6" s="134"/>
      <c r="BA6" s="133"/>
      <c r="BB6" s="136" t="s">
        <v>199</v>
      </c>
      <c r="BC6" s="140" t="s">
        <v>11</v>
      </c>
      <c r="BD6" s="140" t="s">
        <v>12</v>
      </c>
      <c r="BE6" s="140" t="s">
        <v>13</v>
      </c>
      <c r="BF6" s="139" t="s">
        <v>14</v>
      </c>
      <c r="BI6" s="134"/>
      <c r="BK6" s="133"/>
      <c r="BL6" s="136" t="s">
        <v>199</v>
      </c>
      <c r="BM6" s="140" t="s">
        <v>11</v>
      </c>
      <c r="BN6" s="140" t="s">
        <v>12</v>
      </c>
      <c r="BO6" s="140" t="s">
        <v>13</v>
      </c>
      <c r="BP6" s="139" t="s">
        <v>14</v>
      </c>
      <c r="BS6" s="134"/>
    </row>
    <row r="7" spans="2:71" x14ac:dyDescent="0.3">
      <c r="C7" s="133"/>
      <c r="D7" s="4" t="s">
        <v>11</v>
      </c>
      <c r="E7" s="137">
        <f>'Trip Length Frequency'!S44</f>
        <v>4.3635377481334434E-2</v>
      </c>
      <c r="F7" s="137">
        <f>'Trip Length Frequency'!T44</f>
        <v>0</v>
      </c>
      <c r="G7" s="137">
        <f>'Trip Length Frequency'!U44</f>
        <v>0.13471274931976218</v>
      </c>
      <c r="H7" s="137">
        <f>'Trip Length Frequency'!V44</f>
        <v>0.13471274931976218</v>
      </c>
      <c r="I7" s="124">
        <f>SUMPRODUCT(E18:H18,E7:H7)</f>
        <v>380.70148786606143</v>
      </c>
      <c r="K7" s="134"/>
      <c r="M7" s="133"/>
      <c r="N7" s="4" t="s">
        <v>11</v>
      </c>
      <c r="O7" s="137">
        <f t="shared" ref="O7:R10" si="0">E7</f>
        <v>4.3635377481334434E-2</v>
      </c>
      <c r="P7" s="137">
        <f t="shared" si="0"/>
        <v>0</v>
      </c>
      <c r="Q7" s="137">
        <f t="shared" si="0"/>
        <v>0.13471274931976218</v>
      </c>
      <c r="R7" s="137">
        <f t="shared" si="0"/>
        <v>0.13471274931976218</v>
      </c>
      <c r="S7" s="124">
        <f>SUMPRODUCT(O18:R18,O7:R7)</f>
        <v>552.71344027145494</v>
      </c>
      <c r="U7" s="134"/>
      <c r="W7" s="133"/>
      <c r="X7" s="4" t="s">
        <v>11</v>
      </c>
      <c r="Y7" s="137">
        <f t="shared" ref="Y7:AB10" si="1">E7</f>
        <v>4.3635377481334434E-2</v>
      </c>
      <c r="Z7" s="137">
        <f t="shared" si="1"/>
        <v>0</v>
      </c>
      <c r="AA7" s="137">
        <f t="shared" si="1"/>
        <v>0.13471274931976218</v>
      </c>
      <c r="AB7" s="137">
        <f t="shared" si="1"/>
        <v>0.13471274931976218</v>
      </c>
      <c r="AC7" s="124">
        <f>SUMPRODUCT(Y18:AB18,Y7:AB7)</f>
        <v>552.71344027145494</v>
      </c>
      <c r="AE7" s="134"/>
      <c r="AG7" s="133"/>
      <c r="AH7" s="4" t="s">
        <v>11</v>
      </c>
      <c r="AI7" s="137">
        <f t="shared" ref="AI7:AL10" si="2">E7</f>
        <v>4.3635377481334434E-2</v>
      </c>
      <c r="AJ7" s="137">
        <f t="shared" si="2"/>
        <v>0</v>
      </c>
      <c r="AK7" s="137">
        <f t="shared" si="2"/>
        <v>0.13471274931976218</v>
      </c>
      <c r="AL7" s="137">
        <f t="shared" si="2"/>
        <v>0.13471274931976218</v>
      </c>
      <c r="AM7" s="124">
        <f>SUMPRODUCT(AI18:AL18,AI7:AL7)</f>
        <v>626.21940216220094</v>
      </c>
      <c r="AO7" s="134"/>
      <c r="AQ7" s="133"/>
      <c r="AR7" s="4" t="s">
        <v>11</v>
      </c>
      <c r="AS7" s="137">
        <f t="shared" ref="AS7:AV10" si="3">E7</f>
        <v>4.3635377481334434E-2</v>
      </c>
      <c r="AT7" s="137">
        <f t="shared" si="3"/>
        <v>0</v>
      </c>
      <c r="AU7" s="137">
        <f t="shared" si="3"/>
        <v>0.13471274931976218</v>
      </c>
      <c r="AV7" s="137">
        <f t="shared" si="3"/>
        <v>0.13471274931976218</v>
      </c>
      <c r="AW7" s="124">
        <f>SUMPRODUCT(AS18:AV18,AS7:AV7)</f>
        <v>667.18734919479516</v>
      </c>
      <c r="AY7" s="134"/>
      <c r="BA7" s="133"/>
      <c r="BB7" s="4" t="s">
        <v>11</v>
      </c>
      <c r="BC7" s="137">
        <f t="shared" ref="BC7:BF10" si="4">E7</f>
        <v>4.3635377481334434E-2</v>
      </c>
      <c r="BD7" s="137">
        <f t="shared" si="4"/>
        <v>0</v>
      </c>
      <c r="BE7" s="137">
        <f t="shared" si="4"/>
        <v>0.13471274931976218</v>
      </c>
      <c r="BF7" s="137">
        <f t="shared" si="4"/>
        <v>0.13471274931976218</v>
      </c>
      <c r="BG7" s="124">
        <f>SUMPRODUCT(BC18:BF18,BC7:BF7)</f>
        <v>711.25144299826411</v>
      </c>
      <c r="BI7" s="134"/>
      <c r="BK7" s="133"/>
      <c r="BL7" s="4" t="s">
        <v>11</v>
      </c>
      <c r="BM7" s="137">
        <f t="shared" ref="BM7:BP10" si="5">E7</f>
        <v>4.3635377481334434E-2</v>
      </c>
      <c r="BN7" s="137">
        <f t="shared" si="5"/>
        <v>0</v>
      </c>
      <c r="BO7" s="137">
        <f t="shared" si="5"/>
        <v>0.13471274931976218</v>
      </c>
      <c r="BP7" s="137">
        <f t="shared" si="5"/>
        <v>0.13471274931976218</v>
      </c>
      <c r="BQ7" s="124">
        <f>SUMPRODUCT(BM18:BP18,BM7:BP7)</f>
        <v>804.56209532402522</v>
      </c>
      <c r="BS7" s="134"/>
    </row>
    <row r="8" spans="2:71" x14ac:dyDescent="0.3">
      <c r="C8" s="133"/>
      <c r="D8" s="4" t="s">
        <v>12</v>
      </c>
      <c r="E8" s="137">
        <f>'Trip Length Frequency'!S45</f>
        <v>0</v>
      </c>
      <c r="F8" s="137">
        <f>'Trip Length Frequency'!T45</f>
        <v>4.3635377481334434E-2</v>
      </c>
      <c r="G8" s="137">
        <f>'Trip Length Frequency'!U45</f>
        <v>0.37939267033514551</v>
      </c>
      <c r="H8" s="137">
        <f>'Trip Length Frequency'!V45</f>
        <v>0.37939267033514551</v>
      </c>
      <c r="I8" s="124">
        <f>SUMPRODUCT(E18:H18,E8:H8)</f>
        <v>909.6994771013201</v>
      </c>
      <c r="K8" s="134"/>
      <c r="M8" s="133"/>
      <c r="N8" s="4" t="s">
        <v>12</v>
      </c>
      <c r="O8" s="137">
        <f t="shared" si="0"/>
        <v>0</v>
      </c>
      <c r="P8" s="137">
        <f t="shared" si="0"/>
        <v>4.3635377481334434E-2</v>
      </c>
      <c r="Q8" s="137">
        <f t="shared" si="0"/>
        <v>0.37939267033514551</v>
      </c>
      <c r="R8" s="137">
        <f t="shared" si="0"/>
        <v>0.37939267033514551</v>
      </c>
      <c r="S8" s="124">
        <f>SUMPRODUCT(O18:R18,O8:R8)</f>
        <v>1465.778585965124</v>
      </c>
      <c r="U8" s="134"/>
      <c r="W8" s="133"/>
      <c r="X8" s="4" t="s">
        <v>12</v>
      </c>
      <c r="Y8" s="137">
        <f t="shared" si="1"/>
        <v>0</v>
      </c>
      <c r="Z8" s="137">
        <f t="shared" si="1"/>
        <v>4.3635377481334434E-2</v>
      </c>
      <c r="AA8" s="137">
        <f t="shared" si="1"/>
        <v>0.37939267033514551</v>
      </c>
      <c r="AB8" s="137">
        <f t="shared" si="1"/>
        <v>0.37939267033514551</v>
      </c>
      <c r="AC8" s="124">
        <f>SUMPRODUCT(Y18:AB18,Y8:AB8)</f>
        <v>1465.778585965124</v>
      </c>
      <c r="AE8" s="134"/>
      <c r="AG8" s="133"/>
      <c r="AH8" s="4" t="s">
        <v>12</v>
      </c>
      <c r="AI8" s="137">
        <f t="shared" si="2"/>
        <v>0</v>
      </c>
      <c r="AJ8" s="137">
        <f t="shared" si="2"/>
        <v>4.3635377481334434E-2</v>
      </c>
      <c r="AK8" s="137">
        <f t="shared" si="2"/>
        <v>0.37939267033514551</v>
      </c>
      <c r="AL8" s="137">
        <f t="shared" si="2"/>
        <v>0.37939267033514551</v>
      </c>
      <c r="AM8" s="124">
        <f>SUMPRODUCT(AI18:AL18,AI8:AL8)</f>
        <v>1661.0083840560033</v>
      </c>
      <c r="AO8" s="134"/>
      <c r="AQ8" s="133"/>
      <c r="AR8" s="4" t="s">
        <v>12</v>
      </c>
      <c r="AS8" s="137">
        <f t="shared" si="3"/>
        <v>0</v>
      </c>
      <c r="AT8" s="137">
        <f t="shared" si="3"/>
        <v>4.3635377481334434E-2</v>
      </c>
      <c r="AU8" s="137">
        <f t="shared" si="3"/>
        <v>0.37939267033514551</v>
      </c>
      <c r="AV8" s="137">
        <f t="shared" si="3"/>
        <v>0.37939267033514551</v>
      </c>
      <c r="AW8" s="124">
        <f>SUMPRODUCT(AS18:AV18,AS8:AV8)</f>
        <v>1769.7970501179057</v>
      </c>
      <c r="AY8" s="134"/>
      <c r="BA8" s="133"/>
      <c r="BB8" s="4" t="s">
        <v>12</v>
      </c>
      <c r="BC8" s="137">
        <f t="shared" si="4"/>
        <v>0</v>
      </c>
      <c r="BD8" s="137">
        <f t="shared" si="4"/>
        <v>4.3635377481334434E-2</v>
      </c>
      <c r="BE8" s="137">
        <f t="shared" si="4"/>
        <v>0.37939267033514551</v>
      </c>
      <c r="BF8" s="137">
        <f t="shared" si="4"/>
        <v>0.37939267033514551</v>
      </c>
      <c r="BG8" s="124">
        <f>SUMPRODUCT(BC18:BF18,BC8:BF8)</f>
        <v>1886.7922445163167</v>
      </c>
      <c r="BI8" s="134"/>
      <c r="BK8" s="133"/>
      <c r="BL8" s="4" t="s">
        <v>12</v>
      </c>
      <c r="BM8" s="137">
        <f t="shared" si="5"/>
        <v>0</v>
      </c>
      <c r="BN8" s="137">
        <f t="shared" si="5"/>
        <v>4.3635377481334434E-2</v>
      </c>
      <c r="BO8" s="137">
        <f t="shared" si="5"/>
        <v>0.37939267033514551</v>
      </c>
      <c r="BP8" s="137">
        <f t="shared" si="5"/>
        <v>0.37939267033514551</v>
      </c>
      <c r="BQ8" s="124">
        <f>SUMPRODUCT(BM18:BP18,BM8:BP8)</f>
        <v>2134.4248838369485</v>
      </c>
      <c r="BS8" s="134"/>
    </row>
    <row r="9" spans="2:71" x14ac:dyDescent="0.3">
      <c r="C9" s="133"/>
      <c r="D9" s="4" t="s">
        <v>13</v>
      </c>
      <c r="E9" s="137">
        <f>'Trip Length Frequency'!S46</f>
        <v>0.13471274931976218</v>
      </c>
      <c r="F9" s="137">
        <f>'Trip Length Frequency'!T46</f>
        <v>0.37939267033514551</v>
      </c>
      <c r="G9" s="137">
        <f>'Trip Length Frequency'!U46</f>
        <v>4.3635377481334434E-2</v>
      </c>
      <c r="H9" s="137">
        <f>'Trip Length Frequency'!V46</f>
        <v>0</v>
      </c>
      <c r="I9" s="124">
        <f>SUMPRODUCT(E18:H18,E9:H9)</f>
        <v>1099.9077981578873</v>
      </c>
      <c r="K9" s="134"/>
      <c r="M9" s="133"/>
      <c r="N9" s="4" t="s">
        <v>13</v>
      </c>
      <c r="O9" s="137">
        <f t="shared" si="0"/>
        <v>0.13471274931976218</v>
      </c>
      <c r="P9" s="137">
        <f t="shared" si="0"/>
        <v>0.37939267033514551</v>
      </c>
      <c r="Q9" s="137">
        <f t="shared" si="0"/>
        <v>4.3635377481334434E-2</v>
      </c>
      <c r="R9" s="137">
        <f t="shared" si="0"/>
        <v>0</v>
      </c>
      <c r="S9" s="124">
        <f>SUMPRODUCT(O18:R18,O9:R9)</f>
        <v>891.79058741380254</v>
      </c>
      <c r="U9" s="134"/>
      <c r="W9" s="133"/>
      <c r="X9" s="4" t="s">
        <v>13</v>
      </c>
      <c r="Y9" s="137">
        <f t="shared" si="1"/>
        <v>0.13471274931976218</v>
      </c>
      <c r="Z9" s="137">
        <f t="shared" si="1"/>
        <v>0.37939267033514551</v>
      </c>
      <c r="AA9" s="137">
        <f t="shared" si="1"/>
        <v>4.3635377481334434E-2</v>
      </c>
      <c r="AB9" s="137">
        <f t="shared" si="1"/>
        <v>0</v>
      </c>
      <c r="AC9" s="124">
        <f>SUMPRODUCT(Y18:AB18,Y9:AB9)</f>
        <v>891.79058741380254</v>
      </c>
      <c r="AE9" s="134"/>
      <c r="AG9" s="133"/>
      <c r="AH9" s="4" t="s">
        <v>13</v>
      </c>
      <c r="AI9" s="137">
        <f t="shared" si="2"/>
        <v>0.13471274931976218</v>
      </c>
      <c r="AJ9" s="137">
        <f t="shared" si="2"/>
        <v>0.37939267033514551</v>
      </c>
      <c r="AK9" s="137">
        <f t="shared" si="2"/>
        <v>4.3635377481334434E-2</v>
      </c>
      <c r="AL9" s="137">
        <f t="shared" si="2"/>
        <v>0</v>
      </c>
      <c r="AM9" s="124">
        <f>SUMPRODUCT(AI18:AL18,AI9:AL9)</f>
        <v>1011.1980698907347</v>
      </c>
      <c r="AO9" s="134"/>
      <c r="AQ9" s="133"/>
      <c r="AR9" s="4" t="s">
        <v>13</v>
      </c>
      <c r="AS9" s="137">
        <f t="shared" si="3"/>
        <v>0.13471274931976218</v>
      </c>
      <c r="AT9" s="137">
        <f t="shared" si="3"/>
        <v>0.37939267033514551</v>
      </c>
      <c r="AU9" s="137">
        <f t="shared" si="3"/>
        <v>4.3635377481334434E-2</v>
      </c>
      <c r="AV9" s="137">
        <f t="shared" si="3"/>
        <v>0</v>
      </c>
      <c r="AW9" s="124">
        <f>SUMPRODUCT(AS18:AV18,AS9:AV9)</f>
        <v>1077.8621999863331</v>
      </c>
      <c r="AY9" s="134"/>
      <c r="BA9" s="133"/>
      <c r="BB9" s="4" t="s">
        <v>13</v>
      </c>
      <c r="BC9" s="137">
        <f t="shared" si="4"/>
        <v>0.13471274931976218</v>
      </c>
      <c r="BD9" s="137">
        <f t="shared" si="4"/>
        <v>0.37939267033514551</v>
      </c>
      <c r="BE9" s="137">
        <f t="shared" si="4"/>
        <v>4.3635377481334434E-2</v>
      </c>
      <c r="BF9" s="137">
        <f t="shared" si="4"/>
        <v>0</v>
      </c>
      <c r="BG9" s="124">
        <f>SUMPRODUCT(BC18:BF18,BC9:BF9)</f>
        <v>1149.6470484489155</v>
      </c>
      <c r="BI9" s="134"/>
      <c r="BK9" s="133"/>
      <c r="BL9" s="4" t="s">
        <v>13</v>
      </c>
      <c r="BM9" s="137">
        <f t="shared" si="5"/>
        <v>0.13471274931976218</v>
      </c>
      <c r="BN9" s="137">
        <f t="shared" si="5"/>
        <v>0.37939267033514551</v>
      </c>
      <c r="BO9" s="137">
        <f t="shared" si="5"/>
        <v>4.3635377481334434E-2</v>
      </c>
      <c r="BP9" s="137">
        <f t="shared" si="5"/>
        <v>0</v>
      </c>
      <c r="BQ9" s="124">
        <f>SUMPRODUCT(BM18:BP18,BM9:BP9)</f>
        <v>1301.2061440861251</v>
      </c>
      <c r="BS9" s="134"/>
    </row>
    <row r="10" spans="2:71" x14ac:dyDescent="0.3">
      <c r="C10" s="133"/>
      <c r="D10" s="4" t="s">
        <v>14</v>
      </c>
      <c r="E10" s="137">
        <f>'Trip Length Frequency'!S47</f>
        <v>0.13471274931976218</v>
      </c>
      <c r="F10" s="137">
        <f>'Trip Length Frequency'!T47</f>
        <v>0.37939267033514551</v>
      </c>
      <c r="G10" s="137">
        <f>'Trip Length Frequency'!U47</f>
        <v>0</v>
      </c>
      <c r="H10" s="137">
        <f>'Trip Length Frequency'!V47</f>
        <v>4.3635377481334434E-2</v>
      </c>
      <c r="I10" s="124">
        <f>SUMPRODUCT(E18:H18,E10:H10)</f>
        <v>1102.2641085418795</v>
      </c>
      <c r="K10" s="134"/>
      <c r="M10" s="133"/>
      <c r="N10" s="4" t="s">
        <v>14</v>
      </c>
      <c r="O10" s="137">
        <f t="shared" si="0"/>
        <v>0.13471274931976218</v>
      </c>
      <c r="P10" s="137">
        <f t="shared" si="0"/>
        <v>0.37939267033514551</v>
      </c>
      <c r="Q10" s="137">
        <f t="shared" si="0"/>
        <v>0</v>
      </c>
      <c r="R10" s="137">
        <f t="shared" si="0"/>
        <v>4.3635377481334434E-2</v>
      </c>
      <c r="S10" s="124">
        <f>SUMPRODUCT(O18:R18,O10:R10)</f>
        <v>884.68323660283215</v>
      </c>
      <c r="U10" s="134"/>
      <c r="W10" s="133"/>
      <c r="X10" s="4" t="s">
        <v>14</v>
      </c>
      <c r="Y10" s="137">
        <f t="shared" si="1"/>
        <v>0.13471274931976218</v>
      </c>
      <c r="Z10" s="137">
        <f t="shared" si="1"/>
        <v>0.37939267033514551</v>
      </c>
      <c r="AA10" s="137">
        <f t="shared" si="1"/>
        <v>0</v>
      </c>
      <c r="AB10" s="137">
        <f t="shared" si="1"/>
        <v>4.3635377481334434E-2</v>
      </c>
      <c r="AC10" s="124">
        <f>SUMPRODUCT(Y18:AB18,Y10:AB10)</f>
        <v>884.68323660283215</v>
      </c>
      <c r="AE10" s="134"/>
      <c r="AG10" s="133"/>
      <c r="AH10" s="4" t="s">
        <v>14</v>
      </c>
      <c r="AI10" s="137">
        <f t="shared" si="2"/>
        <v>0.13471274931976218</v>
      </c>
      <c r="AJ10" s="137">
        <f t="shared" si="2"/>
        <v>0.37939267033514551</v>
      </c>
      <c r="AK10" s="137">
        <f t="shared" si="2"/>
        <v>0</v>
      </c>
      <c r="AL10" s="137">
        <f t="shared" si="2"/>
        <v>4.3635377481334434E-2</v>
      </c>
      <c r="AM10" s="124">
        <f>SUMPRODUCT(AI18:AL18,AI10:AL10)</f>
        <v>1003.234959127248</v>
      </c>
      <c r="AO10" s="134"/>
      <c r="AQ10" s="133"/>
      <c r="AR10" s="4" t="s">
        <v>14</v>
      </c>
      <c r="AS10" s="137">
        <f t="shared" si="3"/>
        <v>0.13471274931976218</v>
      </c>
      <c r="AT10" s="137">
        <f t="shared" si="3"/>
        <v>0.37939267033514551</v>
      </c>
      <c r="AU10" s="137">
        <f t="shared" si="3"/>
        <v>0</v>
      </c>
      <c r="AV10" s="137">
        <f t="shared" si="3"/>
        <v>4.3635377481334434E-2</v>
      </c>
      <c r="AW10" s="124">
        <f>SUMPRODUCT(AS18:AV18,AS10:AV10)</f>
        <v>1069.4291208918266</v>
      </c>
      <c r="AY10" s="134"/>
      <c r="BA10" s="133"/>
      <c r="BB10" s="4" t="s">
        <v>14</v>
      </c>
      <c r="BC10" s="137">
        <f t="shared" si="4"/>
        <v>0.13471274931976218</v>
      </c>
      <c r="BD10" s="137">
        <f t="shared" si="4"/>
        <v>0.37939267033514551</v>
      </c>
      <c r="BE10" s="137">
        <f t="shared" si="4"/>
        <v>0</v>
      </c>
      <c r="BF10" s="137">
        <f t="shared" si="4"/>
        <v>4.3635377481334434E-2</v>
      </c>
      <c r="BG10" s="124">
        <f>SUMPRODUCT(BC18:BF18,BC10:BF10)</f>
        <v>1140.7134573579881</v>
      </c>
      <c r="BI10" s="134"/>
      <c r="BK10" s="133"/>
      <c r="BL10" s="4" t="s">
        <v>14</v>
      </c>
      <c r="BM10" s="137">
        <f t="shared" si="5"/>
        <v>0.13471274931976218</v>
      </c>
      <c r="BN10" s="137">
        <f t="shared" si="5"/>
        <v>0.37939267033514551</v>
      </c>
      <c r="BO10" s="137">
        <f t="shared" si="5"/>
        <v>0</v>
      </c>
      <c r="BP10" s="137">
        <f t="shared" si="5"/>
        <v>4.3635377481334434E-2</v>
      </c>
      <c r="BQ10" s="124">
        <f>SUMPRODUCT(BM18:BP18,BM10:BP10)</f>
        <v>1291.1665346536138</v>
      </c>
      <c r="BS10" s="134"/>
    </row>
    <row r="11" spans="2:71" x14ac:dyDescent="0.3">
      <c r="C11" s="133"/>
      <c r="K11" s="134"/>
      <c r="M11" s="133"/>
      <c r="U11" s="134"/>
      <c r="W11" s="133"/>
      <c r="AE11" s="134"/>
      <c r="AG11" s="133"/>
      <c r="AO11" s="134"/>
      <c r="AQ11" s="133"/>
      <c r="AY11" s="134"/>
      <c r="BA11" s="133"/>
      <c r="BI11" s="134"/>
      <c r="BK11" s="133"/>
      <c r="BS11" s="134"/>
    </row>
    <row r="12" spans="2:71" x14ac:dyDescent="0.3">
      <c r="C12" s="133" t="s">
        <v>205</v>
      </c>
      <c r="K12" s="134"/>
      <c r="M12" s="133" t="s">
        <v>205</v>
      </c>
      <c r="U12" s="134"/>
      <c r="W12" s="133" t="s">
        <v>205</v>
      </c>
      <c r="AE12" s="134"/>
      <c r="AG12" s="133" t="s">
        <v>205</v>
      </c>
      <c r="AO12" s="134"/>
      <c r="AQ12" s="133" t="s">
        <v>205</v>
      </c>
      <c r="AY12" s="134"/>
      <c r="BA12" s="133" t="s">
        <v>205</v>
      </c>
      <c r="BI12" s="134"/>
      <c r="BK12" s="133" t="s">
        <v>205</v>
      </c>
      <c r="BS12" s="134"/>
    </row>
    <row r="13" spans="2:71" x14ac:dyDescent="0.3">
      <c r="C13" s="133"/>
      <c r="D13" s="136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4" t="s">
        <v>198</v>
      </c>
      <c r="J13" s="124" t="s">
        <v>197</v>
      </c>
      <c r="K13" s="134" t="s">
        <v>194</v>
      </c>
      <c r="M13" s="133"/>
      <c r="N13" s="136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4" t="s">
        <v>198</v>
      </c>
      <c r="T13" s="124" t="s">
        <v>197</v>
      </c>
      <c r="U13" s="134" t="s">
        <v>194</v>
      </c>
      <c r="W13" s="133"/>
      <c r="X13" s="136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4" t="s">
        <v>198</v>
      </c>
      <c r="AD13" s="124" t="s">
        <v>197</v>
      </c>
      <c r="AE13" s="134" t="s">
        <v>194</v>
      </c>
      <c r="AG13" s="133"/>
      <c r="AH13" s="136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4" t="s">
        <v>198</v>
      </c>
      <c r="AN13" s="124" t="s">
        <v>197</v>
      </c>
      <c r="AO13" s="134" t="s">
        <v>194</v>
      </c>
      <c r="AQ13" s="133"/>
      <c r="AR13" s="136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4" t="s">
        <v>198</v>
      </c>
      <c r="AX13" s="124" t="s">
        <v>197</v>
      </c>
      <c r="AY13" s="134" t="s">
        <v>194</v>
      </c>
      <c r="BA13" s="133"/>
      <c r="BB13" s="136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4" t="s">
        <v>198</v>
      </c>
      <c r="BH13" s="124" t="s">
        <v>197</v>
      </c>
      <c r="BI13" s="134" t="s">
        <v>194</v>
      </c>
      <c r="BK13" s="133"/>
      <c r="BL13" s="136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4" t="s">
        <v>198</v>
      </c>
      <c r="BR13" s="124" t="s">
        <v>197</v>
      </c>
      <c r="BS13" s="134" t="s">
        <v>194</v>
      </c>
    </row>
    <row r="14" spans="2:71" x14ac:dyDescent="0.3">
      <c r="C14" s="133"/>
      <c r="D14" s="4" t="s">
        <v>11</v>
      </c>
      <c r="E14" s="147">
        <f t="shared" ref="E14:H17" si="6">$I14*(E$18*E7*1)/$I7</f>
        <v>481.68362801309564</v>
      </c>
      <c r="F14" s="147">
        <f t="shared" si="6"/>
        <v>0</v>
      </c>
      <c r="G14" s="147">
        <f t="shared" si="6"/>
        <v>764.57236636179334</v>
      </c>
      <c r="H14" s="147">
        <f t="shared" si="6"/>
        <v>803.74400562511107</v>
      </c>
      <c r="I14" s="124">
        <v>2050</v>
      </c>
      <c r="J14" s="180">
        <f>SUM(E14:H14)</f>
        <v>2050</v>
      </c>
      <c r="K14" s="134">
        <f>I14/J14</f>
        <v>1</v>
      </c>
      <c r="M14" s="133"/>
      <c r="N14" s="4" t="s">
        <v>11</v>
      </c>
      <c r="O14" s="147">
        <f t="shared" ref="O14:R17" si="7">$S14*(O$18*O7*1)/$S7</f>
        <v>229.26580997803296</v>
      </c>
      <c r="P14" s="147">
        <f t="shared" si="7"/>
        <v>0</v>
      </c>
      <c r="Q14" s="147">
        <f t="shared" si="7"/>
        <v>1022.146008552947</v>
      </c>
      <c r="R14" s="147">
        <f t="shared" si="7"/>
        <v>935.3347326203002</v>
      </c>
      <c r="S14" s="124">
        <v>2186.7465511512801</v>
      </c>
      <c r="T14" s="180">
        <f>SUM(O14:R14)</f>
        <v>2186.7465511512801</v>
      </c>
      <c r="U14" s="134">
        <f>S14/T14</f>
        <v>1</v>
      </c>
      <c r="W14" s="133"/>
      <c r="X14" s="4" t="s">
        <v>11</v>
      </c>
      <c r="Y14" s="147">
        <f>$AC14*(Y$18*Y7*1)/$AC7</f>
        <v>244.69814672758389</v>
      </c>
      <c r="Z14" s="147">
        <f t="shared" ref="Z14:AB14" si="8">$AC14*(Z$18*Z7*1)/$AC7</f>
        <v>0</v>
      </c>
      <c r="AA14" s="147">
        <f t="shared" si="8"/>
        <v>1090.9486852918371</v>
      </c>
      <c r="AB14" s="147">
        <f t="shared" si="8"/>
        <v>998.29397006059128</v>
      </c>
      <c r="AC14" s="124">
        <v>2333.9408020800124</v>
      </c>
      <c r="AD14" s="180">
        <f>SUM(Y14:AB14)</f>
        <v>2333.9408020800124</v>
      </c>
      <c r="AE14" s="134">
        <f>AC14/AD14</f>
        <v>1</v>
      </c>
      <c r="AG14" s="133"/>
      <c r="AH14" s="4" t="s">
        <v>11</v>
      </c>
      <c r="AI14" s="147">
        <f>$AM14*(AI$18*AI7*1)/$AM7</f>
        <v>261.06203474749645</v>
      </c>
      <c r="AJ14" s="147">
        <f t="shared" ref="AJ14:AL14" si="9">$AM14*(AJ$18*AJ7*1)/$AM7</f>
        <v>0</v>
      </c>
      <c r="AK14" s="147">
        <f t="shared" si="9"/>
        <v>1164.5837868983167</v>
      </c>
      <c r="AL14" s="147">
        <f t="shared" si="9"/>
        <v>1066.7382183164539</v>
      </c>
      <c r="AM14" s="124">
        <v>2492.3840399622668</v>
      </c>
      <c r="AN14" s="180">
        <f>SUM(AI14:AL14)</f>
        <v>2492.3840399622668</v>
      </c>
      <c r="AO14" s="134">
        <f>AM14/AN14</f>
        <v>1</v>
      </c>
      <c r="AQ14" s="133"/>
      <c r="AR14" s="4" t="s">
        <v>11</v>
      </c>
      <c r="AS14" s="147">
        <f>$AW14*(AS$18*AS7*1)/$AW7</f>
        <v>278.84806823614639</v>
      </c>
      <c r="AT14" s="147">
        <f t="shared" ref="AT14:AV14" si="10">$AW14*(AT$18*AT7*1)/$AW7</f>
        <v>0</v>
      </c>
      <c r="AU14" s="147">
        <f t="shared" si="10"/>
        <v>1244.0020117781705</v>
      </c>
      <c r="AV14" s="147">
        <f t="shared" si="10"/>
        <v>1140.0890847815888</v>
      </c>
      <c r="AW14" s="124">
        <v>2662.939164795906</v>
      </c>
      <c r="AX14" s="180">
        <f>SUM(AS14:AV14)</f>
        <v>2662.9391647959055</v>
      </c>
      <c r="AY14" s="134">
        <f>AW14/AX14</f>
        <v>1.0000000000000002</v>
      </c>
      <c r="BA14" s="133"/>
      <c r="BB14" s="4" t="s">
        <v>11</v>
      </c>
      <c r="BC14" s="147">
        <f>$BG14*(BC$18*BC7*1)/$BG7</f>
        <v>298.02536464278779</v>
      </c>
      <c r="BD14" s="147">
        <f t="shared" ref="BD14:BF14" si="11">$BG14*(BD$18*BD7*1)/$BG7</f>
        <v>0</v>
      </c>
      <c r="BE14" s="147">
        <f t="shared" si="11"/>
        <v>1329.4449178718139</v>
      </c>
      <c r="BF14" s="147">
        <f t="shared" si="11"/>
        <v>1219.0651525615533</v>
      </c>
      <c r="BG14" s="124">
        <v>2846.535435076155</v>
      </c>
      <c r="BH14" s="180">
        <f>SUM(BC14:BF14)</f>
        <v>2846.535435076155</v>
      </c>
      <c r="BI14" s="134">
        <f>BG14/BH14</f>
        <v>1</v>
      </c>
      <c r="BK14" s="133"/>
      <c r="BL14" s="4" t="s">
        <v>11</v>
      </c>
      <c r="BM14" s="147">
        <f>$BQ14*(BM$18*BM7*1)/$BQ7</f>
        <v>318.70328332197823</v>
      </c>
      <c r="BN14" s="147">
        <f t="shared" ref="BN14:BP14" si="12">$BQ14*(BN$18*BN7*1)/$BQ7</f>
        <v>0</v>
      </c>
      <c r="BO14" s="147">
        <f t="shared" si="12"/>
        <v>1421.3714575867778</v>
      </c>
      <c r="BP14" s="147">
        <f t="shared" si="12"/>
        <v>1304.0988385105579</v>
      </c>
      <c r="BQ14" s="124">
        <v>3044.1735794193137</v>
      </c>
      <c r="BR14" s="180">
        <f>SUM(BM14:BP14)</f>
        <v>3044.1735794193137</v>
      </c>
      <c r="BS14" s="134">
        <f>BQ14/BR14</f>
        <v>1</v>
      </c>
    </row>
    <row r="15" spans="2:71" x14ac:dyDescent="0.3">
      <c r="C15" s="133"/>
      <c r="D15" s="4" t="s">
        <v>12</v>
      </c>
      <c r="E15" s="147">
        <f t="shared" si="6"/>
        <v>0</v>
      </c>
      <c r="F15" s="147">
        <f t="shared" si="6"/>
        <v>201.58049826479544</v>
      </c>
      <c r="G15" s="147">
        <f t="shared" si="6"/>
        <v>901.12588104944757</v>
      </c>
      <c r="H15" s="147">
        <f t="shared" si="6"/>
        <v>947.29362068575711</v>
      </c>
      <c r="I15" s="124">
        <v>2050</v>
      </c>
      <c r="J15" s="180">
        <f>SUM(E15:H15)</f>
        <v>2050</v>
      </c>
      <c r="K15" s="134">
        <f>I15/J15</f>
        <v>1</v>
      </c>
      <c r="M15" s="133"/>
      <c r="N15" s="4" t="s">
        <v>12</v>
      </c>
      <c r="O15" s="147">
        <f t="shared" si="7"/>
        <v>0</v>
      </c>
      <c r="P15" s="147">
        <f t="shared" si="7"/>
        <v>107.96244664683199</v>
      </c>
      <c r="Q15" s="147">
        <f t="shared" si="7"/>
        <v>1085.4874995035652</v>
      </c>
      <c r="R15" s="147">
        <f t="shared" si="7"/>
        <v>993.29660500088255</v>
      </c>
      <c r="S15" s="124">
        <v>2186.7465511512801</v>
      </c>
      <c r="T15" s="180">
        <f>SUM(O15:R15)</f>
        <v>2186.7465511512796</v>
      </c>
      <c r="U15" s="134">
        <f>S15/T15</f>
        <v>1.0000000000000002</v>
      </c>
      <c r="W15" s="133"/>
      <c r="X15" s="4" t="s">
        <v>12</v>
      </c>
      <c r="Y15" s="147">
        <f t="shared" ref="Y15:AB15" si="13">$AC15*(Y$18*Y8*1)/$AC8</f>
        <v>0</v>
      </c>
      <c r="Z15" s="147">
        <f t="shared" si="13"/>
        <v>115.22961323010482</v>
      </c>
      <c r="AA15" s="147">
        <f t="shared" si="13"/>
        <v>1158.5538177276915</v>
      </c>
      <c r="AB15" s="147">
        <f t="shared" si="13"/>
        <v>1060.1573711222159</v>
      </c>
      <c r="AC15" s="124">
        <v>2333.9408020800124</v>
      </c>
      <c r="AD15" s="180">
        <f>SUM(Y15:AB15)</f>
        <v>2333.940802080012</v>
      </c>
      <c r="AE15" s="134">
        <f>AC15/AD15</f>
        <v>1.0000000000000002</v>
      </c>
      <c r="AG15" s="133"/>
      <c r="AH15" s="4" t="s">
        <v>12</v>
      </c>
      <c r="AI15" s="147">
        <f t="shared" ref="AI15:AL15" si="14">$AM15*(AI$18*AI8*1)/$AM8</f>
        <v>0</v>
      </c>
      <c r="AJ15" s="147">
        <f t="shared" si="14"/>
        <v>123.20882977006875</v>
      </c>
      <c r="AK15" s="147">
        <f t="shared" si="14"/>
        <v>1236.5328857345601</v>
      </c>
      <c r="AL15" s="147">
        <f t="shared" si="14"/>
        <v>1132.6423244576381</v>
      </c>
      <c r="AM15" s="124">
        <v>2492.3840399622668</v>
      </c>
      <c r="AN15" s="180">
        <f>SUM(AI15:AL15)</f>
        <v>2492.3840399622668</v>
      </c>
      <c r="AO15" s="134">
        <f>AM15/AN15</f>
        <v>1</v>
      </c>
      <c r="AQ15" s="133"/>
      <c r="AR15" s="4" t="s">
        <v>12</v>
      </c>
      <c r="AS15" s="147">
        <f t="shared" ref="AS15:AV15" si="15">$AW15*(AS$18*AS8*1)/$AW8</f>
        <v>0</v>
      </c>
      <c r="AT15" s="147">
        <f t="shared" si="15"/>
        <v>131.73358893227515</v>
      </c>
      <c r="AU15" s="147">
        <f t="shared" si="15"/>
        <v>1320.7653151937986</v>
      </c>
      <c r="AV15" s="147">
        <f t="shared" si="15"/>
        <v>1210.4402606698322</v>
      </c>
      <c r="AW15" s="124">
        <v>2662.939164795906</v>
      </c>
      <c r="AX15" s="180">
        <f>SUM(AS15:AV15)</f>
        <v>2662.939164795906</v>
      </c>
      <c r="AY15" s="134">
        <f>AW15/AX15</f>
        <v>1</v>
      </c>
      <c r="BA15" s="133"/>
      <c r="BB15" s="4" t="s">
        <v>12</v>
      </c>
      <c r="BC15" s="147">
        <f t="shared" ref="BC15:BF15" si="16">$BG15*(BC$18*BC8*1)/$BG8</f>
        <v>0</v>
      </c>
      <c r="BD15" s="147">
        <f t="shared" si="16"/>
        <v>140.92248622818232</v>
      </c>
      <c r="BE15" s="147">
        <f t="shared" si="16"/>
        <v>1411.3985368566566</v>
      </c>
      <c r="BF15" s="147">
        <f t="shared" si="16"/>
        <v>1294.2144119913162</v>
      </c>
      <c r="BG15" s="124">
        <v>2846.535435076155</v>
      </c>
      <c r="BH15" s="180">
        <f>SUM(BC15:BF15)</f>
        <v>2846.5354350761554</v>
      </c>
      <c r="BI15" s="134">
        <f>BG15/BH15</f>
        <v>0.99999999999999989</v>
      </c>
      <c r="BK15" s="133"/>
      <c r="BL15" s="4" t="s">
        <v>12</v>
      </c>
      <c r="BM15" s="147">
        <f t="shared" ref="BM15:BP15" si="17">$BQ15*(BM$18*BM8*1)/$BQ8</f>
        <v>0</v>
      </c>
      <c r="BN15" s="147">
        <f t="shared" si="17"/>
        <v>150.82750726883884</v>
      </c>
      <c r="BO15" s="147">
        <f t="shared" si="17"/>
        <v>1508.9210584185457</v>
      </c>
      <c r="BP15" s="147">
        <f t="shared" si="17"/>
        <v>1384.4250137319291</v>
      </c>
      <c r="BQ15" s="124">
        <v>3044.1735794193137</v>
      </c>
      <c r="BR15" s="180">
        <f>SUM(BM15:BP15)</f>
        <v>3044.1735794193137</v>
      </c>
      <c r="BS15" s="134">
        <f>BQ15/BR15</f>
        <v>1</v>
      </c>
    </row>
    <row r="16" spans="2:71" x14ac:dyDescent="0.3">
      <c r="C16" s="133"/>
      <c r="D16" s="4" t="s">
        <v>13</v>
      </c>
      <c r="E16" s="147">
        <f t="shared" si="6"/>
        <v>264.63476115243225</v>
      </c>
      <c r="F16" s="147">
        <f t="shared" si="6"/>
        <v>745.29314563099103</v>
      </c>
      <c r="G16" s="147">
        <f t="shared" si="6"/>
        <v>44.072093216576775</v>
      </c>
      <c r="H16" s="147">
        <f t="shared" si="6"/>
        <v>0</v>
      </c>
      <c r="I16" s="124">
        <v>1054</v>
      </c>
      <c r="J16" s="180">
        <f>SUM(E16:H16)</f>
        <v>1054</v>
      </c>
      <c r="K16" s="134">
        <f>I16/J16</f>
        <v>1</v>
      </c>
      <c r="M16" s="133"/>
      <c r="N16" s="4" t="s">
        <v>13</v>
      </c>
      <c r="O16" s="147">
        <f t="shared" si="7"/>
        <v>223.27323217829277</v>
      </c>
      <c r="P16" s="147">
        <f t="shared" si="7"/>
        <v>785.2693872555393</v>
      </c>
      <c r="Q16" s="147">
        <f t="shared" si="7"/>
        <v>104.44084523507983</v>
      </c>
      <c r="R16" s="147">
        <f t="shared" si="7"/>
        <v>0</v>
      </c>
      <c r="S16" s="124">
        <v>1112.9834646689119</v>
      </c>
      <c r="T16" s="180">
        <f>SUM(O16:R16)</f>
        <v>1112.9834646689119</v>
      </c>
      <c r="U16" s="134">
        <f>S16/T16</f>
        <v>1</v>
      </c>
      <c r="W16" s="133"/>
      <c r="X16" s="4" t="s">
        <v>13</v>
      </c>
      <c r="Y16" s="147">
        <f t="shared" ref="Y16:AB16" si="18">$AC16*(Y$18*Y9*1)/$AC9</f>
        <v>235.98798202573417</v>
      </c>
      <c r="Z16" s="147">
        <f t="shared" si="18"/>
        <v>829.98815503794287</v>
      </c>
      <c r="AA16" s="147">
        <f t="shared" si="18"/>
        <v>110.38844230286884</v>
      </c>
      <c r="AB16" s="147">
        <f t="shared" si="18"/>
        <v>0</v>
      </c>
      <c r="AC16" s="124">
        <v>1176.364579366546</v>
      </c>
      <c r="AD16" s="180">
        <f>SUM(Y16:AB16)</f>
        <v>1176.364579366546</v>
      </c>
      <c r="AE16" s="134">
        <f>AC16/AD16</f>
        <v>1</v>
      </c>
      <c r="AG16" s="133"/>
      <c r="AH16" s="4" t="s">
        <v>13</v>
      </c>
      <c r="AI16" s="147">
        <f t="shared" ref="AI16:AL16" si="19">$AM16*(AI$18*AI9*1)/$AM9</f>
        <v>249.21557817742362</v>
      </c>
      <c r="AJ16" s="147">
        <f t="shared" si="19"/>
        <v>878.61546275942885</v>
      </c>
      <c r="AK16" s="147">
        <f t="shared" si="19"/>
        <v>116.64396729913432</v>
      </c>
      <c r="AL16" s="147">
        <f t="shared" si="19"/>
        <v>0</v>
      </c>
      <c r="AM16" s="124">
        <v>1244.4750082359867</v>
      </c>
      <c r="AN16" s="180">
        <f>SUM(AI16:AL16)</f>
        <v>1244.4750082359869</v>
      </c>
      <c r="AO16" s="134">
        <f>AM16/AN16</f>
        <v>0.99999999999999978</v>
      </c>
      <c r="AQ16" s="133"/>
      <c r="AR16" s="4" t="s">
        <v>13</v>
      </c>
      <c r="AS16" s="147">
        <f t="shared" ref="AS16:AV16" si="20">$AW16*(AS$18*AS9*1)/$AW9</f>
        <v>263.674489524889</v>
      </c>
      <c r="AT16" s="147">
        <f t="shared" si="20"/>
        <v>930.5782510029602</v>
      </c>
      <c r="AU16" s="147">
        <f t="shared" si="20"/>
        <v>123.41888874614254</v>
      </c>
      <c r="AV16" s="147">
        <f t="shared" si="20"/>
        <v>0</v>
      </c>
      <c r="AW16" s="124">
        <v>1317.6716292739918</v>
      </c>
      <c r="AX16" s="180">
        <f>SUM(AS16:AV16)</f>
        <v>1317.6716292739918</v>
      </c>
      <c r="AY16" s="134">
        <f>AW16/AX16</f>
        <v>1</v>
      </c>
      <c r="BA16" s="133"/>
      <c r="BB16" s="4" t="s">
        <v>13</v>
      </c>
      <c r="BC16" s="147">
        <f t="shared" ref="BC16:BF16" si="21">$BG16*(BC$18*BC9*1)/$BG9</f>
        <v>279.2260471817001</v>
      </c>
      <c r="BD16" s="147">
        <f t="shared" si="21"/>
        <v>986.42519317328606</v>
      </c>
      <c r="BE16" s="147">
        <f t="shared" si="21"/>
        <v>130.68722125692369</v>
      </c>
      <c r="BF16" s="147">
        <f t="shared" si="21"/>
        <v>0</v>
      </c>
      <c r="BG16" s="124">
        <v>1396.3384616119097</v>
      </c>
      <c r="BH16" s="180">
        <f>SUM(BC16:BF16)</f>
        <v>1396.3384616119099</v>
      </c>
      <c r="BI16" s="134">
        <f>BG16/BH16</f>
        <v>0.99999999999999989</v>
      </c>
      <c r="BK16" s="133"/>
      <c r="BL16" s="4" t="s">
        <v>13</v>
      </c>
      <c r="BM16" s="147">
        <f t="shared" ref="BM16:BP16" si="22">$BQ16*(BM$18*BM9*1)/$BQ9</f>
        <v>295.95316012057651</v>
      </c>
      <c r="BN16" s="147">
        <f t="shared" si="22"/>
        <v>1046.4501423512909</v>
      </c>
      <c r="BO16" s="147">
        <f t="shared" si="22"/>
        <v>138.48543818382214</v>
      </c>
      <c r="BP16" s="147">
        <f t="shared" si="22"/>
        <v>0</v>
      </c>
      <c r="BQ16" s="124">
        <v>1480.8887406556896</v>
      </c>
      <c r="BR16" s="180">
        <f>SUM(BM16:BP16)</f>
        <v>1480.8887406556896</v>
      </c>
      <c r="BS16" s="134">
        <f>BQ16/BR16</f>
        <v>1</v>
      </c>
    </row>
    <row r="17" spans="3:71" x14ac:dyDescent="0.3">
      <c r="C17" s="133"/>
      <c r="D17" s="4" t="s">
        <v>14</v>
      </c>
      <c r="E17" s="147">
        <f t="shared" si="6"/>
        <v>277.59820576003284</v>
      </c>
      <c r="F17" s="147">
        <f t="shared" si="6"/>
        <v>781.80220577009561</v>
      </c>
      <c r="G17" s="147">
        <f t="shared" si="6"/>
        <v>0</v>
      </c>
      <c r="H17" s="147">
        <f t="shared" si="6"/>
        <v>48.59958846987135</v>
      </c>
      <c r="I17" s="124">
        <v>1108</v>
      </c>
      <c r="J17" s="180">
        <f>SUM(E17:H17)</f>
        <v>1107.9999999999998</v>
      </c>
      <c r="K17" s="134">
        <f>I17/J17</f>
        <v>1.0000000000000002</v>
      </c>
      <c r="M17" s="133"/>
      <c r="N17" s="4" t="s">
        <v>14</v>
      </c>
      <c r="O17" s="147">
        <f t="shared" si="7"/>
        <v>237.14952962501644</v>
      </c>
      <c r="P17" s="147">
        <f t="shared" si="7"/>
        <v>834.07340862010165</v>
      </c>
      <c r="Q17" s="147">
        <f t="shared" si="7"/>
        <v>0</v>
      </c>
      <c r="R17" s="147">
        <f t="shared" si="7"/>
        <v>101.51029986061262</v>
      </c>
      <c r="S17" s="124">
        <v>1172.7332381057306</v>
      </c>
      <c r="T17" s="180">
        <f>SUM(O17:R17)</f>
        <v>1172.7332381057306</v>
      </c>
      <c r="U17" s="134">
        <f>S17/T17</f>
        <v>1</v>
      </c>
      <c r="W17" s="133"/>
      <c r="X17" s="4" t="s">
        <v>14</v>
      </c>
      <c r="Y17" s="147">
        <f t="shared" ref="Y17:AB17" si="23">$AC17*(Y$18*Y10*1)/$AC10</f>
        <v>251.23526397203835</v>
      </c>
      <c r="Z17" s="147">
        <f t="shared" si="23"/>
        <v>883.61403591257294</v>
      </c>
      <c r="AA17" s="147">
        <f t="shared" si="23"/>
        <v>0</v>
      </c>
      <c r="AB17" s="147">
        <f t="shared" si="23"/>
        <v>107.53960601012942</v>
      </c>
      <c r="AC17" s="124">
        <v>1242.3889058947407</v>
      </c>
      <c r="AD17" s="180">
        <f>SUM(Y17:AB17)</f>
        <v>1242.3889058947407</v>
      </c>
      <c r="AE17" s="134">
        <f>AC17/AD17</f>
        <v>1</v>
      </c>
      <c r="AG17" s="133"/>
      <c r="AH17" s="4" t="s">
        <v>14</v>
      </c>
      <c r="AI17" s="147">
        <f t="shared" ref="AI17:AL17" si="24">$AM17*(AI$18*AI10*1)/$AM10</f>
        <v>265.90197125298192</v>
      </c>
      <c r="AJ17" s="147">
        <f t="shared" si="24"/>
        <v>937.44373939079514</v>
      </c>
      <c r="AK17" s="147">
        <f t="shared" si="24"/>
        <v>0</v>
      </c>
      <c r="AL17" s="147">
        <f t="shared" si="24"/>
        <v>113.99761586860758</v>
      </c>
      <c r="AM17" s="124">
        <v>1317.3433265123847</v>
      </c>
      <c r="AN17" s="180">
        <f>SUM(AI17:AL17)</f>
        <v>1317.3433265123847</v>
      </c>
      <c r="AO17" s="134">
        <f>AM17/AN17</f>
        <v>1</v>
      </c>
      <c r="AQ17" s="133"/>
      <c r="AR17" s="4" t="s">
        <v>14</v>
      </c>
      <c r="AS17" s="147">
        <f t="shared" ref="AS17:AV17" si="25">$AW17*(AS$18*AS10*1)/$AW10</f>
        <v>281.95503425209722</v>
      </c>
      <c r="AT17" s="147">
        <f t="shared" si="25"/>
        <v>995.09521421119302</v>
      </c>
      <c r="AU17" s="147">
        <f t="shared" si="25"/>
        <v>0</v>
      </c>
      <c r="AV17" s="147">
        <f t="shared" si="25"/>
        <v>120.95144916052898</v>
      </c>
      <c r="AW17" s="124">
        <v>1398.0016976238194</v>
      </c>
      <c r="AX17" s="180">
        <f>SUM(AS17:AV17)</f>
        <v>1398.0016976238192</v>
      </c>
      <c r="AY17" s="134">
        <f>AW17/AX17</f>
        <v>1.0000000000000002</v>
      </c>
      <c r="BA17" s="133"/>
      <c r="BB17" s="4" t="s">
        <v>14</v>
      </c>
      <c r="BC17" s="147">
        <f t="shared" ref="BC17:BF17" si="26">$BG17*(BC$18*BC10*1)/$BG10</f>
        <v>299.24109928100228</v>
      </c>
      <c r="BD17" s="147">
        <f t="shared" si="26"/>
        <v>1057.1326068716219</v>
      </c>
      <c r="BE17" s="147">
        <f t="shared" si="26"/>
        <v>0</v>
      </c>
      <c r="BF17" s="147">
        <f t="shared" si="26"/>
        <v>128.4266061265584</v>
      </c>
      <c r="BG17" s="124">
        <v>1484.8003122791824</v>
      </c>
      <c r="BH17" s="180">
        <f>SUM(BC17:BF17)</f>
        <v>1484.8003122791827</v>
      </c>
      <c r="BI17" s="134">
        <f>BG17/BH17</f>
        <v>0.99999999999999989</v>
      </c>
      <c r="BK17" s="133"/>
      <c r="BL17" s="4" t="s">
        <v>14</v>
      </c>
      <c r="BM17" s="147">
        <f t="shared" ref="BM17:BP17" si="27">$BQ17*(BM$18*BM10*1)/$BQ10</f>
        <v>317.85488969604171</v>
      </c>
      <c r="BN17" s="147">
        <f t="shared" si="27"/>
        <v>1123.8916808117938</v>
      </c>
      <c r="BO17" s="147">
        <f t="shared" si="27"/>
        <v>0</v>
      </c>
      <c r="BP17" s="147">
        <f t="shared" si="27"/>
        <v>136.46238036383662</v>
      </c>
      <c r="BQ17" s="124">
        <v>1578.2089508716722</v>
      </c>
      <c r="BR17" s="180">
        <f>SUM(BM17:BP17)</f>
        <v>1578.2089508716722</v>
      </c>
      <c r="BS17" s="134">
        <f>BQ17/BR17</f>
        <v>1</v>
      </c>
    </row>
    <row r="18" spans="3:71" x14ac:dyDescent="0.3">
      <c r="C18" s="133"/>
      <c r="D18" s="124" t="s">
        <v>196</v>
      </c>
      <c r="E18" s="124">
        <v>2050</v>
      </c>
      <c r="F18" s="124">
        <v>2050</v>
      </c>
      <c r="G18" s="124">
        <v>1054</v>
      </c>
      <c r="H18" s="124">
        <v>1108</v>
      </c>
      <c r="J18" s="180"/>
      <c r="K18" s="134"/>
      <c r="M18" s="133"/>
      <c r="N18" s="124" t="s">
        <v>196</v>
      </c>
      <c r="O18" s="124">
        <v>1328.012404961956</v>
      </c>
      <c r="P18" s="124">
        <v>1658.4558060242425</v>
      </c>
      <c r="Q18" s="124">
        <v>1917.811032253856</v>
      </c>
      <c r="R18" s="124">
        <v>1754.9305618371486</v>
      </c>
      <c r="T18" s="180"/>
      <c r="U18" s="134"/>
      <c r="W18" s="133"/>
      <c r="X18" s="124" t="s">
        <v>196</v>
      </c>
      <c r="Y18" s="124">
        <v>1328.012404961956</v>
      </c>
      <c r="Z18" s="124">
        <v>1658.4558060242425</v>
      </c>
      <c r="AA18" s="124">
        <v>1917.811032253856</v>
      </c>
      <c r="AB18" s="124">
        <v>1754.9305618371486</v>
      </c>
      <c r="AD18" s="180"/>
      <c r="AE18" s="134"/>
      <c r="AG18" s="133"/>
      <c r="AH18" s="124" t="s">
        <v>196</v>
      </c>
      <c r="AI18" s="124">
        <v>1503.1992104315086</v>
      </c>
      <c r="AJ18" s="124">
        <v>1881.7414801634088</v>
      </c>
      <c r="AK18" s="124">
        <v>2172.0689016417573</v>
      </c>
      <c r="AL18" s="124">
        <v>1989.5768224362307</v>
      </c>
      <c r="AN18" s="180"/>
      <c r="AO18" s="134"/>
      <c r="AQ18" s="133"/>
      <c r="AR18" s="124" t="s">
        <v>196</v>
      </c>
      <c r="AS18" s="124">
        <v>1601.0889518076301</v>
      </c>
      <c r="AT18" s="124">
        <v>2006.4115000433494</v>
      </c>
      <c r="AU18" s="124">
        <v>2313.6568174166791</v>
      </c>
      <c r="AV18" s="124">
        <v>2120.3943872219643</v>
      </c>
      <c r="AX18" s="180"/>
      <c r="AY18" s="134"/>
      <c r="BA18" s="133"/>
      <c r="BB18" s="124" t="s">
        <v>196</v>
      </c>
      <c r="BC18" s="124">
        <v>1706.558014485141</v>
      </c>
      <c r="BD18" s="124">
        <v>2140.666670392317</v>
      </c>
      <c r="BE18" s="124">
        <v>2465.8588575838148</v>
      </c>
      <c r="BF18" s="124">
        <v>2261.126101582131</v>
      </c>
      <c r="BH18" s="180"/>
      <c r="BI18" s="134"/>
      <c r="BK18" s="133"/>
      <c r="BL18" s="124" t="s">
        <v>196</v>
      </c>
      <c r="BM18" s="124">
        <v>1930.3584281999242</v>
      </c>
      <c r="BN18" s="124">
        <v>2423.5572278064883</v>
      </c>
      <c r="BO18" s="124">
        <v>2788.6181283808864</v>
      </c>
      <c r="BP18" s="124">
        <v>2558.5385458951887</v>
      </c>
      <c r="BR18" s="180"/>
      <c r="BS18" s="134"/>
    </row>
    <row r="19" spans="3:71" x14ac:dyDescent="0.3">
      <c r="C19" s="133"/>
      <c r="D19" s="124" t="s">
        <v>195</v>
      </c>
      <c r="E19" s="180">
        <f>SUM(E14:E17)</f>
        <v>1023.9165949255607</v>
      </c>
      <c r="F19" s="180">
        <f>SUM(F14:F17)</f>
        <v>1728.6758496658822</v>
      </c>
      <c r="G19" s="180">
        <f>SUM(G14:G17)</f>
        <v>1709.7703406278179</v>
      </c>
      <c r="H19" s="180">
        <f>SUM(H14:H17)</f>
        <v>1799.6372147807397</v>
      </c>
      <c r="K19" s="134"/>
      <c r="M19" s="133"/>
      <c r="N19" s="124" t="s">
        <v>195</v>
      </c>
      <c r="O19" s="180">
        <f>SUM(O14:O17)</f>
        <v>689.68857178134226</v>
      </c>
      <c r="P19" s="180">
        <f>SUM(P14:P17)</f>
        <v>1727.3052425224728</v>
      </c>
      <c r="Q19" s="180">
        <f>SUM(Q14:Q17)</f>
        <v>2212.0743532915922</v>
      </c>
      <c r="R19" s="180">
        <f>SUM(R14:R17)</f>
        <v>2030.1416374817954</v>
      </c>
      <c r="U19" s="134"/>
      <c r="W19" s="133"/>
      <c r="X19" s="124" t="s">
        <v>195</v>
      </c>
      <c r="Y19" s="180">
        <f>SUM(Y14:Y17)</f>
        <v>731.92139272535633</v>
      </c>
      <c r="Z19" s="180">
        <f>SUM(Z14:Z17)</f>
        <v>1828.8318041806206</v>
      </c>
      <c r="AA19" s="180">
        <f>SUM(AA14:AA17)</f>
        <v>2359.8909453223973</v>
      </c>
      <c r="AB19" s="180">
        <f>SUM(AB14:AB17)</f>
        <v>2165.9909471929363</v>
      </c>
      <c r="AE19" s="134"/>
      <c r="AG19" s="133"/>
      <c r="AH19" s="124" t="s">
        <v>195</v>
      </c>
      <c r="AI19" s="180">
        <f>SUM(AI14:AI17)</f>
        <v>776.17958417790192</v>
      </c>
      <c r="AJ19" s="180">
        <f>SUM(AJ14:AJ17)</f>
        <v>1939.2680319202927</v>
      </c>
      <c r="AK19" s="180">
        <f>SUM(AK14:AK17)</f>
        <v>2517.7606399320107</v>
      </c>
      <c r="AL19" s="180">
        <f>SUM(AL14:AL17)</f>
        <v>2313.3781586426994</v>
      </c>
      <c r="AO19" s="134"/>
      <c r="AQ19" s="133"/>
      <c r="AR19" s="124" t="s">
        <v>195</v>
      </c>
      <c r="AS19" s="180">
        <f>SUM(AS14:AS17)</f>
        <v>824.47759201313261</v>
      </c>
      <c r="AT19" s="180">
        <f>SUM(AT14:AT17)</f>
        <v>2057.4070541464284</v>
      </c>
      <c r="AU19" s="180">
        <f>SUM(AU14:AU17)</f>
        <v>2688.1862157181113</v>
      </c>
      <c r="AV19" s="180">
        <f>SUM(AV14:AV17)</f>
        <v>2471.4807946119504</v>
      </c>
      <c r="AY19" s="134"/>
      <c r="BA19" s="133"/>
      <c r="BB19" s="124" t="s">
        <v>195</v>
      </c>
      <c r="BC19" s="180">
        <f>SUM(BC14:BC17)</f>
        <v>876.49251110549017</v>
      </c>
      <c r="BD19" s="180">
        <f>SUM(BD14:BD17)</f>
        <v>2184.4802862730903</v>
      </c>
      <c r="BE19" s="180">
        <f>SUM(BE14:BE17)</f>
        <v>2871.5306759853943</v>
      </c>
      <c r="BF19" s="180">
        <f>SUM(BF14:BF17)</f>
        <v>2641.7061706794279</v>
      </c>
      <c r="BI19" s="134"/>
      <c r="BK19" s="133"/>
      <c r="BL19" s="124" t="s">
        <v>195</v>
      </c>
      <c r="BM19" s="180">
        <f>SUM(BM14:BM17)</f>
        <v>932.51133313859646</v>
      </c>
      <c r="BN19" s="180">
        <f>SUM(BN14:BN17)</f>
        <v>2321.1693304319233</v>
      </c>
      <c r="BO19" s="180">
        <f>SUM(BO14:BO17)</f>
        <v>3068.7779541891459</v>
      </c>
      <c r="BP19" s="180">
        <f>SUM(BP14:BP17)</f>
        <v>2824.9862326063235</v>
      </c>
      <c r="BS19" s="134"/>
    </row>
    <row r="20" spans="3:71" x14ac:dyDescent="0.3">
      <c r="C20" s="133"/>
      <c r="D20" s="124" t="s">
        <v>194</v>
      </c>
      <c r="E20" s="124">
        <f>E18/E19</f>
        <v>2.0021161979009006</v>
      </c>
      <c r="F20" s="124">
        <f>F18/F19</f>
        <v>1.1858787755935984</v>
      </c>
      <c r="G20" s="124">
        <f>G18/G19</f>
        <v>0.61645706148638491</v>
      </c>
      <c r="H20" s="124">
        <f>H18/H19</f>
        <v>0.61567964415261001</v>
      </c>
      <c r="K20" s="134"/>
      <c r="M20" s="133"/>
      <c r="N20" s="124" t="s">
        <v>194</v>
      </c>
      <c r="O20" s="124">
        <f>O18/O19</f>
        <v>1.9255247357976912</v>
      </c>
      <c r="P20" s="124">
        <f>P18/P19</f>
        <v>0.9601405502610032</v>
      </c>
      <c r="Q20" s="124">
        <f>Q18/Q19</f>
        <v>0.86697403701649134</v>
      </c>
      <c r="R20" s="124">
        <f>R18/R19</f>
        <v>0.86443750004259756</v>
      </c>
      <c r="U20" s="134"/>
      <c r="W20" s="133"/>
      <c r="X20" s="124" t="s">
        <v>194</v>
      </c>
      <c r="Y20" s="124">
        <f>Y18/Y19</f>
        <v>1.8144194419799871</v>
      </c>
      <c r="Z20" s="124">
        <f>Z18/Z19</f>
        <v>0.90683889148968932</v>
      </c>
      <c r="AA20" s="124">
        <f>AA18/AA19</f>
        <v>0.81266934646077615</v>
      </c>
      <c r="AB20" s="124">
        <f>AB18/AB19</f>
        <v>0.81022063555320467</v>
      </c>
      <c r="AE20" s="134"/>
      <c r="AG20" s="133"/>
      <c r="AH20" s="124" t="s">
        <v>194</v>
      </c>
      <c r="AI20" s="124">
        <f>AI18/AI19</f>
        <v>1.936664196113373</v>
      </c>
      <c r="AJ20" s="124">
        <f>AJ18/AJ19</f>
        <v>0.97033594592908323</v>
      </c>
      <c r="AK20" s="124">
        <f>AK18/AK19</f>
        <v>0.86269872806511572</v>
      </c>
      <c r="AL20" s="124">
        <f>AL18/AL19</f>
        <v>0.86003095300404808</v>
      </c>
      <c r="AO20" s="134"/>
      <c r="AQ20" s="133"/>
      <c r="AR20" s="124" t="s">
        <v>194</v>
      </c>
      <c r="AS20" s="124">
        <f>AS18/AS19</f>
        <v>1.9419435619811574</v>
      </c>
      <c r="AT20" s="124">
        <f>AT18/AT19</f>
        <v>0.97521367781824975</v>
      </c>
      <c r="AU20" s="124">
        <f>AU18/AU19</f>
        <v>0.8606757983834904</v>
      </c>
      <c r="AV20" s="124">
        <f>AV18/AV19</f>
        <v>0.85794491781793902</v>
      </c>
      <c r="AY20" s="134"/>
      <c r="BA20" s="133"/>
      <c r="BB20" s="124" t="s">
        <v>194</v>
      </c>
      <c r="BC20" s="124">
        <f>BC18/BC19</f>
        <v>1.9470309133990404</v>
      </c>
      <c r="BD20" s="124">
        <f>BD18/BD19</f>
        <v>0.97994323127743899</v>
      </c>
      <c r="BE20" s="124">
        <f>BE18/BE19</f>
        <v>0.85872628079713298</v>
      </c>
      <c r="BF20" s="124">
        <f>BF18/BF19</f>
        <v>0.85593398943402765</v>
      </c>
      <c r="BI20" s="134"/>
      <c r="BK20" s="133"/>
      <c r="BL20" s="124" t="s">
        <v>194</v>
      </c>
      <c r="BM20" s="124">
        <f>BM18/BM19</f>
        <v>2.0700643087122894</v>
      </c>
      <c r="BN20" s="124">
        <f>BN18/BN19</f>
        <v>1.0441104817439202</v>
      </c>
      <c r="BO20" s="124">
        <f>BO18/BO19</f>
        <v>0.90870638736640519</v>
      </c>
      <c r="BP20" s="124">
        <f>BP18/BP19</f>
        <v>0.90568177514079029</v>
      </c>
      <c r="BS20" s="134"/>
    </row>
    <row r="21" spans="3:71" x14ac:dyDescent="0.3">
      <c r="C21" s="133"/>
      <c r="K21" s="134"/>
      <c r="M21" s="133"/>
      <c r="U21" s="134"/>
      <c r="W21" s="133"/>
      <c r="AE21" s="134"/>
      <c r="AG21" s="133"/>
      <c r="AO21" s="134"/>
      <c r="AQ21" s="133"/>
      <c r="AY21" s="134"/>
      <c r="BA21" s="133"/>
      <c r="BI21" s="134"/>
      <c r="BK21" s="133"/>
      <c r="BS21" s="134"/>
    </row>
    <row r="22" spans="3:71" x14ac:dyDescent="0.3">
      <c r="C22" s="133"/>
      <c r="K22" s="134"/>
      <c r="M22" s="133"/>
      <c r="U22" s="134"/>
      <c r="W22" s="133"/>
      <c r="AE22" s="134"/>
      <c r="AG22" s="133"/>
      <c r="AO22" s="134"/>
      <c r="AQ22" s="133"/>
      <c r="AY22" s="134"/>
      <c r="BA22" s="133"/>
      <c r="BI22" s="134"/>
      <c r="BK22" s="133"/>
      <c r="BS22" s="134"/>
    </row>
    <row r="23" spans="3:71" x14ac:dyDescent="0.3">
      <c r="C23" s="133" t="s">
        <v>204</v>
      </c>
      <c r="K23" s="134"/>
      <c r="M23" s="133" t="s">
        <v>204</v>
      </c>
      <c r="U23" s="134"/>
      <c r="W23" s="133" t="s">
        <v>204</v>
      </c>
      <c r="AE23" s="134"/>
      <c r="AG23" s="133" t="s">
        <v>204</v>
      </c>
      <c r="AO23" s="134"/>
      <c r="AQ23" s="133" t="s">
        <v>204</v>
      </c>
      <c r="AY23" s="134"/>
      <c r="BA23" s="133" t="s">
        <v>204</v>
      </c>
      <c r="BI23" s="134"/>
      <c r="BK23" s="133" t="s">
        <v>204</v>
      </c>
      <c r="BS23" s="134"/>
    </row>
    <row r="24" spans="3:71" x14ac:dyDescent="0.3">
      <c r="C24" s="133"/>
      <c r="D24" s="136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4" t="s">
        <v>198</v>
      </c>
      <c r="J24" s="124" t="s">
        <v>197</v>
      </c>
      <c r="K24" s="134" t="s">
        <v>194</v>
      </c>
      <c r="M24" s="133"/>
      <c r="N24" s="136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4" t="s">
        <v>198</v>
      </c>
      <c r="T24" s="124" t="s">
        <v>197</v>
      </c>
      <c r="U24" s="134" t="s">
        <v>194</v>
      </c>
      <c r="W24" s="133"/>
      <c r="X24" s="136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4" t="s">
        <v>198</v>
      </c>
      <c r="AD24" s="124" t="s">
        <v>197</v>
      </c>
      <c r="AE24" s="134" t="s">
        <v>194</v>
      </c>
      <c r="AG24" s="133"/>
      <c r="AH24" s="136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4" t="s">
        <v>198</v>
      </c>
      <c r="AN24" s="124" t="s">
        <v>197</v>
      </c>
      <c r="AO24" s="134" t="s">
        <v>194</v>
      </c>
      <c r="AQ24" s="133"/>
      <c r="AR24" s="136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4" t="s">
        <v>198</v>
      </c>
      <c r="AX24" s="124" t="s">
        <v>197</v>
      </c>
      <c r="AY24" s="134" t="s">
        <v>194</v>
      </c>
      <c r="BA24" s="133"/>
      <c r="BB24" s="136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4" t="s">
        <v>198</v>
      </c>
      <c r="BH24" s="124" t="s">
        <v>197</v>
      </c>
      <c r="BI24" s="134" t="s">
        <v>194</v>
      </c>
      <c r="BK24" s="133"/>
      <c r="BL24" s="136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4" t="s">
        <v>198</v>
      </c>
      <c r="BR24" s="124" t="s">
        <v>197</v>
      </c>
      <c r="BS24" s="134" t="s">
        <v>194</v>
      </c>
    </row>
    <row r="25" spans="3:71" x14ac:dyDescent="0.3">
      <c r="C25" s="133"/>
      <c r="D25" s="4" t="s">
        <v>11</v>
      </c>
      <c r="E25" s="147">
        <f t="shared" ref="E25:H28" si="28">E14*E$20</f>
        <v>964.38659390869077</v>
      </c>
      <c r="F25" s="147">
        <f t="shared" si="28"/>
        <v>0</v>
      </c>
      <c r="G25" s="147">
        <f t="shared" si="28"/>
        <v>471.32603426108284</v>
      </c>
      <c r="H25" s="147">
        <f t="shared" si="28"/>
        <v>494.84882337306175</v>
      </c>
      <c r="I25" s="124">
        <f>I14</f>
        <v>2050</v>
      </c>
      <c r="J25" s="180">
        <f>SUM(E25:H25)</f>
        <v>1930.5614515428354</v>
      </c>
      <c r="K25" s="134">
        <f>I25/J25</f>
        <v>1.0618672606156689</v>
      </c>
      <c r="M25" s="133"/>
      <c r="N25" s="4" t="s">
        <v>11</v>
      </c>
      <c r="O25" s="147">
        <f t="shared" ref="O25:R28" si="29">O14*O$20</f>
        <v>441.45698818539563</v>
      </c>
      <c r="P25" s="147">
        <f t="shared" si="29"/>
        <v>0</v>
      </c>
      <c r="Q25" s="147">
        <f t="shared" si="29"/>
        <v>886.1740514554416</v>
      </c>
      <c r="R25" s="147">
        <f t="shared" si="29"/>
        <v>808.53841796930374</v>
      </c>
      <c r="S25" s="124">
        <f>S14</f>
        <v>2186.7465511512801</v>
      </c>
      <c r="T25" s="180">
        <f>SUM(O25:R25)</f>
        <v>2136.1694576101409</v>
      </c>
      <c r="U25" s="134">
        <f>S25/T25</f>
        <v>1.0236765362227971</v>
      </c>
      <c r="W25" s="133"/>
      <c r="X25" s="4" t="s">
        <v>11</v>
      </c>
      <c r="Y25" s="147">
        <f>Y14*Y$20</f>
        <v>443.98507483899976</v>
      </c>
      <c r="Z25" s="147">
        <f t="shared" ref="Z25:AB25" si="30">Z14*Z$20</f>
        <v>0</v>
      </c>
      <c r="AA25" s="147">
        <f t="shared" si="30"/>
        <v>886.58055509836026</v>
      </c>
      <c r="AB25" s="147">
        <f t="shared" si="30"/>
        <v>808.83837489142411</v>
      </c>
      <c r="AC25" s="124">
        <f>AC14</f>
        <v>2333.9408020800124</v>
      </c>
      <c r="AD25" s="180">
        <f>SUM(Y25:AB25)</f>
        <v>2139.4040048287843</v>
      </c>
      <c r="AE25" s="134">
        <f>AC25/AD25</f>
        <v>1.0909303697722099</v>
      </c>
      <c r="AG25" s="133"/>
      <c r="AH25" s="4" t="s">
        <v>11</v>
      </c>
      <c r="AI25" s="147">
        <f t="shared" ref="AI25:AL28" si="31">AI14*AI$20</f>
        <v>505.58949565998171</v>
      </c>
      <c r="AJ25" s="147">
        <f t="shared" si="31"/>
        <v>0</v>
      </c>
      <c r="AK25" s="147">
        <f t="shared" si="31"/>
        <v>1004.6849516824336</v>
      </c>
      <c r="AL25" s="147">
        <f t="shared" si="31"/>
        <v>917.42788650454008</v>
      </c>
      <c r="AM25" s="124">
        <f>AM14</f>
        <v>2492.3840399622668</v>
      </c>
      <c r="AN25" s="180">
        <f>SUM(AI25:AL25)</f>
        <v>2427.7023338469553</v>
      </c>
      <c r="AO25" s="134">
        <f>AM25/AN25</f>
        <v>1.0266431782898262</v>
      </c>
      <c r="AQ25" s="133"/>
      <c r="AR25" s="4" t="s">
        <v>11</v>
      </c>
      <c r="AS25" s="147">
        <f t="shared" ref="AS25:AV28" si="32">AS14*AS$20</f>
        <v>541.50721088206694</v>
      </c>
      <c r="AT25" s="147">
        <f t="shared" si="32"/>
        <v>0</v>
      </c>
      <c r="AU25" s="147">
        <f t="shared" si="32"/>
        <v>1070.6824246778451</v>
      </c>
      <c r="AV25" s="147">
        <f t="shared" si="32"/>
        <v>978.13363614806951</v>
      </c>
      <c r="AW25" s="124">
        <f>AW14</f>
        <v>2662.939164795906</v>
      </c>
      <c r="AX25" s="180">
        <f>SUM(AS25:AV25)</f>
        <v>2590.3232717079813</v>
      </c>
      <c r="AY25" s="134">
        <f>AW25/AX25</f>
        <v>1.0280335253445196</v>
      </c>
      <c r="BA25" s="133"/>
      <c r="BB25" s="4" t="s">
        <v>11</v>
      </c>
      <c r="BC25" s="147">
        <f t="shared" ref="BC25:BF28" si="33">BC14*BC$20</f>
        <v>580.26459793652919</v>
      </c>
      <c r="BD25" s="147">
        <f t="shared" si="33"/>
        <v>0</v>
      </c>
      <c r="BE25" s="147">
        <f t="shared" si="33"/>
        <v>1141.6292898487127</v>
      </c>
      <c r="BF25" s="147">
        <f t="shared" si="33"/>
        <v>1043.4392994120119</v>
      </c>
      <c r="BG25" s="124">
        <f>BG14</f>
        <v>2846.535435076155</v>
      </c>
      <c r="BH25" s="180">
        <f>SUM(BC25:BF25)</f>
        <v>2765.3331871972541</v>
      </c>
      <c r="BI25" s="134">
        <f>BG25/BH25</f>
        <v>1.0293643631280474</v>
      </c>
      <c r="BK25" s="133"/>
      <c r="BL25" s="4" t="s">
        <v>11</v>
      </c>
      <c r="BM25" s="147">
        <f t="shared" ref="BM25:BP28" si="34">BM14*BM$20</f>
        <v>659.73629187424774</v>
      </c>
      <c r="BN25" s="147">
        <f t="shared" si="34"/>
        <v>0</v>
      </c>
      <c r="BO25" s="147">
        <f t="shared" si="34"/>
        <v>1291.6093223294024</v>
      </c>
      <c r="BP25" s="147">
        <f t="shared" si="34"/>
        <v>1181.0985510212849</v>
      </c>
      <c r="BQ25" s="124">
        <f>BQ14</f>
        <v>3044.1735794193137</v>
      </c>
      <c r="BR25" s="180">
        <f>SUM(BM25:BP25)</f>
        <v>3132.4441652249352</v>
      </c>
      <c r="BS25" s="134">
        <f>BQ25/BR25</f>
        <v>0.97182053976075167</v>
      </c>
    </row>
    <row r="26" spans="3:71" x14ac:dyDescent="0.3">
      <c r="C26" s="133"/>
      <c r="D26" s="4" t="s">
        <v>12</v>
      </c>
      <c r="E26" s="147">
        <f t="shared" si="28"/>
        <v>0</v>
      </c>
      <c r="F26" s="147">
        <f t="shared" si="28"/>
        <v>239.05003446580312</v>
      </c>
      <c r="G26" s="147">
        <f t="shared" si="28"/>
        <v>555.50541266107211</v>
      </c>
      <c r="H26" s="147">
        <f t="shared" si="28"/>
        <v>583.2293992918444</v>
      </c>
      <c r="I26" s="124">
        <f>I15</f>
        <v>2050</v>
      </c>
      <c r="J26" s="180">
        <f>SUM(E26:H26)</f>
        <v>1377.7848464187196</v>
      </c>
      <c r="K26" s="134">
        <f>I26/J26</f>
        <v>1.4878955922098951</v>
      </c>
      <c r="M26" s="133"/>
      <c r="N26" s="4" t="s">
        <v>12</v>
      </c>
      <c r="O26" s="147">
        <f t="shared" si="29"/>
        <v>0</v>
      </c>
      <c r="P26" s="147">
        <f t="shared" si="29"/>
        <v>103.65912293101347</v>
      </c>
      <c r="Q26" s="147">
        <f t="shared" si="29"/>
        <v>941.08947957554255</v>
      </c>
      <c r="R26" s="147">
        <f t="shared" si="29"/>
        <v>858.64283402776243</v>
      </c>
      <c r="S26" s="124">
        <f>S15</f>
        <v>2186.7465511512801</v>
      </c>
      <c r="T26" s="180">
        <f>SUM(O26:R26)</f>
        <v>1903.3914365343185</v>
      </c>
      <c r="U26" s="134">
        <f>S26/T26</f>
        <v>1.1488685454700229</v>
      </c>
      <c r="W26" s="133"/>
      <c r="X26" s="4" t="s">
        <v>12</v>
      </c>
      <c r="Y26" s="147">
        <f t="shared" ref="Y26:AB26" si="35">Y15*Y$20</f>
        <v>0</v>
      </c>
      <c r="Z26" s="147">
        <f t="shared" si="35"/>
        <v>104.49469472837389</v>
      </c>
      <c r="AA26" s="147">
        <f t="shared" si="35"/>
        <v>941.52117389240016</v>
      </c>
      <c r="AB26" s="147">
        <f t="shared" si="35"/>
        <v>858.9613790170564</v>
      </c>
      <c r="AC26" s="124">
        <f>AC15</f>
        <v>2333.9408020800124</v>
      </c>
      <c r="AD26" s="180">
        <f>SUM(Y26:AB26)</f>
        <v>1904.9772476378303</v>
      </c>
      <c r="AE26" s="134">
        <f>AC26/AD26</f>
        <v>1.2251804083088638</v>
      </c>
      <c r="AG26" s="133"/>
      <c r="AH26" s="4" t="s">
        <v>12</v>
      </c>
      <c r="AI26" s="147">
        <f t="shared" si="31"/>
        <v>0</v>
      </c>
      <c r="AJ26" s="147">
        <f t="shared" si="31"/>
        <v>119.55395638175504</v>
      </c>
      <c r="AK26" s="147">
        <f t="shared" si="31"/>
        <v>1066.755347733892</v>
      </c>
      <c r="AL26" s="147">
        <f t="shared" si="31"/>
        <v>974.10745771602274</v>
      </c>
      <c r="AM26" s="124">
        <f>AM15</f>
        <v>2492.3840399622668</v>
      </c>
      <c r="AN26" s="180">
        <f>SUM(AI26:AL26)</f>
        <v>2160.4167618316696</v>
      </c>
      <c r="AO26" s="134">
        <f>AM26/AN26</f>
        <v>1.1536589069273582</v>
      </c>
      <c r="AQ26" s="133"/>
      <c r="AR26" s="4" t="s">
        <v>12</v>
      </c>
      <c r="AS26" s="147">
        <f t="shared" si="32"/>
        <v>0</v>
      </c>
      <c r="AT26" s="147">
        <f t="shared" si="32"/>
        <v>128.46839775484153</v>
      </c>
      <c r="AU26" s="147">
        <f t="shared" si="32"/>
        <v>1136.750742131645</v>
      </c>
      <c r="AV26" s="147">
        <f t="shared" si="32"/>
        <v>1038.491069963904</v>
      </c>
      <c r="AW26" s="124">
        <f>AW15</f>
        <v>2662.939164795906</v>
      </c>
      <c r="AX26" s="180">
        <f>SUM(AS26:AV26)</f>
        <v>2303.7102098503906</v>
      </c>
      <c r="AY26" s="134">
        <f>AW26/AX26</f>
        <v>1.155934958055703</v>
      </c>
      <c r="BA26" s="133"/>
      <c r="BB26" s="4" t="s">
        <v>12</v>
      </c>
      <c r="BC26" s="147">
        <f t="shared" si="33"/>
        <v>0</v>
      </c>
      <c r="BD26" s="147">
        <f t="shared" si="33"/>
        <v>138.09603651409537</v>
      </c>
      <c r="BE26" s="147">
        <f t="shared" si="33"/>
        <v>1212.0050162774319</v>
      </c>
      <c r="BF26" s="147">
        <f t="shared" si="33"/>
        <v>1107.7621048387416</v>
      </c>
      <c r="BG26" s="124">
        <f>BG15</f>
        <v>2846.535435076155</v>
      </c>
      <c r="BH26" s="180">
        <f>SUM(BC26:BF26)</f>
        <v>2457.8631576302687</v>
      </c>
      <c r="BI26" s="134">
        <f>BG26/BH26</f>
        <v>1.1581342216873547</v>
      </c>
      <c r="BK26" s="133"/>
      <c r="BL26" s="4" t="s">
        <v>12</v>
      </c>
      <c r="BM26" s="147">
        <f t="shared" si="34"/>
        <v>0</v>
      </c>
      <c r="BN26" s="147">
        <f t="shared" si="34"/>
        <v>157.48058127470196</v>
      </c>
      <c r="BO26" s="147">
        <f t="shared" si="34"/>
        <v>1371.1662038166091</v>
      </c>
      <c r="BP26" s="147">
        <f t="shared" si="34"/>
        <v>1253.8485039860466</v>
      </c>
      <c r="BQ26" s="124">
        <f>BQ15</f>
        <v>3044.1735794193137</v>
      </c>
      <c r="BR26" s="180">
        <f>SUM(BM26:BP26)</f>
        <v>2782.4952890773575</v>
      </c>
      <c r="BS26" s="134">
        <f>BQ26/BR26</f>
        <v>1.0940444684198283</v>
      </c>
    </row>
    <row r="27" spans="3:71" x14ac:dyDescent="0.3">
      <c r="C27" s="133"/>
      <c r="D27" s="4" t="s">
        <v>13</v>
      </c>
      <c r="E27" s="147">
        <f t="shared" si="28"/>
        <v>529.82954183092056</v>
      </c>
      <c r="F27" s="147">
        <f t="shared" si="28"/>
        <v>883.82732299918109</v>
      </c>
      <c r="G27" s="147">
        <f t="shared" si="28"/>
        <v>27.168553077844955</v>
      </c>
      <c r="H27" s="147">
        <f t="shared" si="28"/>
        <v>0</v>
      </c>
      <c r="I27" s="124">
        <f>I16</f>
        <v>1054</v>
      </c>
      <c r="J27" s="180">
        <f>SUM(E27:H27)</f>
        <v>1440.8254179079468</v>
      </c>
      <c r="K27" s="134">
        <f>I27/J27</f>
        <v>0.73152512920711066</v>
      </c>
      <c r="M27" s="133"/>
      <c r="N27" s="4" t="s">
        <v>13</v>
      </c>
      <c r="O27" s="147">
        <f t="shared" si="29"/>
        <v>429.91813140080376</v>
      </c>
      <c r="P27" s="147">
        <f t="shared" si="29"/>
        <v>753.96898158265435</v>
      </c>
      <c r="Q27" s="147">
        <f t="shared" si="29"/>
        <v>90.547501222871745</v>
      </c>
      <c r="R27" s="147">
        <f t="shared" si="29"/>
        <v>0</v>
      </c>
      <c r="S27" s="124">
        <f>S16</f>
        <v>1112.9834646689119</v>
      </c>
      <c r="T27" s="180">
        <f>SUM(O27:R27)</f>
        <v>1274.4346142063298</v>
      </c>
      <c r="U27" s="134">
        <f>S27/T27</f>
        <v>0.87331547045435232</v>
      </c>
      <c r="W27" s="133"/>
      <c r="X27" s="4" t="s">
        <v>13</v>
      </c>
      <c r="Y27" s="147">
        <f t="shared" ref="Y27:AB27" si="36">Y16*Y$20</f>
        <v>428.18118266111583</v>
      </c>
      <c r="Z27" s="147">
        <f t="shared" si="36"/>
        <v>752.66553846418049</v>
      </c>
      <c r="AA27" s="147">
        <f t="shared" si="36"/>
        <v>89.709303263095521</v>
      </c>
      <c r="AB27" s="147">
        <f t="shared" si="36"/>
        <v>0</v>
      </c>
      <c r="AC27" s="124">
        <f>AC16</f>
        <v>1176.364579366546</v>
      </c>
      <c r="AD27" s="180">
        <f>SUM(Y27:AB27)</f>
        <v>1270.556024388392</v>
      </c>
      <c r="AE27" s="134">
        <f>AC27/AD27</f>
        <v>0.92586596481081029</v>
      </c>
      <c r="AG27" s="133"/>
      <c r="AH27" s="4" t="s">
        <v>13</v>
      </c>
      <c r="AI27" s="147">
        <f t="shared" si="31"/>
        <v>482.64688736990962</v>
      </c>
      <c r="AJ27" s="147">
        <f t="shared" si="31"/>
        <v>852.55216616458961</v>
      </c>
      <c r="AK27" s="147">
        <f t="shared" si="31"/>
        <v>100.62860222543213</v>
      </c>
      <c r="AL27" s="147">
        <f t="shared" si="31"/>
        <v>0</v>
      </c>
      <c r="AM27" s="124">
        <f>AM16</f>
        <v>1244.4750082359867</v>
      </c>
      <c r="AN27" s="180">
        <f>SUM(AI27:AL27)</f>
        <v>1435.8276557599313</v>
      </c>
      <c r="AO27" s="134">
        <f>AM27/AN27</f>
        <v>0.86673007254295531</v>
      </c>
      <c r="AQ27" s="133"/>
      <c r="AR27" s="4" t="s">
        <v>13</v>
      </c>
      <c r="AS27" s="147">
        <f t="shared" si="32"/>
        <v>512.04097739152633</v>
      </c>
      <c r="AT27" s="147">
        <f t="shared" si="32"/>
        <v>907.51263865827116</v>
      </c>
      <c r="AU27" s="147">
        <f t="shared" si="32"/>
        <v>106.22365060718941</v>
      </c>
      <c r="AV27" s="147">
        <f t="shared" si="32"/>
        <v>0</v>
      </c>
      <c r="AW27" s="124">
        <f>AW16</f>
        <v>1317.6716292739918</v>
      </c>
      <c r="AX27" s="180">
        <f>SUM(AS27:AV27)</f>
        <v>1525.777266656987</v>
      </c>
      <c r="AY27" s="134">
        <f>AW27/AX27</f>
        <v>0.86360680426248626</v>
      </c>
      <c r="BA27" s="133"/>
      <c r="BB27" s="4" t="s">
        <v>13</v>
      </c>
      <c r="BC27" s="147">
        <f t="shared" si="33"/>
        <v>543.66174568898907</v>
      </c>
      <c r="BD27" s="147">
        <f t="shared" si="33"/>
        <v>966.64069121170189</v>
      </c>
      <c r="BE27" s="147">
        <f t="shared" si="33"/>
        <v>112.2245514576701</v>
      </c>
      <c r="BF27" s="147">
        <f t="shared" si="33"/>
        <v>0</v>
      </c>
      <c r="BG27" s="124">
        <f>BG16</f>
        <v>1396.3384616119097</v>
      </c>
      <c r="BH27" s="180">
        <f>SUM(BC27:BF27)</f>
        <v>1622.526988358361</v>
      </c>
      <c r="BI27" s="134">
        <f>BG27/BH27</f>
        <v>0.86059490635942881</v>
      </c>
      <c r="BK27" s="133"/>
      <c r="BL27" s="4" t="s">
        <v>13</v>
      </c>
      <c r="BM27" s="147">
        <f t="shared" si="34"/>
        <v>612.64207381621873</v>
      </c>
      <c r="BN27" s="147">
        <f t="shared" si="34"/>
        <v>1092.6095622514001</v>
      </c>
      <c r="BO27" s="147">
        <f t="shared" si="34"/>
        <v>125.84260223487465</v>
      </c>
      <c r="BP27" s="147">
        <f t="shared" si="34"/>
        <v>0</v>
      </c>
      <c r="BQ27" s="124">
        <f>BQ16</f>
        <v>1480.8887406556896</v>
      </c>
      <c r="BR27" s="180">
        <f>SUM(BM27:BP27)</f>
        <v>1831.0942383024935</v>
      </c>
      <c r="BS27" s="134">
        <f>BQ27/BR27</f>
        <v>0.80874523532362808</v>
      </c>
    </row>
    <row r="28" spans="3:71" x14ac:dyDescent="0.3">
      <c r="C28" s="133"/>
      <c r="D28" s="4" t="s">
        <v>14</v>
      </c>
      <c r="E28" s="147">
        <f t="shared" si="28"/>
        <v>555.78386426038878</v>
      </c>
      <c r="F28" s="147">
        <f t="shared" si="28"/>
        <v>927.12264253501553</v>
      </c>
      <c r="G28" s="147">
        <f t="shared" si="28"/>
        <v>0</v>
      </c>
      <c r="H28" s="147">
        <f t="shared" si="28"/>
        <v>29.92177733509368</v>
      </c>
      <c r="I28" s="124">
        <f>I17</f>
        <v>1108</v>
      </c>
      <c r="J28" s="180">
        <f>SUM(E28:H28)</f>
        <v>1512.8282841304981</v>
      </c>
      <c r="K28" s="134">
        <f>I28/J28</f>
        <v>0.732403017330434</v>
      </c>
      <c r="M28" s="133"/>
      <c r="N28" s="4" t="s">
        <v>14</v>
      </c>
      <c r="O28" s="147">
        <f t="shared" si="29"/>
        <v>456.63728537575651</v>
      </c>
      <c r="P28" s="147">
        <f t="shared" si="29"/>
        <v>800.82770151057491</v>
      </c>
      <c r="Q28" s="147">
        <f t="shared" si="29"/>
        <v>0</v>
      </c>
      <c r="R28" s="147">
        <f t="shared" si="29"/>
        <v>87.749309840082418</v>
      </c>
      <c r="S28" s="124">
        <f>S17</f>
        <v>1172.7332381057306</v>
      </c>
      <c r="T28" s="180">
        <f>SUM(O28:R28)</f>
        <v>1345.2142967264137</v>
      </c>
      <c r="U28" s="134">
        <f>S28/T28</f>
        <v>0.87178172352136252</v>
      </c>
      <c r="W28" s="133"/>
      <c r="X28" s="4" t="s">
        <v>14</v>
      </c>
      <c r="Y28" s="147">
        <f t="shared" ref="Y28:AB28" si="37">Y17*Y$20</f>
        <v>455.84614746184059</v>
      </c>
      <c r="Z28" s="147">
        <f t="shared" si="37"/>
        <v>801.29557283168822</v>
      </c>
      <c r="AA28" s="147">
        <f t="shared" si="37"/>
        <v>0</v>
      </c>
      <c r="AB28" s="147">
        <f t="shared" si="37"/>
        <v>87.13080792866829</v>
      </c>
      <c r="AC28" s="124">
        <f>AC17</f>
        <v>1242.3889058947407</v>
      </c>
      <c r="AD28" s="180">
        <f>SUM(Y28:AB28)</f>
        <v>1344.272528222197</v>
      </c>
      <c r="AE28" s="134">
        <f>AC28/AD28</f>
        <v>0.92420910180899285</v>
      </c>
      <c r="AG28" s="133"/>
      <c r="AH28" s="4" t="s">
        <v>14</v>
      </c>
      <c r="AI28" s="147">
        <f t="shared" si="31"/>
        <v>514.96282740161746</v>
      </c>
      <c r="AJ28" s="147">
        <f t="shared" si="31"/>
        <v>909.63535761706419</v>
      </c>
      <c r="AK28" s="147">
        <f t="shared" si="31"/>
        <v>0</v>
      </c>
      <c r="AL28" s="147">
        <f t="shared" si="31"/>
        <v>98.041478215667979</v>
      </c>
      <c r="AM28" s="124">
        <f>AM17</f>
        <v>1317.3433265123847</v>
      </c>
      <c r="AN28" s="180">
        <f>SUM(AI28:AL28)</f>
        <v>1522.6396632343497</v>
      </c>
      <c r="AO28" s="134">
        <f>AM28/AN28</f>
        <v>0.86517076779289981</v>
      </c>
      <c r="AQ28" s="133"/>
      <c r="AR28" s="4" t="s">
        <v>14</v>
      </c>
      <c r="AS28" s="147">
        <f t="shared" si="32"/>
        <v>547.54076353403696</v>
      </c>
      <c r="AT28" s="147">
        <f t="shared" si="32"/>
        <v>970.43046363023666</v>
      </c>
      <c r="AU28" s="147">
        <f t="shared" si="32"/>
        <v>0</v>
      </c>
      <c r="AV28" s="147">
        <f t="shared" si="32"/>
        <v>103.76968110999067</v>
      </c>
      <c r="AW28" s="124">
        <f>AW17</f>
        <v>1398.0016976238194</v>
      </c>
      <c r="AX28" s="180">
        <f>SUM(AS28:AV28)</f>
        <v>1621.7409082742643</v>
      </c>
      <c r="AY28" s="134">
        <f>AW28/AX28</f>
        <v>0.862037635291243</v>
      </c>
      <c r="BA28" s="133"/>
      <c r="BB28" s="4" t="s">
        <v>14</v>
      </c>
      <c r="BC28" s="147">
        <f t="shared" si="33"/>
        <v>582.63167085962277</v>
      </c>
      <c r="BD28" s="147">
        <f t="shared" si="33"/>
        <v>1035.9299426665198</v>
      </c>
      <c r="BE28" s="147">
        <f t="shared" si="33"/>
        <v>0</v>
      </c>
      <c r="BF28" s="147">
        <f t="shared" si="33"/>
        <v>109.92469733137767</v>
      </c>
      <c r="BG28" s="124">
        <f>BG17</f>
        <v>1484.8003122791824</v>
      </c>
      <c r="BH28" s="180">
        <f>SUM(BC28:BF28)</f>
        <v>1728.4863108575203</v>
      </c>
      <c r="BI28" s="134">
        <f>BG28/BH28</f>
        <v>0.85901768671951895</v>
      </c>
      <c r="BK28" s="133"/>
      <c r="BL28" s="4" t="s">
        <v>14</v>
      </c>
      <c r="BM28" s="147">
        <f t="shared" si="34"/>
        <v>657.98006250945764</v>
      </c>
      <c r="BN28" s="147">
        <f t="shared" si="34"/>
        <v>1173.4670842803862</v>
      </c>
      <c r="BO28" s="147">
        <f t="shared" si="34"/>
        <v>0</v>
      </c>
      <c r="BP28" s="147">
        <f t="shared" si="34"/>
        <v>123.59149088785728</v>
      </c>
      <c r="BQ28" s="124">
        <f>BQ17</f>
        <v>1578.2089508716722</v>
      </c>
      <c r="BR28" s="180">
        <f>SUM(BM28:BP28)</f>
        <v>1955.038637677701</v>
      </c>
      <c r="BS28" s="134">
        <f>BQ28/BR28</f>
        <v>0.80725205142050427</v>
      </c>
    </row>
    <row r="29" spans="3:71" x14ac:dyDescent="0.3">
      <c r="C29" s="133"/>
      <c r="D29" s="124" t="s">
        <v>196</v>
      </c>
      <c r="E29" s="124">
        <f>E18</f>
        <v>2050</v>
      </c>
      <c r="F29" s="124">
        <f>F18</f>
        <v>2050</v>
      </c>
      <c r="G29" s="124">
        <f>G18</f>
        <v>1054</v>
      </c>
      <c r="H29" s="124">
        <f>H18</f>
        <v>1108</v>
      </c>
      <c r="K29" s="134"/>
      <c r="M29" s="133"/>
      <c r="N29" s="124" t="s">
        <v>196</v>
      </c>
      <c r="O29" s="124">
        <f>O18</f>
        <v>1328.012404961956</v>
      </c>
      <c r="P29" s="124">
        <f>P18</f>
        <v>1658.4558060242425</v>
      </c>
      <c r="Q29" s="124">
        <f>Q18</f>
        <v>1917.811032253856</v>
      </c>
      <c r="R29" s="124">
        <f>R18</f>
        <v>1754.9305618371486</v>
      </c>
      <c r="U29" s="134"/>
      <c r="W29" s="133"/>
      <c r="X29" s="124" t="s">
        <v>196</v>
      </c>
      <c r="Y29" s="124">
        <f>Y18</f>
        <v>1328.012404961956</v>
      </c>
      <c r="Z29" s="124">
        <f>Z18</f>
        <v>1658.4558060242425</v>
      </c>
      <c r="AA29" s="124">
        <f>AA18</f>
        <v>1917.811032253856</v>
      </c>
      <c r="AB29" s="124">
        <f>AB18</f>
        <v>1754.9305618371486</v>
      </c>
      <c r="AE29" s="134"/>
      <c r="AG29" s="133"/>
      <c r="AH29" s="124" t="s">
        <v>196</v>
      </c>
      <c r="AI29" s="124">
        <f>AI18</f>
        <v>1503.1992104315086</v>
      </c>
      <c r="AJ29" s="124">
        <f>AJ18</f>
        <v>1881.7414801634088</v>
      </c>
      <c r="AK29" s="124">
        <f>AK18</f>
        <v>2172.0689016417573</v>
      </c>
      <c r="AL29" s="124">
        <f>AL18</f>
        <v>1989.5768224362307</v>
      </c>
      <c r="AO29" s="134"/>
      <c r="AQ29" s="133"/>
      <c r="AR29" s="124" t="s">
        <v>196</v>
      </c>
      <c r="AS29" s="124">
        <f>AS18</f>
        <v>1601.0889518076301</v>
      </c>
      <c r="AT29" s="124">
        <f>AT18</f>
        <v>2006.4115000433494</v>
      </c>
      <c r="AU29" s="124">
        <f>AU18</f>
        <v>2313.6568174166791</v>
      </c>
      <c r="AV29" s="124">
        <f>AV18</f>
        <v>2120.3943872219643</v>
      </c>
      <c r="AY29" s="134"/>
      <c r="BA29" s="133"/>
      <c r="BB29" s="124" t="s">
        <v>196</v>
      </c>
      <c r="BC29" s="124">
        <f>BC18</f>
        <v>1706.558014485141</v>
      </c>
      <c r="BD29" s="124">
        <f>BD18</f>
        <v>2140.666670392317</v>
      </c>
      <c r="BE29" s="124">
        <f>BE18</f>
        <v>2465.8588575838148</v>
      </c>
      <c r="BF29" s="124">
        <f>BF18</f>
        <v>2261.126101582131</v>
      </c>
      <c r="BI29" s="134"/>
      <c r="BK29" s="133"/>
      <c r="BL29" s="124" t="s">
        <v>196</v>
      </c>
      <c r="BM29" s="124">
        <f>BM18</f>
        <v>1930.3584281999242</v>
      </c>
      <c r="BN29" s="124">
        <f>BN18</f>
        <v>2423.5572278064883</v>
      </c>
      <c r="BO29" s="124">
        <f>BO18</f>
        <v>2788.6181283808864</v>
      </c>
      <c r="BP29" s="124">
        <f>BP18</f>
        <v>2558.5385458951887</v>
      </c>
      <c r="BS29" s="134"/>
    </row>
    <row r="30" spans="3:71" x14ac:dyDescent="0.3">
      <c r="C30" s="133"/>
      <c r="D30" s="124" t="s">
        <v>195</v>
      </c>
      <c r="E30" s="180">
        <f>SUM(E25:E28)</f>
        <v>2050</v>
      </c>
      <c r="F30" s="180">
        <f>SUM(F25:F28)</f>
        <v>2050</v>
      </c>
      <c r="G30" s="180">
        <f>SUM(G25:G28)</f>
        <v>1054</v>
      </c>
      <c r="H30" s="180">
        <f>SUM(H25:H28)</f>
        <v>1108</v>
      </c>
      <c r="K30" s="134"/>
      <c r="M30" s="133"/>
      <c r="N30" s="124" t="s">
        <v>195</v>
      </c>
      <c r="O30" s="180">
        <f>SUM(O25:O28)</f>
        <v>1328.0124049619558</v>
      </c>
      <c r="P30" s="180">
        <f>SUM(P25:P28)</f>
        <v>1658.4558060242427</v>
      </c>
      <c r="Q30" s="180">
        <f>SUM(Q25:Q28)</f>
        <v>1917.811032253856</v>
      </c>
      <c r="R30" s="180">
        <f>SUM(R25:R28)</f>
        <v>1754.9305618371486</v>
      </c>
      <c r="U30" s="134"/>
      <c r="W30" s="133"/>
      <c r="X30" s="124" t="s">
        <v>195</v>
      </c>
      <c r="Y30" s="180">
        <f>SUM(Y25:Y28)</f>
        <v>1328.0124049619562</v>
      </c>
      <c r="Z30" s="180">
        <f>SUM(Z25:Z28)</f>
        <v>1658.4558060242425</v>
      </c>
      <c r="AA30" s="180">
        <f>SUM(AA25:AA28)</f>
        <v>1917.811032253856</v>
      </c>
      <c r="AB30" s="180">
        <f>SUM(AB25:AB28)</f>
        <v>1754.9305618371486</v>
      </c>
      <c r="AE30" s="134"/>
      <c r="AG30" s="133"/>
      <c r="AH30" s="124" t="s">
        <v>195</v>
      </c>
      <c r="AI30" s="180">
        <f>SUM(AI25:AI28)</f>
        <v>1503.1992104315088</v>
      </c>
      <c r="AJ30" s="180">
        <f>SUM(AJ25:AJ28)</f>
        <v>1881.7414801634088</v>
      </c>
      <c r="AK30" s="180">
        <f>SUM(AK25:AK28)</f>
        <v>2172.0689016417577</v>
      </c>
      <c r="AL30" s="180">
        <f>SUM(AL25:AL28)</f>
        <v>1989.5768224362307</v>
      </c>
      <c r="AO30" s="134"/>
      <c r="AQ30" s="133"/>
      <c r="AR30" s="124" t="s">
        <v>195</v>
      </c>
      <c r="AS30" s="180">
        <f>SUM(AS25:AS28)</f>
        <v>1601.0889518076301</v>
      </c>
      <c r="AT30" s="180">
        <f>SUM(AT25:AT28)</f>
        <v>2006.4115000433494</v>
      </c>
      <c r="AU30" s="180">
        <f>SUM(AU25:AU28)</f>
        <v>2313.6568174166796</v>
      </c>
      <c r="AV30" s="180">
        <f>SUM(AV25:AV28)</f>
        <v>2120.3943872219643</v>
      </c>
      <c r="AY30" s="134"/>
      <c r="BA30" s="133"/>
      <c r="BB30" s="124" t="s">
        <v>195</v>
      </c>
      <c r="BC30" s="180">
        <f>SUM(BC25:BC28)</f>
        <v>1706.558014485141</v>
      </c>
      <c r="BD30" s="180">
        <f>SUM(BD25:BD28)</f>
        <v>2140.666670392317</v>
      </c>
      <c r="BE30" s="180">
        <f>SUM(BE25:BE28)</f>
        <v>2465.8588575838148</v>
      </c>
      <c r="BF30" s="180">
        <f>SUM(BF25:BF28)</f>
        <v>2261.126101582131</v>
      </c>
      <c r="BI30" s="134"/>
      <c r="BK30" s="133"/>
      <c r="BL30" s="124" t="s">
        <v>195</v>
      </c>
      <c r="BM30" s="180">
        <f>SUM(BM25:BM28)</f>
        <v>1930.3584281999242</v>
      </c>
      <c r="BN30" s="180">
        <f>SUM(BN25:BN28)</f>
        <v>2423.5572278064883</v>
      </c>
      <c r="BO30" s="180">
        <f>SUM(BO25:BO28)</f>
        <v>2788.618128380886</v>
      </c>
      <c r="BP30" s="180">
        <f>SUM(BP25:BP28)</f>
        <v>2558.5385458951887</v>
      </c>
      <c r="BS30" s="134"/>
    </row>
    <row r="31" spans="3:71" x14ac:dyDescent="0.3">
      <c r="C31" s="133"/>
      <c r="D31" s="124" t="s">
        <v>194</v>
      </c>
      <c r="E31" s="124">
        <f>E29/E30</f>
        <v>1</v>
      </c>
      <c r="F31" s="124">
        <f>F29/F30</f>
        <v>1</v>
      </c>
      <c r="G31" s="124">
        <f>G29/G30</f>
        <v>1</v>
      </c>
      <c r="H31" s="124">
        <f>H29/H30</f>
        <v>1</v>
      </c>
      <c r="K31" s="134"/>
      <c r="M31" s="133"/>
      <c r="N31" s="124" t="s">
        <v>194</v>
      </c>
      <c r="O31" s="124">
        <f>O29/O30</f>
        <v>1.0000000000000002</v>
      </c>
      <c r="P31" s="124">
        <f>P29/P30</f>
        <v>0.99999999999999989</v>
      </c>
      <c r="Q31" s="124">
        <f>Q29/Q30</f>
        <v>1</v>
      </c>
      <c r="R31" s="124">
        <f>R29/R30</f>
        <v>1</v>
      </c>
      <c r="U31" s="134"/>
      <c r="W31" s="133"/>
      <c r="X31" s="124" t="s">
        <v>194</v>
      </c>
      <c r="Y31" s="124">
        <f>Y29/Y30</f>
        <v>0.99999999999999978</v>
      </c>
      <c r="Z31" s="124">
        <f>Z29/Z30</f>
        <v>1</v>
      </c>
      <c r="AA31" s="124">
        <f>AA29/AA30</f>
        <v>1</v>
      </c>
      <c r="AB31" s="124">
        <f>AB29/AB30</f>
        <v>1</v>
      </c>
      <c r="AE31" s="134"/>
      <c r="AG31" s="133"/>
      <c r="AH31" s="124" t="s">
        <v>194</v>
      </c>
      <c r="AI31" s="124">
        <f>AI29/AI30</f>
        <v>0.99999999999999989</v>
      </c>
      <c r="AJ31" s="124">
        <f>AJ29/AJ30</f>
        <v>1</v>
      </c>
      <c r="AK31" s="124">
        <f>AK29/AK30</f>
        <v>0.99999999999999978</v>
      </c>
      <c r="AL31" s="124">
        <f>AL29/AL30</f>
        <v>1</v>
      </c>
      <c r="AO31" s="134"/>
      <c r="AQ31" s="133"/>
      <c r="AR31" s="124" t="s">
        <v>194</v>
      </c>
      <c r="AS31" s="124">
        <f>AS29/AS30</f>
        <v>1</v>
      </c>
      <c r="AT31" s="124">
        <f>AT29/AT30</f>
        <v>1</v>
      </c>
      <c r="AU31" s="124">
        <f>AU29/AU30</f>
        <v>0.99999999999999978</v>
      </c>
      <c r="AV31" s="124">
        <f>AV29/AV30</f>
        <v>1</v>
      </c>
      <c r="AY31" s="134"/>
      <c r="BA31" s="133"/>
      <c r="BB31" s="124" t="s">
        <v>194</v>
      </c>
      <c r="BC31" s="124">
        <f>BC29/BC30</f>
        <v>1</v>
      </c>
      <c r="BD31" s="124">
        <f>BD29/BD30</f>
        <v>1</v>
      </c>
      <c r="BE31" s="124">
        <f>BE29/BE30</f>
        <v>1</v>
      </c>
      <c r="BF31" s="124">
        <f>BF29/BF30</f>
        <v>1</v>
      </c>
      <c r="BI31" s="134"/>
      <c r="BK31" s="133"/>
      <c r="BL31" s="124" t="s">
        <v>194</v>
      </c>
      <c r="BM31" s="124">
        <f>BM29/BM30</f>
        <v>1</v>
      </c>
      <c r="BN31" s="124">
        <f>BN29/BN30</f>
        <v>1</v>
      </c>
      <c r="BO31" s="124">
        <f>BO29/BO30</f>
        <v>1.0000000000000002</v>
      </c>
      <c r="BP31" s="124">
        <f>BP29/BP30</f>
        <v>1</v>
      </c>
      <c r="BS31" s="134"/>
    </row>
    <row r="32" spans="3:71" x14ac:dyDescent="0.3">
      <c r="C32" s="133"/>
      <c r="K32" s="134"/>
      <c r="M32" s="133"/>
      <c r="U32" s="134"/>
      <c r="W32" s="133"/>
      <c r="AE32" s="134"/>
      <c r="AG32" s="133"/>
      <c r="AO32" s="134"/>
      <c r="AQ32" s="133"/>
      <c r="AY32" s="134"/>
      <c r="BA32" s="133"/>
      <c r="BI32" s="134"/>
      <c r="BK32" s="133"/>
      <c r="BS32" s="134"/>
    </row>
    <row r="33" spans="3:71" x14ac:dyDescent="0.3">
      <c r="C33" s="133"/>
      <c r="K33" s="134"/>
      <c r="M33" s="133"/>
      <c r="U33" s="134"/>
      <c r="W33" s="133"/>
      <c r="AE33" s="134"/>
      <c r="AG33" s="133"/>
      <c r="AO33" s="134"/>
      <c r="AQ33" s="133"/>
      <c r="AY33" s="134"/>
      <c r="BA33" s="133"/>
      <c r="BI33" s="134"/>
      <c r="BK33" s="133"/>
      <c r="BS33" s="134"/>
    </row>
    <row r="34" spans="3:71" x14ac:dyDescent="0.3">
      <c r="C34" s="133" t="s">
        <v>203</v>
      </c>
      <c r="K34" s="134"/>
      <c r="M34" s="133" t="s">
        <v>203</v>
      </c>
      <c r="U34" s="134"/>
      <c r="W34" s="133" t="s">
        <v>203</v>
      </c>
      <c r="AE34" s="134"/>
      <c r="AG34" s="133" t="s">
        <v>203</v>
      </c>
      <c r="AO34" s="134"/>
      <c r="AQ34" s="133" t="s">
        <v>203</v>
      </c>
      <c r="AY34" s="134"/>
      <c r="BA34" s="133" t="s">
        <v>203</v>
      </c>
      <c r="BI34" s="134"/>
      <c r="BK34" s="133" t="s">
        <v>203</v>
      </c>
      <c r="BS34" s="134"/>
    </row>
    <row r="35" spans="3:71" x14ac:dyDescent="0.3">
      <c r="C35" s="133"/>
      <c r="D35" s="136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4" t="s">
        <v>198</v>
      </c>
      <c r="J35" s="124" t="s">
        <v>197</v>
      </c>
      <c r="K35" s="134" t="s">
        <v>194</v>
      </c>
      <c r="M35" s="133"/>
      <c r="N35" s="136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4" t="s">
        <v>198</v>
      </c>
      <c r="T35" s="124" t="s">
        <v>197</v>
      </c>
      <c r="U35" s="134" t="s">
        <v>194</v>
      </c>
      <c r="W35" s="133"/>
      <c r="X35" s="136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4" t="s">
        <v>198</v>
      </c>
      <c r="AD35" s="124" t="s">
        <v>197</v>
      </c>
      <c r="AE35" s="134" t="s">
        <v>194</v>
      </c>
      <c r="AG35" s="133"/>
      <c r="AH35" s="136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4" t="s">
        <v>198</v>
      </c>
      <c r="AN35" s="124" t="s">
        <v>197</v>
      </c>
      <c r="AO35" s="134" t="s">
        <v>194</v>
      </c>
      <c r="AQ35" s="133"/>
      <c r="AR35" s="136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4" t="s">
        <v>198</v>
      </c>
      <c r="AX35" s="124" t="s">
        <v>197</v>
      </c>
      <c r="AY35" s="134" t="s">
        <v>194</v>
      </c>
      <c r="BA35" s="133"/>
      <c r="BB35" s="136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4" t="s">
        <v>198</v>
      </c>
      <c r="BH35" s="124" t="s">
        <v>197</v>
      </c>
      <c r="BI35" s="134" t="s">
        <v>194</v>
      </c>
      <c r="BK35" s="133"/>
      <c r="BL35" s="136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4" t="s">
        <v>198</v>
      </c>
      <c r="BR35" s="124" t="s">
        <v>197</v>
      </c>
      <c r="BS35" s="134" t="s">
        <v>194</v>
      </c>
    </row>
    <row r="36" spans="3:71" x14ac:dyDescent="0.3">
      <c r="C36" s="133"/>
      <c r="D36" s="4" t="s">
        <v>11</v>
      </c>
      <c r="E36" s="147">
        <f t="shared" ref="E36:H39" si="38">E25*$K25</f>
        <v>1024.0505506482971</v>
      </c>
      <c r="F36" s="147">
        <f t="shared" si="38"/>
        <v>0</v>
      </c>
      <c r="G36" s="147">
        <f t="shared" si="38"/>
        <v>500.48568485766293</v>
      </c>
      <c r="H36" s="147">
        <f t="shared" si="38"/>
        <v>525.46376449404011</v>
      </c>
      <c r="I36" s="124">
        <f>I25</f>
        <v>2050</v>
      </c>
      <c r="J36" s="180">
        <f>SUM(E36:H36)</f>
        <v>2050</v>
      </c>
      <c r="K36" s="134">
        <f>I36/J36</f>
        <v>1</v>
      </c>
      <c r="M36" s="133"/>
      <c r="N36" s="4" t="s">
        <v>11</v>
      </c>
      <c r="O36" s="147">
        <f>O25*$U25</f>
        <v>451.90916055697403</v>
      </c>
      <c r="P36" s="147">
        <f t="shared" ref="P36:R36" si="39">P25*$U25</f>
        <v>0</v>
      </c>
      <c r="Q36" s="147">
        <f t="shared" si="39"/>
        <v>907.15558348442926</v>
      </c>
      <c r="R36" s="147">
        <f t="shared" si="39"/>
        <v>827.68180710987701</v>
      </c>
      <c r="S36" s="124">
        <f>S25</f>
        <v>2186.7465511512801</v>
      </c>
      <c r="T36" s="180">
        <f>SUM(O36:R36)</f>
        <v>2186.7465511512801</v>
      </c>
      <c r="U36" s="134">
        <f>S36/T36</f>
        <v>1</v>
      </c>
      <c r="W36" s="133"/>
      <c r="X36" s="4" t="s">
        <v>11</v>
      </c>
      <c r="Y36" s="147">
        <f>Y25*$AE25</f>
        <v>484.3568018674523</v>
      </c>
      <c r="Z36" s="147">
        <f t="shared" ref="Z36:AB36" si="40">Z25*$AE25</f>
        <v>0</v>
      </c>
      <c r="AA36" s="147">
        <f t="shared" si="40"/>
        <v>967.19765280630531</v>
      </c>
      <c r="AB36" s="147">
        <f t="shared" si="40"/>
        <v>882.38634740625469</v>
      </c>
      <c r="AC36" s="124">
        <f>AC25</f>
        <v>2333.9408020800124</v>
      </c>
      <c r="AD36" s="180">
        <f>SUM(Y36:AB36)</f>
        <v>2333.9408020800124</v>
      </c>
      <c r="AE36" s="134">
        <f>AC36/AD36</f>
        <v>1</v>
      </c>
      <c r="AG36" s="133"/>
      <c r="AH36" s="4" t="s">
        <v>11</v>
      </c>
      <c r="AI36" s="147">
        <f>AI25*$AO25</f>
        <v>519.0600067343139</v>
      </c>
      <c r="AJ36" s="147">
        <f t="shared" ref="AJ36:AL36" si="41">AJ25*$AO25</f>
        <v>0</v>
      </c>
      <c r="AK36" s="147">
        <f t="shared" si="41"/>
        <v>1031.4529519752141</v>
      </c>
      <c r="AL36" s="147">
        <f t="shared" si="41"/>
        <v>941.87108125273903</v>
      </c>
      <c r="AM36" s="124">
        <f>AM25</f>
        <v>2492.3840399622668</v>
      </c>
      <c r="AN36" s="180">
        <f>SUM(AI36:AL36)</f>
        <v>2492.3840399622668</v>
      </c>
      <c r="AO36" s="134">
        <f>AM36/AN36</f>
        <v>1</v>
      </c>
      <c r="AQ36" s="133"/>
      <c r="AR36" s="4" t="s">
        <v>11</v>
      </c>
      <c r="AS36" s="147">
        <f>AS25*$AY25</f>
        <v>556.68756700256949</v>
      </c>
      <c r="AT36" s="147">
        <f t="shared" ref="AT36:AV36" si="42">AT25*$AY25</f>
        <v>0</v>
      </c>
      <c r="AU36" s="147">
        <f t="shared" si="42"/>
        <v>1100.6974275659832</v>
      </c>
      <c r="AV36" s="147">
        <f t="shared" si="42"/>
        <v>1005.5541702273536</v>
      </c>
      <c r="AW36" s="124">
        <f>AW25</f>
        <v>2662.939164795906</v>
      </c>
      <c r="AX36" s="180">
        <f>SUM(AS36:AV36)</f>
        <v>2662.9391647959064</v>
      </c>
      <c r="AY36" s="134">
        <f>AW36/AX36</f>
        <v>0.99999999999999978</v>
      </c>
      <c r="BA36" s="133"/>
      <c r="BB36" s="4" t="s">
        <v>11</v>
      </c>
      <c r="BC36" s="147">
        <f>BC25*$BI25</f>
        <v>597.30369830068787</v>
      </c>
      <c r="BD36" s="147">
        <f t="shared" ref="BD36:BF36" si="43">BD25*$BI25</f>
        <v>0</v>
      </c>
      <c r="BE36" s="147">
        <f t="shared" si="43"/>
        <v>1175.1525068734452</v>
      </c>
      <c r="BF36" s="147">
        <f t="shared" si="43"/>
        <v>1074.0792299020216</v>
      </c>
      <c r="BG36" s="124">
        <f>BG25</f>
        <v>2846.535435076155</v>
      </c>
      <c r="BH36" s="180">
        <f>SUM(BC36:BF36)</f>
        <v>2846.5354350761545</v>
      </c>
      <c r="BI36" s="134">
        <f>BG36/BH36</f>
        <v>1.0000000000000002</v>
      </c>
      <c r="BK36" s="133"/>
      <c r="BL36" s="4" t="s">
        <v>11</v>
      </c>
      <c r="BM36" s="147">
        <f>BM25*$BS25</f>
        <v>641.14527926898825</v>
      </c>
      <c r="BN36" s="147">
        <f t="shared" ref="BN36:BP36" si="44">BN25*$BS25</f>
        <v>0</v>
      </c>
      <c r="BO36" s="147">
        <f t="shared" si="44"/>
        <v>1255.2124687861785</v>
      </c>
      <c r="BP36" s="147">
        <f t="shared" si="44"/>
        <v>1147.8158313641468</v>
      </c>
      <c r="BQ36" s="124">
        <f>BQ25</f>
        <v>3044.1735794193137</v>
      </c>
      <c r="BR36" s="180">
        <f>SUM(BM36:BP36)</f>
        <v>3044.1735794193137</v>
      </c>
      <c r="BS36" s="134">
        <f>BQ36/BR36</f>
        <v>1</v>
      </c>
    </row>
    <row r="37" spans="3:71" x14ac:dyDescent="0.3">
      <c r="C37" s="133"/>
      <c r="D37" s="4" t="s">
        <v>12</v>
      </c>
      <c r="E37" s="147">
        <f t="shared" si="38"/>
        <v>0</v>
      </c>
      <c r="F37" s="147">
        <f t="shared" si="38"/>
        <v>355.68149259929197</v>
      </c>
      <c r="G37" s="147">
        <f t="shared" si="38"/>
        <v>826.53405494714809</v>
      </c>
      <c r="H37" s="147">
        <f t="shared" si="38"/>
        <v>867.78445245356022</v>
      </c>
      <c r="I37" s="124">
        <f>I26</f>
        <v>2050</v>
      </c>
      <c r="J37" s="180">
        <f>SUM(E37:H37)</f>
        <v>2050.0000000000005</v>
      </c>
      <c r="K37" s="134">
        <f>I37/J37</f>
        <v>0.99999999999999978</v>
      </c>
      <c r="M37" s="133"/>
      <c r="N37" s="4" t="s">
        <v>12</v>
      </c>
      <c r="O37" s="147">
        <f t="shared" ref="O37:R37" si="45">O26*$U26</f>
        <v>0</v>
      </c>
      <c r="P37" s="147">
        <f t="shared" si="45"/>
        <v>119.09070578645175</v>
      </c>
      <c r="Q37" s="147">
        <f t="shared" si="45"/>
        <v>1081.1881015570943</v>
      </c>
      <c r="R37" s="147">
        <f t="shared" si="45"/>
        <v>986.46774380773377</v>
      </c>
      <c r="S37" s="124">
        <f>S26</f>
        <v>2186.7465511512801</v>
      </c>
      <c r="T37" s="180">
        <f>SUM(O37:R37)</f>
        <v>2186.7465511512801</v>
      </c>
      <c r="U37" s="134">
        <f>S37/T37</f>
        <v>1</v>
      </c>
      <c r="W37" s="133"/>
      <c r="X37" s="4" t="s">
        <v>12</v>
      </c>
      <c r="Y37" s="147">
        <f t="shared" ref="Y37:AB37" si="46">Y26*$AE26</f>
        <v>0</v>
      </c>
      <c r="Z37" s="147">
        <f t="shared" si="46"/>
        <v>128.0248527534192</v>
      </c>
      <c r="AA37" s="147">
        <f t="shared" si="46"/>
        <v>1153.5332962609316</v>
      </c>
      <c r="AB37" s="147">
        <f t="shared" si="46"/>
        <v>1052.3826530656618</v>
      </c>
      <c r="AC37" s="124">
        <f>AC26</f>
        <v>2333.9408020800124</v>
      </c>
      <c r="AD37" s="180">
        <f>SUM(Y37:AB37)</f>
        <v>2333.9408020800129</v>
      </c>
      <c r="AE37" s="134">
        <f>AC37/AD37</f>
        <v>0.99999999999999978</v>
      </c>
      <c r="AG37" s="133"/>
      <c r="AH37" s="4" t="s">
        <v>12</v>
      </c>
      <c r="AI37" s="147">
        <f t="shared" ref="AI37:AL37" si="47">AI26*$AO26</f>
        <v>0</v>
      </c>
      <c r="AJ37" s="147">
        <f t="shared" si="47"/>
        <v>137.92448663821659</v>
      </c>
      <c r="AK37" s="147">
        <f t="shared" si="47"/>
        <v>1230.6718084255956</v>
      </c>
      <c r="AL37" s="147">
        <f t="shared" si="47"/>
        <v>1123.7877448984545</v>
      </c>
      <c r="AM37" s="124">
        <f>AM26</f>
        <v>2492.3840399622668</v>
      </c>
      <c r="AN37" s="180">
        <f>SUM(AI37:AL37)</f>
        <v>2492.3840399622668</v>
      </c>
      <c r="AO37" s="134">
        <f>AM37/AN37</f>
        <v>1</v>
      </c>
      <c r="AQ37" s="133"/>
      <c r="AR37" s="4" t="s">
        <v>12</v>
      </c>
      <c r="AS37" s="147">
        <f t="shared" ref="AS37:AV37" si="48">AS26*$AY26</f>
        <v>0</v>
      </c>
      <c r="AT37" s="147">
        <f t="shared" si="48"/>
        <v>148.50111197022611</v>
      </c>
      <c r="AU37" s="147">
        <f t="shared" si="48"/>
        <v>1314.0099214257323</v>
      </c>
      <c r="AV37" s="147">
        <f t="shared" si="48"/>
        <v>1200.4281313999475</v>
      </c>
      <c r="AW37" s="124">
        <f>AW26</f>
        <v>2662.939164795906</v>
      </c>
      <c r="AX37" s="180">
        <f>SUM(AS37:AV37)</f>
        <v>2662.9391647959055</v>
      </c>
      <c r="AY37" s="134">
        <f>AW37/AX37</f>
        <v>1.0000000000000002</v>
      </c>
      <c r="BA37" s="133"/>
      <c r="BB37" s="4" t="s">
        <v>12</v>
      </c>
      <c r="BC37" s="147">
        <f t="shared" ref="BC37:BF37" si="49">BC26*$BI26</f>
        <v>0</v>
      </c>
      <c r="BD37" s="147">
        <f t="shared" si="49"/>
        <v>159.93374576636037</v>
      </c>
      <c r="BE37" s="147">
        <f t="shared" si="49"/>
        <v>1403.6644862076332</v>
      </c>
      <c r="BF37" s="147">
        <f t="shared" si="49"/>
        <v>1282.9372031021619</v>
      </c>
      <c r="BG37" s="124">
        <f>BG26</f>
        <v>2846.535435076155</v>
      </c>
      <c r="BH37" s="180">
        <f>SUM(BC37:BF37)</f>
        <v>2846.5354350761554</v>
      </c>
      <c r="BI37" s="134">
        <f>BG37/BH37</f>
        <v>0.99999999999999989</v>
      </c>
      <c r="BK37" s="133"/>
      <c r="BL37" s="4" t="s">
        <v>12</v>
      </c>
      <c r="BM37" s="147">
        <f t="shared" ref="BM37:BP37" si="50">BM26*$BS26</f>
        <v>0</v>
      </c>
      <c r="BN37" s="147">
        <f t="shared" si="50"/>
        <v>172.29075882712687</v>
      </c>
      <c r="BO37" s="147">
        <f t="shared" si="50"/>
        <v>1500.1168005697762</v>
      </c>
      <c r="BP37" s="147">
        <f t="shared" si="50"/>
        <v>1371.7660200224113</v>
      </c>
      <c r="BQ37" s="124">
        <f>BQ26</f>
        <v>3044.1735794193137</v>
      </c>
      <c r="BR37" s="180">
        <f>SUM(BM37:BP37)</f>
        <v>3044.1735794193146</v>
      </c>
      <c r="BS37" s="134">
        <f>BQ37/BR37</f>
        <v>0.99999999999999967</v>
      </c>
    </row>
    <row r="38" spans="3:71" x14ac:dyDescent="0.3">
      <c r="C38" s="133"/>
      <c r="D38" s="4" t="s">
        <v>13</v>
      </c>
      <c r="E38" s="147">
        <f t="shared" si="38"/>
        <v>387.58362404560842</v>
      </c>
      <c r="F38" s="147">
        <f t="shared" si="38"/>
        <v>646.54189665375065</v>
      </c>
      <c r="G38" s="147">
        <f t="shared" si="38"/>
        <v>19.874479300640775</v>
      </c>
      <c r="H38" s="147">
        <f t="shared" si="38"/>
        <v>0</v>
      </c>
      <c r="I38" s="124">
        <f>I27</f>
        <v>1054</v>
      </c>
      <c r="J38" s="180">
        <f>SUM(E38:H38)</f>
        <v>1054</v>
      </c>
      <c r="K38" s="134">
        <f>I38/J38</f>
        <v>1</v>
      </c>
      <c r="M38" s="133"/>
      <c r="N38" s="4" t="s">
        <v>13</v>
      </c>
      <c r="O38" s="147">
        <f t="shared" ref="O38:R38" si="51">O27*$U27</f>
        <v>375.45415518114902</v>
      </c>
      <c r="P38" s="147">
        <f t="shared" si="51"/>
        <v>658.45277585884469</v>
      </c>
      <c r="Q38" s="147">
        <f t="shared" si="51"/>
        <v>79.076533628918284</v>
      </c>
      <c r="R38" s="147">
        <f t="shared" si="51"/>
        <v>0</v>
      </c>
      <c r="S38" s="124">
        <f>S27</f>
        <v>1112.9834646689119</v>
      </c>
      <c r="T38" s="180">
        <f>SUM(O38:R38)</f>
        <v>1112.9834646689119</v>
      </c>
      <c r="U38" s="134">
        <f>S38/T38</f>
        <v>1</v>
      </c>
      <c r="W38" s="133"/>
      <c r="X38" s="4" t="s">
        <v>13</v>
      </c>
      <c r="Y38" s="147">
        <f t="shared" ref="Y38:AB38" si="52">Y27*$AE27</f>
        <v>396.43838379836779</v>
      </c>
      <c r="Z38" s="147">
        <f t="shared" si="52"/>
        <v>696.86740494998651</v>
      </c>
      <c r="AA38" s="147">
        <f t="shared" si="52"/>
        <v>83.058790618191509</v>
      </c>
      <c r="AB38" s="147">
        <f t="shared" si="52"/>
        <v>0</v>
      </c>
      <c r="AC38" s="124">
        <f>AC27</f>
        <v>1176.364579366546</v>
      </c>
      <c r="AD38" s="180">
        <f>SUM(Y38:AB38)</f>
        <v>1176.3645793665457</v>
      </c>
      <c r="AE38" s="134">
        <f>AC38/AD38</f>
        <v>1.0000000000000002</v>
      </c>
      <c r="AG38" s="133"/>
      <c r="AH38" s="4" t="s">
        <v>13</v>
      </c>
      <c r="AI38" s="147">
        <f t="shared" ref="AI38:AL38" si="53">AI27*$AO27</f>
        <v>418.32457170275336</v>
      </c>
      <c r="AJ38" s="147">
        <f t="shared" si="53"/>
        <v>738.9326008264884</v>
      </c>
      <c r="AK38" s="147">
        <f t="shared" si="53"/>
        <v>87.217835706744992</v>
      </c>
      <c r="AL38" s="147">
        <f t="shared" si="53"/>
        <v>0</v>
      </c>
      <c r="AM38" s="124">
        <f>AM27</f>
        <v>1244.4750082359867</v>
      </c>
      <c r="AN38" s="180">
        <f>SUM(AI38:AL38)</f>
        <v>1244.4750082359869</v>
      </c>
      <c r="AO38" s="134">
        <f>AM38/AN38</f>
        <v>0.99999999999999978</v>
      </c>
      <c r="AQ38" s="133"/>
      <c r="AR38" s="4" t="s">
        <v>13</v>
      </c>
      <c r="AS38" s="147">
        <f t="shared" ref="AS38:AV38" si="54">AS27*$AY27</f>
        <v>442.202072136536</v>
      </c>
      <c r="AT38" s="147">
        <f t="shared" si="54"/>
        <v>783.73408969948605</v>
      </c>
      <c r="AU38" s="147">
        <f t="shared" si="54"/>
        <v>91.73546743796976</v>
      </c>
      <c r="AV38" s="147">
        <f t="shared" si="54"/>
        <v>0</v>
      </c>
      <c r="AW38" s="124">
        <f>AW27</f>
        <v>1317.6716292739918</v>
      </c>
      <c r="AX38" s="180">
        <f>SUM(AS38:AV38)</f>
        <v>1317.671629273992</v>
      </c>
      <c r="AY38" s="134">
        <f>AW38/AX38</f>
        <v>0.99999999999999978</v>
      </c>
      <c r="BA38" s="133"/>
      <c r="BB38" s="4" t="s">
        <v>13</v>
      </c>
      <c r="BC38" s="147">
        <f t="shared" ref="BC38:BF38" si="55">BC27*$BI27</f>
        <v>467.87252912241917</v>
      </c>
      <c r="BD38" s="147">
        <f t="shared" si="55"/>
        <v>831.88605513654818</v>
      </c>
      <c r="BE38" s="147">
        <f t="shared" si="55"/>
        <v>96.579877352942503</v>
      </c>
      <c r="BF38" s="147">
        <f t="shared" si="55"/>
        <v>0</v>
      </c>
      <c r="BG38" s="124">
        <f>BG27</f>
        <v>1396.3384616119097</v>
      </c>
      <c r="BH38" s="180">
        <f>SUM(BC38:BF38)</f>
        <v>1396.3384616119099</v>
      </c>
      <c r="BI38" s="134">
        <f>BG38/BH38</f>
        <v>0.99999999999999989</v>
      </c>
      <c r="BK38" s="133"/>
      <c r="BL38" s="4" t="s">
        <v>13</v>
      </c>
      <c r="BM38" s="147">
        <f t="shared" ref="BM38:BP38" si="56">BM27*$BS27</f>
        <v>495.47135815765336</v>
      </c>
      <c r="BN38" s="147">
        <f t="shared" si="56"/>
        <v>883.64277753985482</v>
      </c>
      <c r="BO38" s="147">
        <f t="shared" si="56"/>
        <v>101.77460495818143</v>
      </c>
      <c r="BP38" s="147">
        <f t="shared" si="56"/>
        <v>0</v>
      </c>
      <c r="BQ38" s="124">
        <f>BQ27</f>
        <v>1480.8887406556896</v>
      </c>
      <c r="BR38" s="180">
        <f>SUM(BM38:BP38)</f>
        <v>1480.8887406556896</v>
      </c>
      <c r="BS38" s="134">
        <f>BQ38/BR38</f>
        <v>1</v>
      </c>
    </row>
    <row r="39" spans="3:71" x14ac:dyDescent="0.3">
      <c r="C39" s="133"/>
      <c r="D39" s="4" t="s">
        <v>14</v>
      </c>
      <c r="E39" s="147">
        <f t="shared" si="38"/>
        <v>407.05777916787713</v>
      </c>
      <c r="F39" s="147">
        <f t="shared" si="38"/>
        <v>679.0274208280108</v>
      </c>
      <c r="G39" s="147">
        <f t="shared" si="38"/>
        <v>0</v>
      </c>
      <c r="H39" s="147">
        <f t="shared" si="38"/>
        <v>21.914800004112003</v>
      </c>
      <c r="I39" s="124">
        <f>I28</f>
        <v>1108</v>
      </c>
      <c r="J39" s="180">
        <f>SUM(E39:H39)</f>
        <v>1108</v>
      </c>
      <c r="K39" s="134">
        <f>I39/J39</f>
        <v>1</v>
      </c>
      <c r="M39" s="133"/>
      <c r="N39" s="4" t="s">
        <v>14</v>
      </c>
      <c r="O39" s="147">
        <f t="shared" ref="O39:R39" si="57">O28*$U28</f>
        <v>398.08803966899325</v>
      </c>
      <c r="P39" s="147">
        <f t="shared" si="57"/>
        <v>698.14695386654023</v>
      </c>
      <c r="Q39" s="147">
        <f t="shared" si="57"/>
        <v>0</v>
      </c>
      <c r="R39" s="147">
        <f t="shared" si="57"/>
        <v>76.498244570197102</v>
      </c>
      <c r="S39" s="124">
        <f>S28</f>
        <v>1172.7332381057306</v>
      </c>
      <c r="T39" s="180">
        <f>SUM(O39:R39)</f>
        <v>1172.7332381057306</v>
      </c>
      <c r="U39" s="134">
        <f>S39/T39</f>
        <v>1</v>
      </c>
      <c r="W39" s="133"/>
      <c r="X39" s="4" t="s">
        <v>14</v>
      </c>
      <c r="Y39" s="147">
        <f t="shared" ref="Y39:AB39" si="58">Y28*$AE28</f>
        <v>421.29715850879739</v>
      </c>
      <c r="Z39" s="147">
        <f t="shared" si="58"/>
        <v>740.56466165029701</v>
      </c>
      <c r="AA39" s="147">
        <f t="shared" si="58"/>
        <v>0</v>
      </c>
      <c r="AB39" s="147">
        <f t="shared" si="58"/>
        <v>80.527085735646395</v>
      </c>
      <c r="AC39" s="124">
        <f>AC28</f>
        <v>1242.3889058947407</v>
      </c>
      <c r="AD39" s="180">
        <f>SUM(Y39:AB39)</f>
        <v>1242.3889058947407</v>
      </c>
      <c r="AE39" s="134">
        <f>AC39/AD39</f>
        <v>1</v>
      </c>
      <c r="AG39" s="133"/>
      <c r="AH39" s="4" t="s">
        <v>14</v>
      </c>
      <c r="AI39" s="147">
        <f t="shared" ref="AI39:AL39" si="59">AI28*$AO28</f>
        <v>445.53078476785993</v>
      </c>
      <c r="AJ39" s="147">
        <f t="shared" si="59"/>
        <v>786.98992076112438</v>
      </c>
      <c r="AK39" s="147">
        <f t="shared" si="59"/>
        <v>0</v>
      </c>
      <c r="AL39" s="147">
        <f t="shared" si="59"/>
        <v>84.822620983400327</v>
      </c>
      <c r="AM39" s="124">
        <f>AM28</f>
        <v>1317.3433265123847</v>
      </c>
      <c r="AN39" s="180">
        <f>SUM(AI39:AL39)</f>
        <v>1317.3433265123847</v>
      </c>
      <c r="AO39" s="134">
        <f>AM39/AN39</f>
        <v>1</v>
      </c>
      <c r="AQ39" s="133"/>
      <c r="AR39" s="4" t="s">
        <v>14</v>
      </c>
      <c r="AS39" s="147">
        <f t="shared" ref="AS39:AV39" si="60">AS28*$AY28</f>
        <v>472.00074502244286</v>
      </c>
      <c r="AT39" s="147">
        <f t="shared" si="60"/>
        <v>836.54758208239377</v>
      </c>
      <c r="AU39" s="147">
        <f t="shared" si="60"/>
        <v>0</v>
      </c>
      <c r="AV39" s="147">
        <f t="shared" si="60"/>
        <v>89.453370518982723</v>
      </c>
      <c r="AW39" s="124">
        <f>AW28</f>
        <v>1398.0016976238194</v>
      </c>
      <c r="AX39" s="180">
        <f>SUM(AS39:AV39)</f>
        <v>1398.0016976238192</v>
      </c>
      <c r="AY39" s="134">
        <f>AW39/AX39</f>
        <v>1.0000000000000002</v>
      </c>
      <c r="BA39" s="133"/>
      <c r="BB39" s="4" t="s">
        <v>14</v>
      </c>
      <c r="BC39" s="147">
        <f t="shared" ref="BC39:BF39" si="61">BC28*$BI28</f>
        <v>500.4909101113613</v>
      </c>
      <c r="BD39" s="147">
        <f t="shared" si="61"/>
        <v>889.88214295287764</v>
      </c>
      <c r="BE39" s="147">
        <f t="shared" si="61"/>
        <v>0</v>
      </c>
      <c r="BF39" s="147">
        <f t="shared" si="61"/>
        <v>94.427259214943319</v>
      </c>
      <c r="BG39" s="124">
        <f>BG28</f>
        <v>1484.8003122791824</v>
      </c>
      <c r="BH39" s="180">
        <f>SUM(BC39:BF39)</f>
        <v>1484.8003122791824</v>
      </c>
      <c r="BI39" s="134">
        <f>BG39/BH39</f>
        <v>1</v>
      </c>
      <c r="BK39" s="133"/>
      <c r="BL39" s="4" t="s">
        <v>14</v>
      </c>
      <c r="BM39" s="147">
        <f t="shared" ref="BM39:BP39" si="62">BM28*$BS28</f>
        <v>531.15575525455131</v>
      </c>
      <c r="BN39" s="147">
        <f t="shared" si="62"/>
        <v>947.28371105977953</v>
      </c>
      <c r="BO39" s="147">
        <f t="shared" si="62"/>
        <v>0</v>
      </c>
      <c r="BP39" s="147">
        <f t="shared" si="62"/>
        <v>99.769484557341343</v>
      </c>
      <c r="BQ39" s="124">
        <f>BQ28</f>
        <v>1578.2089508716722</v>
      </c>
      <c r="BR39" s="180">
        <f>SUM(BM39:BP39)</f>
        <v>1578.2089508716722</v>
      </c>
      <c r="BS39" s="134">
        <f>BQ39/BR39</f>
        <v>1</v>
      </c>
    </row>
    <row r="40" spans="3:71" x14ac:dyDescent="0.3">
      <c r="C40" s="133"/>
      <c r="D40" s="124" t="s">
        <v>196</v>
      </c>
      <c r="E40" s="124">
        <f>E29</f>
        <v>2050</v>
      </c>
      <c r="F40" s="124">
        <f>F29</f>
        <v>2050</v>
      </c>
      <c r="G40" s="124">
        <f>G29</f>
        <v>1054</v>
      </c>
      <c r="H40" s="124">
        <f>H29</f>
        <v>1108</v>
      </c>
      <c r="K40" s="134"/>
      <c r="M40" s="133"/>
      <c r="N40" s="124" t="s">
        <v>196</v>
      </c>
      <c r="O40" s="124">
        <f>O29</f>
        <v>1328.012404961956</v>
      </c>
      <c r="P40" s="124">
        <f>P29</f>
        <v>1658.4558060242425</v>
      </c>
      <c r="Q40" s="124">
        <f>Q29</f>
        <v>1917.811032253856</v>
      </c>
      <c r="R40" s="124">
        <f>R29</f>
        <v>1754.9305618371486</v>
      </c>
      <c r="U40" s="134"/>
      <c r="W40" s="133"/>
      <c r="X40" s="124" t="s">
        <v>196</v>
      </c>
      <c r="Y40" s="124">
        <f>Y29</f>
        <v>1328.012404961956</v>
      </c>
      <c r="Z40" s="124">
        <f>Z29</f>
        <v>1658.4558060242425</v>
      </c>
      <c r="AA40" s="124">
        <f>AA29</f>
        <v>1917.811032253856</v>
      </c>
      <c r="AB40" s="124">
        <f>AB29</f>
        <v>1754.9305618371486</v>
      </c>
      <c r="AE40" s="134"/>
      <c r="AG40" s="133"/>
      <c r="AH40" s="124" t="s">
        <v>196</v>
      </c>
      <c r="AI40" s="124">
        <f>AI29</f>
        <v>1503.1992104315086</v>
      </c>
      <c r="AJ40" s="124">
        <f>AJ29</f>
        <v>1881.7414801634088</v>
      </c>
      <c r="AK40" s="124">
        <f>AK29</f>
        <v>2172.0689016417573</v>
      </c>
      <c r="AL40" s="124">
        <f>AL29</f>
        <v>1989.5768224362307</v>
      </c>
      <c r="AO40" s="134"/>
      <c r="AQ40" s="133"/>
      <c r="AR40" s="124" t="s">
        <v>196</v>
      </c>
      <c r="AS40" s="124">
        <f>AS29</f>
        <v>1601.0889518076301</v>
      </c>
      <c r="AT40" s="124">
        <f>AT29</f>
        <v>2006.4115000433494</v>
      </c>
      <c r="AU40" s="124">
        <f>AU29</f>
        <v>2313.6568174166791</v>
      </c>
      <c r="AV40" s="124">
        <f>AV29</f>
        <v>2120.3943872219643</v>
      </c>
      <c r="AY40" s="134"/>
      <c r="BA40" s="133"/>
      <c r="BB40" s="124" t="s">
        <v>196</v>
      </c>
      <c r="BC40" s="124">
        <f>BC29</f>
        <v>1706.558014485141</v>
      </c>
      <c r="BD40" s="124">
        <f>BD29</f>
        <v>2140.666670392317</v>
      </c>
      <c r="BE40" s="124">
        <f>BE29</f>
        <v>2465.8588575838148</v>
      </c>
      <c r="BF40" s="124">
        <f>BF29</f>
        <v>2261.126101582131</v>
      </c>
      <c r="BI40" s="134"/>
      <c r="BK40" s="133"/>
      <c r="BL40" s="124" t="s">
        <v>196</v>
      </c>
      <c r="BM40" s="124">
        <f>BM29</f>
        <v>1930.3584281999242</v>
      </c>
      <c r="BN40" s="124">
        <f>BN29</f>
        <v>2423.5572278064883</v>
      </c>
      <c r="BO40" s="124">
        <f>BO29</f>
        <v>2788.6181283808864</v>
      </c>
      <c r="BP40" s="124">
        <f>BP29</f>
        <v>2558.5385458951887</v>
      </c>
      <c r="BS40" s="134"/>
    </row>
    <row r="41" spans="3:71" x14ac:dyDescent="0.3">
      <c r="C41" s="133"/>
      <c r="D41" s="124" t="s">
        <v>195</v>
      </c>
      <c r="E41" s="180">
        <f>SUM(E36:E39)</f>
        <v>1818.6919538617826</v>
      </c>
      <c r="F41" s="180">
        <f>SUM(F36:F39)</f>
        <v>1681.2508100810533</v>
      </c>
      <c r="G41" s="180">
        <f>SUM(G36:G39)</f>
        <v>1346.8942191054518</v>
      </c>
      <c r="H41" s="180">
        <f>SUM(H36:H39)</f>
        <v>1415.1630169517123</v>
      </c>
      <c r="K41" s="134"/>
      <c r="M41" s="133"/>
      <c r="N41" s="124" t="s">
        <v>195</v>
      </c>
      <c r="O41" s="180">
        <f>SUM(O36:O39)</f>
        <v>1225.4513554071164</v>
      </c>
      <c r="P41" s="180">
        <f>SUM(P36:P39)</f>
        <v>1475.6904355118368</v>
      </c>
      <c r="Q41" s="180">
        <f>SUM(Q36:Q39)</f>
        <v>2067.420218670442</v>
      </c>
      <c r="R41" s="180">
        <f>SUM(R36:R39)</f>
        <v>1890.6477954878078</v>
      </c>
      <c r="U41" s="134"/>
      <c r="W41" s="133"/>
      <c r="X41" s="124" t="s">
        <v>195</v>
      </c>
      <c r="Y41" s="180">
        <f>SUM(Y36:Y39)</f>
        <v>1302.0923441746174</v>
      </c>
      <c r="Z41" s="180">
        <f>SUM(Z36:Z39)</f>
        <v>1565.4569193537027</v>
      </c>
      <c r="AA41" s="180">
        <f>SUM(AA36:AA39)</f>
        <v>2203.7897396854282</v>
      </c>
      <c r="AB41" s="180">
        <f>SUM(AB36:AB39)</f>
        <v>2015.2960862075629</v>
      </c>
      <c r="AE41" s="134"/>
      <c r="AG41" s="133"/>
      <c r="AH41" s="124" t="s">
        <v>195</v>
      </c>
      <c r="AI41" s="180">
        <f>SUM(AI36:AI39)</f>
        <v>1382.9153632049272</v>
      </c>
      <c r="AJ41" s="180">
        <f>SUM(AJ36:AJ39)</f>
        <v>1663.8470082258295</v>
      </c>
      <c r="AK41" s="180">
        <f>SUM(AK36:AK39)</f>
        <v>2349.3425961075545</v>
      </c>
      <c r="AL41" s="180">
        <f>SUM(AL36:AL39)</f>
        <v>2150.4814471345935</v>
      </c>
      <c r="AO41" s="134"/>
      <c r="AQ41" s="133"/>
      <c r="AR41" s="124" t="s">
        <v>195</v>
      </c>
      <c r="AS41" s="180">
        <f>SUM(AS36:AS39)</f>
        <v>1470.8903841615484</v>
      </c>
      <c r="AT41" s="180">
        <f>SUM(AT36:AT39)</f>
        <v>1768.7827837521058</v>
      </c>
      <c r="AU41" s="180">
        <f>SUM(AU36:AU39)</f>
        <v>2506.4428164296855</v>
      </c>
      <c r="AV41" s="180">
        <f>SUM(AV36:AV39)</f>
        <v>2295.4356721462841</v>
      </c>
      <c r="AY41" s="134"/>
      <c r="BA41" s="133"/>
      <c r="BB41" s="124" t="s">
        <v>195</v>
      </c>
      <c r="BC41" s="180">
        <f>SUM(BC36:BC39)</f>
        <v>1565.6671375344683</v>
      </c>
      <c r="BD41" s="180">
        <f>SUM(BD36:BD39)</f>
        <v>1881.7019438557863</v>
      </c>
      <c r="BE41" s="180">
        <f>SUM(BE36:BE39)</f>
        <v>2675.3968704340205</v>
      </c>
      <c r="BF41" s="180">
        <f>SUM(BF36:BF39)</f>
        <v>2451.4436922191267</v>
      </c>
      <c r="BI41" s="134"/>
      <c r="BK41" s="133"/>
      <c r="BL41" s="124" t="s">
        <v>195</v>
      </c>
      <c r="BM41" s="180">
        <f>SUM(BM36:BM39)</f>
        <v>1667.7723926811927</v>
      </c>
      <c r="BN41" s="180">
        <f>SUM(BN36:BN39)</f>
        <v>2003.2172474267611</v>
      </c>
      <c r="BO41" s="180">
        <f>SUM(BO36:BO39)</f>
        <v>2857.1038743141362</v>
      </c>
      <c r="BP41" s="180">
        <f>SUM(BP36:BP39)</f>
        <v>2619.3513359438994</v>
      </c>
      <c r="BS41" s="134"/>
    </row>
    <row r="42" spans="3:71" x14ac:dyDescent="0.3">
      <c r="C42" s="133"/>
      <c r="D42" s="124" t="s">
        <v>194</v>
      </c>
      <c r="E42" s="124">
        <f>E40/E41</f>
        <v>1.1271837408457552</v>
      </c>
      <c r="F42" s="124">
        <f>F40/F41</f>
        <v>1.2193302675055182</v>
      </c>
      <c r="G42" s="124">
        <f>G40/G41</f>
        <v>0.78254103778099271</v>
      </c>
      <c r="H42" s="124">
        <f>H40/H41</f>
        <v>0.78294866861815882</v>
      </c>
      <c r="K42" s="134"/>
      <c r="M42" s="133"/>
      <c r="N42" s="124" t="s">
        <v>194</v>
      </c>
      <c r="O42" s="124">
        <f>O40/O41</f>
        <v>1.0836924689848395</v>
      </c>
      <c r="P42" s="124">
        <f>P40/P41</f>
        <v>1.1238507522406043</v>
      </c>
      <c r="Q42" s="124">
        <f>Q40/Q41</f>
        <v>0.92763484410885777</v>
      </c>
      <c r="R42" s="124">
        <f>R40/R41</f>
        <v>0.92821654357064287</v>
      </c>
      <c r="U42" s="134"/>
      <c r="W42" s="133"/>
      <c r="X42" s="124" t="s">
        <v>194</v>
      </c>
      <c r="Y42" s="124">
        <f>Y40/Y41</f>
        <v>1.0199064689254194</v>
      </c>
      <c r="Z42" s="124">
        <f>Z40/Z41</f>
        <v>1.059406864232926</v>
      </c>
      <c r="AA42" s="124">
        <f>AA40/AA41</f>
        <v>0.87023321586369073</v>
      </c>
      <c r="AB42" s="124">
        <f>AB40/AB41</f>
        <v>0.87080532426360391</v>
      </c>
      <c r="AE42" s="134"/>
      <c r="AG42" s="133"/>
      <c r="AH42" s="124" t="s">
        <v>194</v>
      </c>
      <c r="AI42" s="124">
        <f>AI40/AI41</f>
        <v>1.0869784590054896</v>
      </c>
      <c r="AJ42" s="124">
        <f>AJ40/AJ41</f>
        <v>1.1309582376626812</v>
      </c>
      <c r="AK42" s="124">
        <f>AK40/AK41</f>
        <v>0.92454327659171187</v>
      </c>
      <c r="AL42" s="124">
        <f>AL40/AL41</f>
        <v>0.92517739461888404</v>
      </c>
      <c r="AO42" s="134"/>
      <c r="AQ42" s="133"/>
      <c r="AR42" s="124" t="s">
        <v>194</v>
      </c>
      <c r="AS42" s="124">
        <f>AS40/AS41</f>
        <v>1.0885168392206865</v>
      </c>
      <c r="AT42" s="124">
        <f>AT40/AT41</f>
        <v>1.1343459007369823</v>
      </c>
      <c r="AU42" s="124">
        <f>AU40/AU41</f>
        <v>0.92308382311804693</v>
      </c>
      <c r="AV42" s="124">
        <f>AV40/AV41</f>
        <v>0.9237437637445739</v>
      </c>
      <c r="AY42" s="134"/>
      <c r="BA42" s="133"/>
      <c r="BB42" s="124" t="s">
        <v>194</v>
      </c>
      <c r="BC42" s="124">
        <f>BC40/BC41</f>
        <v>1.089987758938685</v>
      </c>
      <c r="BD42" s="124">
        <f>BD40/BD41</f>
        <v>1.1376226066950259</v>
      </c>
      <c r="BE42" s="124">
        <f>BE40/BE41</f>
        <v>0.92167965240378968</v>
      </c>
      <c r="BF42" s="124">
        <f>BF40/BF41</f>
        <v>0.92236509806810452</v>
      </c>
      <c r="BI42" s="134"/>
      <c r="BK42" s="133"/>
      <c r="BL42" s="124" t="s">
        <v>194</v>
      </c>
      <c r="BM42" s="124">
        <f>BM40/BM41</f>
        <v>1.1574471652553171</v>
      </c>
      <c r="BN42" s="124">
        <f>BN40/BN41</f>
        <v>1.2098324487369885</v>
      </c>
      <c r="BO42" s="124">
        <f>BO40/BO41</f>
        <v>0.97602966187230766</v>
      </c>
      <c r="BP42" s="124">
        <f>BP40/BP41</f>
        <v>0.97678326339265353</v>
      </c>
      <c r="BS42" s="134"/>
    </row>
    <row r="43" spans="3:71" x14ac:dyDescent="0.3">
      <c r="C43" s="133"/>
      <c r="K43" s="134"/>
      <c r="M43" s="133"/>
      <c r="U43" s="134"/>
      <c r="W43" s="133"/>
      <c r="AE43" s="134"/>
      <c r="AG43" s="133"/>
      <c r="AO43" s="134"/>
      <c r="AQ43" s="133"/>
      <c r="AY43" s="134"/>
      <c r="BA43" s="133"/>
      <c r="BI43" s="134"/>
      <c r="BK43" s="133"/>
      <c r="BS43" s="134"/>
    </row>
    <row r="44" spans="3:71" x14ac:dyDescent="0.3">
      <c r="C44" s="133"/>
      <c r="K44" s="134"/>
      <c r="M44" s="133"/>
      <c r="U44" s="134"/>
      <c r="W44" s="133"/>
      <c r="AE44" s="134"/>
      <c r="AG44" s="133"/>
      <c r="AO44" s="134"/>
      <c r="AQ44" s="133"/>
      <c r="AY44" s="134"/>
      <c r="BA44" s="133"/>
      <c r="BI44" s="134"/>
      <c r="BK44" s="133"/>
      <c r="BS44" s="134"/>
    </row>
    <row r="45" spans="3:71" x14ac:dyDescent="0.3">
      <c r="C45" s="133" t="s">
        <v>201</v>
      </c>
      <c r="K45" s="134"/>
      <c r="L45" s="165"/>
      <c r="M45" s="133" t="s">
        <v>201</v>
      </c>
      <c r="U45" s="134"/>
      <c r="V45" s="165"/>
      <c r="W45" s="133" t="s">
        <v>201</v>
      </c>
      <c r="AE45" s="134"/>
      <c r="AF45" s="165"/>
      <c r="AG45" s="133" t="s">
        <v>201</v>
      </c>
      <c r="AO45" s="134"/>
      <c r="AP45" s="165"/>
      <c r="AQ45" s="176"/>
      <c r="AR45" s="165"/>
      <c r="AS45" s="165"/>
      <c r="AT45" s="165"/>
      <c r="AU45" s="165"/>
      <c r="AV45" s="165"/>
      <c r="AW45" s="165"/>
      <c r="AX45" s="165"/>
      <c r="AY45" s="172"/>
      <c r="AZ45" s="165"/>
      <c r="BA45" s="133" t="s">
        <v>201</v>
      </c>
      <c r="BI45" s="134"/>
      <c r="BJ45" s="165"/>
      <c r="BK45" s="133" t="s">
        <v>201</v>
      </c>
      <c r="BS45" s="134"/>
    </row>
    <row r="46" spans="3:71" x14ac:dyDescent="0.3">
      <c r="C46" s="133"/>
      <c r="D46" s="136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4" t="s">
        <v>198</v>
      </c>
      <c r="J46" s="124" t="s">
        <v>197</v>
      </c>
      <c r="K46" s="134" t="s">
        <v>194</v>
      </c>
      <c r="L46" s="165"/>
      <c r="M46" s="133"/>
      <c r="N46" s="136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4" t="s">
        <v>198</v>
      </c>
      <c r="T46" s="124" t="s">
        <v>197</v>
      </c>
      <c r="U46" s="134" t="s">
        <v>194</v>
      </c>
      <c r="W46" s="133"/>
      <c r="X46" s="136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4" t="s">
        <v>198</v>
      </c>
      <c r="AD46" s="124" t="s">
        <v>197</v>
      </c>
      <c r="AE46" s="134" t="s">
        <v>194</v>
      </c>
      <c r="AG46" s="133"/>
      <c r="AH46" s="136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4" t="s">
        <v>198</v>
      </c>
      <c r="AN46" s="124" t="s">
        <v>197</v>
      </c>
      <c r="AO46" s="134" t="s">
        <v>194</v>
      </c>
      <c r="BA46" s="133"/>
      <c r="BB46" s="136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4" t="s">
        <v>198</v>
      </c>
      <c r="BH46" s="124" t="s">
        <v>197</v>
      </c>
      <c r="BI46" s="134" t="s">
        <v>194</v>
      </c>
      <c r="BK46" s="133"/>
      <c r="BL46" s="136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4" t="s">
        <v>198</v>
      </c>
      <c r="BR46" s="124" t="s">
        <v>197</v>
      </c>
      <c r="BS46" s="134" t="s">
        <v>194</v>
      </c>
    </row>
    <row r="47" spans="3:71" x14ac:dyDescent="0.3">
      <c r="C47" s="133"/>
      <c r="D47" s="4" t="s">
        <v>11</v>
      </c>
      <c r="E47" s="147">
        <f>E36*E$42</f>
        <v>1154.2931304949029</v>
      </c>
      <c r="F47" s="147">
        <f t="shared" ref="F47:H47" si="63">F36*F$42</f>
        <v>0</v>
      </c>
      <c r="G47" s="147">
        <f t="shared" si="63"/>
        <v>391.65058722304644</v>
      </c>
      <c r="H47" s="147">
        <f t="shared" si="63"/>
        <v>411.41115481769447</v>
      </c>
      <c r="I47" s="124">
        <f>I36</f>
        <v>2050</v>
      </c>
      <c r="J47" s="180">
        <f>SUM(E47:H47)</f>
        <v>1957.3548725356438</v>
      </c>
      <c r="K47" s="134">
        <f>I47/J47</f>
        <v>1.0473317990336313</v>
      </c>
      <c r="L47" s="165"/>
      <c r="M47" s="133"/>
      <c r="N47" s="4" t="s">
        <v>11</v>
      </c>
      <c r="O47" s="147">
        <f>O36*O$42</f>
        <v>489.73055396085346</v>
      </c>
      <c r="P47" s="147">
        <f t="shared" ref="P47:R47" si="64">P36*P$42</f>
        <v>0</v>
      </c>
      <c r="Q47" s="147">
        <f t="shared" si="64"/>
        <v>841.50912826805848</v>
      </c>
      <c r="R47" s="147">
        <f t="shared" si="64"/>
        <v>768.26794617183361</v>
      </c>
      <c r="S47" s="124">
        <f>S36</f>
        <v>2186.7465511512801</v>
      </c>
      <c r="T47" s="180">
        <f>SUM(O47:R47)</f>
        <v>2099.5076284007455</v>
      </c>
      <c r="U47" s="134">
        <f>S47/T47</f>
        <v>1.0415520865799315</v>
      </c>
      <c r="W47" s="133"/>
      <c r="X47" s="4" t="s">
        <v>11</v>
      </c>
      <c r="Y47" s="147">
        <f>Y36*Y$42</f>
        <v>493.99863549264222</v>
      </c>
      <c r="Z47" s="147">
        <f t="shared" ref="Z47:AB47" si="65">Z36*Z$42</f>
        <v>0</v>
      </c>
      <c r="AA47" s="147">
        <f t="shared" si="65"/>
        <v>841.68752377744454</v>
      </c>
      <c r="AB47" s="147">
        <f t="shared" si="65"/>
        <v>768.38672937888066</v>
      </c>
      <c r="AC47" s="124">
        <f>AC36</f>
        <v>2333.9408020800124</v>
      </c>
      <c r="AD47" s="180">
        <f>SUM(Y47:AB47)</f>
        <v>2104.0728886489674</v>
      </c>
      <c r="AE47" s="134">
        <f>AC47/AD47</f>
        <v>1.1092490258636638</v>
      </c>
      <c r="AG47" s="133"/>
      <c r="AH47" s="4" t="s">
        <v>11</v>
      </c>
      <c r="AI47" s="147">
        <f>AI36*AI$42</f>
        <v>564.20704625144356</v>
      </c>
      <c r="AJ47" s="147">
        <f t="shared" ref="AJ47:AL47" si="66">AJ36*AJ$42</f>
        <v>0</v>
      </c>
      <c r="AK47" s="147">
        <f t="shared" si="66"/>
        <v>953.62289186935811</v>
      </c>
      <c r="AL47" s="147">
        <f t="shared" si="66"/>
        <v>871.39783302028036</v>
      </c>
      <c r="AM47" s="124">
        <f>AM36</f>
        <v>2492.3840399622668</v>
      </c>
      <c r="AN47" s="180">
        <f>SUM(AI47:AL47)</f>
        <v>2389.227771141082</v>
      </c>
      <c r="AO47" s="134">
        <f>AM47/AN47</f>
        <v>1.0431755691387756</v>
      </c>
      <c r="BA47" s="133"/>
      <c r="BB47" s="4" t="s">
        <v>11</v>
      </c>
      <c r="BC47" s="147">
        <f>BC36*BC$42</f>
        <v>651.05371951655525</v>
      </c>
      <c r="BD47" s="147">
        <f t="shared" ref="BD47:BF47" si="67">BD36*BD$42</f>
        <v>0</v>
      </c>
      <c r="BE47" s="147">
        <f t="shared" si="67"/>
        <v>1083.1141540565591</v>
      </c>
      <c r="BF47" s="147">
        <f t="shared" si="67"/>
        <v>990.69319422149226</v>
      </c>
      <c r="BG47" s="124">
        <f>BG36</f>
        <v>2846.535435076155</v>
      </c>
      <c r="BH47" s="180">
        <f>SUM(BC47:BF47)</f>
        <v>2724.8610677946067</v>
      </c>
      <c r="BI47" s="134">
        <f>BG47/BH47</f>
        <v>1.044653420579724</v>
      </c>
      <c r="BK47" s="133"/>
      <c r="BL47" s="4" t="s">
        <v>11</v>
      </c>
      <c r="BM47" s="147">
        <f>BM36*BM$42</f>
        <v>742.09178600671908</v>
      </c>
      <c r="BN47" s="147">
        <f t="shared" ref="BN47:BP47" si="68">BN36*BN$42</f>
        <v>0</v>
      </c>
      <c r="BO47" s="147">
        <f t="shared" si="68"/>
        <v>1225.1246014872784</v>
      </c>
      <c r="BP47" s="147">
        <f t="shared" si="68"/>
        <v>1121.167293533623</v>
      </c>
      <c r="BQ47" s="124">
        <f>BQ36</f>
        <v>3044.1735794193137</v>
      </c>
      <c r="BR47" s="180">
        <f>SUM(BM47:BP47)</f>
        <v>3088.3836810276207</v>
      </c>
      <c r="BS47" s="134">
        <f>BQ47/BR47</f>
        <v>0.98568503587170986</v>
      </c>
    </row>
    <row r="48" spans="3:71" x14ac:dyDescent="0.3">
      <c r="C48" s="133"/>
      <c r="D48" s="4" t="s">
        <v>12</v>
      </c>
      <c r="E48" s="147">
        <f t="shared" ref="E48:H48" si="69">E37*E$42</f>
        <v>0</v>
      </c>
      <c r="F48" s="147">
        <f t="shared" si="69"/>
        <v>433.6932095178567</v>
      </c>
      <c r="G48" s="147">
        <f t="shared" si="69"/>
        <v>646.79681711967328</v>
      </c>
      <c r="H48" s="147">
        <f t="shared" si="69"/>
        <v>679.43068169605294</v>
      </c>
      <c r="I48" s="124">
        <f>I37</f>
        <v>2050</v>
      </c>
      <c r="J48" s="180">
        <f>SUM(E48:H48)</f>
        <v>1759.920708333583</v>
      </c>
      <c r="K48" s="134">
        <f>I48/J48</f>
        <v>1.1648252050747698</v>
      </c>
      <c r="L48" s="165"/>
      <c r="M48" s="133"/>
      <c r="N48" s="4" t="s">
        <v>12</v>
      </c>
      <c r="O48" s="147">
        <f t="shared" ref="O48:R48" si="70">O37*O$42</f>
        <v>0</v>
      </c>
      <c r="P48" s="147">
        <f t="shared" si="70"/>
        <v>133.84017928296828</v>
      </c>
      <c r="Q48" s="147">
        <f t="shared" si="70"/>
        <v>1002.9477560402671</v>
      </c>
      <c r="R48" s="147">
        <f t="shared" si="70"/>
        <v>915.65567950114507</v>
      </c>
      <c r="S48" s="124">
        <f>S37</f>
        <v>2186.7465511512801</v>
      </c>
      <c r="T48" s="180">
        <f>SUM(O48:R48)</f>
        <v>2052.4436148243803</v>
      </c>
      <c r="U48" s="134">
        <f>S48/T48</f>
        <v>1.0654356277350847</v>
      </c>
      <c r="W48" s="133"/>
      <c r="X48" s="4" t="s">
        <v>12</v>
      </c>
      <c r="Y48" s="147">
        <f t="shared" ref="Y48:AB48" si="71">Y37*Y$42</f>
        <v>0</v>
      </c>
      <c r="Z48" s="147">
        <f t="shared" si="71"/>
        <v>135.63040779938191</v>
      </c>
      <c r="AA48" s="147">
        <f t="shared" si="71"/>
        <v>1003.842990010994</v>
      </c>
      <c r="AB48" s="147">
        <f t="shared" si="71"/>
        <v>916.42041745223537</v>
      </c>
      <c r="AC48" s="124">
        <f>AC37</f>
        <v>2333.9408020800124</v>
      </c>
      <c r="AD48" s="180">
        <f>SUM(Y48:AB48)</f>
        <v>2055.8938152626115</v>
      </c>
      <c r="AE48" s="134">
        <f>AC48/AD48</f>
        <v>1.1352438461331158</v>
      </c>
      <c r="AG48" s="133"/>
      <c r="AH48" s="4" t="s">
        <v>12</v>
      </c>
      <c r="AI48" s="147">
        <f t="shared" ref="AI48:AL48" si="72">AI37*AI$42</f>
        <v>0</v>
      </c>
      <c r="AJ48" s="147">
        <f t="shared" si="72"/>
        <v>155.98683433888746</v>
      </c>
      <c r="AK48" s="147">
        <f t="shared" si="72"/>
        <v>1137.8093461708477</v>
      </c>
      <c r="AL48" s="147">
        <f t="shared" si="72"/>
        <v>1039.7030179297833</v>
      </c>
      <c r="AM48" s="124">
        <f>AM37</f>
        <v>2492.3840399622668</v>
      </c>
      <c r="AN48" s="180">
        <f>SUM(AI48:AL48)</f>
        <v>2333.4991984395183</v>
      </c>
      <c r="AO48" s="134">
        <f>AM48/AN48</f>
        <v>1.0680886634240112</v>
      </c>
      <c r="BA48" s="133"/>
      <c r="BB48" s="4" t="s">
        <v>12</v>
      </c>
      <c r="BC48" s="147">
        <f t="shared" ref="BC48:BF48" si="73">BC37*BC$42</f>
        <v>0</v>
      </c>
      <c r="BD48" s="147">
        <f t="shared" si="73"/>
        <v>181.94424475722644</v>
      </c>
      <c r="BE48" s="147">
        <f t="shared" si="73"/>
        <v>1293.7289957393955</v>
      </c>
      <c r="BF48" s="147">
        <f t="shared" si="73"/>
        <v>1183.3364991545452</v>
      </c>
      <c r="BG48" s="124">
        <f>BG37</f>
        <v>2846.535435076155</v>
      </c>
      <c r="BH48" s="180">
        <f>SUM(BC48:BF48)</f>
        <v>2659.0097396511674</v>
      </c>
      <c r="BI48" s="134">
        <f>BG48/BH48</f>
        <v>1.0705246365323915</v>
      </c>
      <c r="BK48" s="133"/>
      <c r="BL48" s="4" t="s">
        <v>12</v>
      </c>
      <c r="BM48" s="147">
        <f t="shared" ref="BM48:BP48" si="74">BM37*BM$42</f>
        <v>0</v>
      </c>
      <c r="BN48" s="147">
        <f t="shared" si="74"/>
        <v>208.4429506465768</v>
      </c>
      <c r="BO48" s="147">
        <f t="shared" si="74"/>
        <v>1464.1584936290867</v>
      </c>
      <c r="BP48" s="147">
        <f t="shared" si="74"/>
        <v>1339.918089648643</v>
      </c>
      <c r="BQ48" s="124">
        <f>BQ37</f>
        <v>3044.1735794193137</v>
      </c>
      <c r="BR48" s="180">
        <f>SUM(BM48:BP48)</f>
        <v>3012.5195339243064</v>
      </c>
      <c r="BS48" s="134">
        <f>BQ48/BR48</f>
        <v>1.0105074988356251</v>
      </c>
    </row>
    <row r="49" spans="3:71" x14ac:dyDescent="0.3">
      <c r="C49" s="133"/>
      <c r="D49" s="4" t="s">
        <v>13</v>
      </c>
      <c r="E49" s="147">
        <f t="shared" ref="E49:H49" si="75">E38*E$42</f>
        <v>436.87795924228368</v>
      </c>
      <c r="F49" s="147">
        <f t="shared" si="75"/>
        <v>788.34810380034287</v>
      </c>
      <c r="G49" s="147">
        <f t="shared" si="75"/>
        <v>15.552595657280291</v>
      </c>
      <c r="H49" s="147">
        <f t="shared" si="75"/>
        <v>0</v>
      </c>
      <c r="I49" s="124">
        <f>I38</f>
        <v>1054</v>
      </c>
      <c r="J49" s="180">
        <f>SUM(E49:H49)</f>
        <v>1240.7786586999068</v>
      </c>
      <c r="K49" s="134">
        <f>I49/J49</f>
        <v>0.84946657698350947</v>
      </c>
      <c r="L49" s="165"/>
      <c r="M49" s="133"/>
      <c r="N49" s="4" t="s">
        <v>13</v>
      </c>
      <c r="O49" s="147">
        <f t="shared" ref="O49:R49" si="76">O38*O$42</f>
        <v>406.87684041887644</v>
      </c>
      <c r="P49" s="147">
        <f t="shared" si="76"/>
        <v>740.00264746387654</v>
      </c>
      <c r="Q49" s="147">
        <f t="shared" si="76"/>
        <v>73.354147945530457</v>
      </c>
      <c r="R49" s="147">
        <f t="shared" si="76"/>
        <v>0</v>
      </c>
      <c r="S49" s="124">
        <f>S38</f>
        <v>1112.9834646689119</v>
      </c>
      <c r="T49" s="180">
        <f>SUM(O49:R49)</f>
        <v>1220.2336358282835</v>
      </c>
      <c r="U49" s="134">
        <f>S49/T49</f>
        <v>0.91210685559690285</v>
      </c>
      <c r="W49" s="133"/>
      <c r="X49" s="4" t="s">
        <v>13</v>
      </c>
      <c r="Y49" s="147">
        <f t="shared" ref="Y49:AB49" si="77">Y38*Y$42</f>
        <v>404.33007216629346</v>
      </c>
      <c r="Z49" s="147">
        <f t="shared" si="77"/>
        <v>738.26611226420175</v>
      </c>
      <c r="AA49" s="147">
        <f t="shared" si="77"/>
        <v>72.280518465417742</v>
      </c>
      <c r="AB49" s="147">
        <f t="shared" si="77"/>
        <v>0</v>
      </c>
      <c r="AC49" s="124">
        <f>AC38</f>
        <v>1176.364579366546</v>
      </c>
      <c r="AD49" s="180">
        <f>SUM(Y49:AB49)</f>
        <v>1214.876702895913</v>
      </c>
      <c r="AE49" s="134">
        <f>AC49/AD49</f>
        <v>0.96829956205632606</v>
      </c>
      <c r="AG49" s="133"/>
      <c r="AH49" s="4" t="s">
        <v>13</v>
      </c>
      <c r="AI49" s="147">
        <f t="shared" ref="AI49:AL49" si="78">AI38*AI$42</f>
        <v>454.70979831359028</v>
      </c>
      <c r="AJ49" s="147">
        <f t="shared" si="78"/>
        <v>835.70191198222676</v>
      </c>
      <c r="AK49" s="147">
        <f t="shared" si="78"/>
        <v>80.636663601551618</v>
      </c>
      <c r="AL49" s="147">
        <f t="shared" si="78"/>
        <v>0</v>
      </c>
      <c r="AM49" s="124">
        <f>AM38</f>
        <v>1244.4750082359867</v>
      </c>
      <c r="AN49" s="180">
        <f>SUM(AI49:AL49)</f>
        <v>1371.0483738973687</v>
      </c>
      <c r="AO49" s="134">
        <f>AM49/AN49</f>
        <v>0.90768132760948317</v>
      </c>
      <c r="BA49" s="133"/>
      <c r="BB49" s="4" t="s">
        <v>13</v>
      </c>
      <c r="BC49" s="147">
        <f t="shared" ref="BC49:BF49" si="79">BC38*BC$42</f>
        <v>509.97532948712035</v>
      </c>
      <c r="BD49" s="147">
        <f t="shared" si="79"/>
        <v>946.37238251768201</v>
      </c>
      <c r="BE49" s="147">
        <f t="shared" si="79"/>
        <v>89.015707787860691</v>
      </c>
      <c r="BF49" s="147">
        <f t="shared" si="79"/>
        <v>0</v>
      </c>
      <c r="BG49" s="124">
        <f>BG38</f>
        <v>1396.3384616119097</v>
      </c>
      <c r="BH49" s="180">
        <f>SUM(BC49:BF49)</f>
        <v>1545.3634197926631</v>
      </c>
      <c r="BI49" s="134">
        <f>BG49/BH49</f>
        <v>0.90356639980468312</v>
      </c>
      <c r="BK49" s="133"/>
      <c r="BL49" s="4" t="s">
        <v>13</v>
      </c>
      <c r="BM49" s="147">
        <f t="shared" ref="BM49:BP49" si="80">BM38*BM$42</f>
        <v>573.48191896477783</v>
      </c>
      <c r="BN49" s="147">
        <f t="shared" si="80"/>
        <v>1069.0597053597965</v>
      </c>
      <c r="BO49" s="147">
        <f t="shared" si="80"/>
        <v>99.335033264521499</v>
      </c>
      <c r="BP49" s="147">
        <f t="shared" si="80"/>
        <v>0</v>
      </c>
      <c r="BQ49" s="124">
        <f>BQ38</f>
        <v>1480.8887406556896</v>
      </c>
      <c r="BR49" s="180">
        <f>SUM(BM49:BP49)</f>
        <v>1741.8766575890959</v>
      </c>
      <c r="BS49" s="134">
        <f>BQ49/BR49</f>
        <v>0.85016854333725589</v>
      </c>
    </row>
    <row r="50" spans="3:71" x14ac:dyDescent="0.3">
      <c r="C50" s="133"/>
      <c r="D50" s="4" t="s">
        <v>14</v>
      </c>
      <c r="E50" s="147">
        <f t="shared" ref="E50:H50" si="81">E39*E$42</f>
        <v>458.82891026281305</v>
      </c>
      <c r="F50" s="147">
        <f t="shared" si="81"/>
        <v>827.95868668180049</v>
      </c>
      <c r="G50" s="147">
        <f t="shared" si="81"/>
        <v>0</v>
      </c>
      <c r="H50" s="147">
        <f t="shared" si="81"/>
        <v>17.158163486252715</v>
      </c>
      <c r="I50" s="124">
        <f>I39</f>
        <v>1108</v>
      </c>
      <c r="J50" s="180">
        <f>SUM(E50:H50)</f>
        <v>1303.9457604308664</v>
      </c>
      <c r="K50" s="134">
        <f>I50/J50</f>
        <v>0.84972859579211368</v>
      </c>
      <c r="L50" s="165"/>
      <c r="M50" s="133"/>
      <c r="N50" s="4" t="s">
        <v>14</v>
      </c>
      <c r="O50" s="147">
        <f t="shared" ref="O50:R50" si="82">O39*O$42</f>
        <v>431.405010582226</v>
      </c>
      <c r="P50" s="147">
        <f t="shared" si="82"/>
        <v>784.6129792773977</v>
      </c>
      <c r="Q50" s="147">
        <f t="shared" si="82"/>
        <v>0</v>
      </c>
      <c r="R50" s="147">
        <f t="shared" si="82"/>
        <v>71.006936164170057</v>
      </c>
      <c r="S50" s="124">
        <f>S39</f>
        <v>1172.7332381057306</v>
      </c>
      <c r="T50" s="180">
        <f>SUM(O50:R50)</f>
        <v>1287.0249260237938</v>
      </c>
      <c r="U50" s="134">
        <f>S50/T50</f>
        <v>0.91119698957877815</v>
      </c>
      <c r="W50" s="133"/>
      <c r="X50" s="4" t="s">
        <v>14</v>
      </c>
      <c r="Y50" s="147">
        <f t="shared" ref="Y50:AB50" si="83">Y39*Y$42</f>
        <v>429.68369730302027</v>
      </c>
      <c r="Z50" s="147">
        <f t="shared" si="83"/>
        <v>784.55928596065894</v>
      </c>
      <c r="AA50" s="147">
        <f t="shared" si="83"/>
        <v>0</v>
      </c>
      <c r="AB50" s="147">
        <f t="shared" si="83"/>
        <v>70.123415006032587</v>
      </c>
      <c r="AC50" s="124">
        <f>AC39</f>
        <v>1242.3889058947407</v>
      </c>
      <c r="AD50" s="180">
        <f>SUM(Y50:AB50)</f>
        <v>1284.3663982697117</v>
      </c>
      <c r="AE50" s="134">
        <f>AC50/AD50</f>
        <v>0.96731657537014148</v>
      </c>
      <c r="AG50" s="133"/>
      <c r="AH50" s="4" t="s">
        <v>14</v>
      </c>
      <c r="AI50" s="147">
        <f t="shared" ref="AI50:AL50" si="84">AI39*AI$42</f>
        <v>484.28236586647483</v>
      </c>
      <c r="AJ50" s="147">
        <f t="shared" si="84"/>
        <v>890.0527338422944</v>
      </c>
      <c r="AK50" s="147">
        <f t="shared" si="84"/>
        <v>0</v>
      </c>
      <c r="AL50" s="147">
        <f t="shared" si="84"/>
        <v>78.475971486167396</v>
      </c>
      <c r="AM50" s="124">
        <f>AM39</f>
        <v>1317.3433265123847</v>
      </c>
      <c r="AN50" s="180">
        <f>SUM(AI50:AL50)</f>
        <v>1452.8110711949366</v>
      </c>
      <c r="AO50" s="134">
        <f>AM50/AN50</f>
        <v>0.90675474095118935</v>
      </c>
      <c r="BA50" s="133"/>
      <c r="BB50" s="4" t="s">
        <v>14</v>
      </c>
      <c r="BC50" s="147">
        <f t="shared" ref="BC50:BF50" si="85">BC39*BC$42</f>
        <v>545.52896548146555</v>
      </c>
      <c r="BD50" s="147">
        <f t="shared" si="85"/>
        <v>1012.3500431174083</v>
      </c>
      <c r="BE50" s="147">
        <f t="shared" si="85"/>
        <v>0</v>
      </c>
      <c r="BF50" s="147">
        <f t="shared" si="85"/>
        <v>87.096408206093514</v>
      </c>
      <c r="BG50" s="124">
        <f>BG39</f>
        <v>1484.8003122791824</v>
      </c>
      <c r="BH50" s="180">
        <f>SUM(BC50:BF50)</f>
        <v>1644.9754168049674</v>
      </c>
      <c r="BI50" s="134">
        <f>BG50/BH50</f>
        <v>0.90262766063890931</v>
      </c>
      <c r="BK50" s="133"/>
      <c r="BL50" s="4" t="s">
        <v>14</v>
      </c>
      <c r="BM50" s="147">
        <f t="shared" ref="BM50:BP50" si="86">BM39*BM$42</f>
        <v>614.78472322842742</v>
      </c>
      <c r="BN50" s="147">
        <f t="shared" si="86"/>
        <v>1146.0545718001149</v>
      </c>
      <c r="BO50" s="147">
        <f t="shared" si="86"/>
        <v>0</v>
      </c>
      <c r="BP50" s="147">
        <f t="shared" si="86"/>
        <v>97.453162712922833</v>
      </c>
      <c r="BQ50" s="124">
        <f>BQ39</f>
        <v>1578.2089508716722</v>
      </c>
      <c r="BR50" s="180">
        <f>SUM(BM50:BP50)</f>
        <v>1858.2924577414653</v>
      </c>
      <c r="BS50" s="134">
        <f>BQ50/BR50</f>
        <v>0.84927910259604589</v>
      </c>
    </row>
    <row r="51" spans="3:71" x14ac:dyDescent="0.3">
      <c r="C51" s="133"/>
      <c r="D51" s="124" t="s">
        <v>196</v>
      </c>
      <c r="E51" s="124">
        <f>E40</f>
        <v>2050</v>
      </c>
      <c r="F51" s="124">
        <f>F40</f>
        <v>2050</v>
      </c>
      <c r="G51" s="124">
        <f>G40</f>
        <v>1054</v>
      </c>
      <c r="H51" s="124">
        <f>H40</f>
        <v>1108</v>
      </c>
      <c r="K51" s="134"/>
      <c r="L51" s="165"/>
      <c r="M51" s="133"/>
      <c r="N51" s="124" t="s">
        <v>196</v>
      </c>
      <c r="O51" s="124">
        <f>O40</f>
        <v>1328.012404961956</v>
      </c>
      <c r="P51" s="124">
        <f>P40</f>
        <v>1658.4558060242425</v>
      </c>
      <c r="Q51" s="124">
        <f>Q40</f>
        <v>1917.811032253856</v>
      </c>
      <c r="R51" s="124">
        <f>R40</f>
        <v>1754.9305618371486</v>
      </c>
      <c r="U51" s="134"/>
      <c r="V51" s="165"/>
      <c r="W51" s="133"/>
      <c r="X51" s="124" t="s">
        <v>196</v>
      </c>
      <c r="Y51" s="124">
        <f>Y40</f>
        <v>1328.012404961956</v>
      </c>
      <c r="Z51" s="124">
        <f>Z40</f>
        <v>1658.4558060242425</v>
      </c>
      <c r="AA51" s="124">
        <f>AA40</f>
        <v>1917.811032253856</v>
      </c>
      <c r="AB51" s="124">
        <f>AB40</f>
        <v>1754.9305618371486</v>
      </c>
      <c r="AE51" s="134"/>
      <c r="AF51" s="165"/>
      <c r="AG51" s="133"/>
      <c r="AH51" s="124" t="s">
        <v>196</v>
      </c>
      <c r="AI51" s="124">
        <f>AI40</f>
        <v>1503.1992104315086</v>
      </c>
      <c r="AJ51" s="124">
        <f>AJ40</f>
        <v>1881.7414801634088</v>
      </c>
      <c r="AK51" s="124">
        <f>AK40</f>
        <v>2172.0689016417573</v>
      </c>
      <c r="AL51" s="124">
        <f>AL40</f>
        <v>1989.5768224362307</v>
      </c>
      <c r="AO51" s="134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33"/>
      <c r="BB51" s="124" t="s">
        <v>196</v>
      </c>
      <c r="BC51" s="124">
        <f>BC40</f>
        <v>1706.558014485141</v>
      </c>
      <c r="BD51" s="124">
        <f>BD40</f>
        <v>2140.666670392317</v>
      </c>
      <c r="BE51" s="124">
        <f>BE40</f>
        <v>2465.8588575838148</v>
      </c>
      <c r="BF51" s="124">
        <f>BF40</f>
        <v>2261.126101582131</v>
      </c>
      <c r="BI51" s="134"/>
      <c r="BJ51" s="165"/>
      <c r="BK51" s="133"/>
      <c r="BL51" s="124" t="s">
        <v>196</v>
      </c>
      <c r="BM51" s="124">
        <f>BM40</f>
        <v>1930.3584281999242</v>
      </c>
      <c r="BN51" s="124">
        <f>BN40</f>
        <v>2423.5572278064883</v>
      </c>
      <c r="BO51" s="124">
        <f>BO40</f>
        <v>2788.6181283808864</v>
      </c>
      <c r="BP51" s="124">
        <f>BP40</f>
        <v>2558.5385458951887</v>
      </c>
      <c r="BS51" s="134"/>
    </row>
    <row r="52" spans="3:71" x14ac:dyDescent="0.3">
      <c r="C52" s="133"/>
      <c r="D52" s="124" t="s">
        <v>195</v>
      </c>
      <c r="E52" s="180">
        <f>SUM(E47:E50)</f>
        <v>2049.9999999999995</v>
      </c>
      <c r="F52" s="180">
        <f>SUM(F47:F50)</f>
        <v>2050</v>
      </c>
      <c r="G52" s="180">
        <f>SUM(G47:G50)</f>
        <v>1054</v>
      </c>
      <c r="H52" s="180">
        <f>SUM(H47:H50)</f>
        <v>1108.0000000000002</v>
      </c>
      <c r="K52" s="134"/>
      <c r="M52" s="133"/>
      <c r="N52" s="124" t="s">
        <v>195</v>
      </c>
      <c r="O52" s="180">
        <f>SUM(O47:O50)</f>
        <v>1328.0124049619558</v>
      </c>
      <c r="P52" s="180">
        <f>SUM(P47:P50)</f>
        <v>1658.4558060242425</v>
      </c>
      <c r="Q52" s="180">
        <f>SUM(Q47:Q50)</f>
        <v>1917.8110322538562</v>
      </c>
      <c r="R52" s="180">
        <f>SUM(R47:R50)</f>
        <v>1754.9305618371488</v>
      </c>
      <c r="U52" s="134"/>
      <c r="W52" s="133"/>
      <c r="X52" s="124" t="s">
        <v>195</v>
      </c>
      <c r="Y52" s="180">
        <f>SUM(Y47:Y50)</f>
        <v>1328.0124049619558</v>
      </c>
      <c r="Z52" s="180">
        <f>SUM(Z47:Z50)</f>
        <v>1658.4558060242425</v>
      </c>
      <c r="AA52" s="180">
        <f>SUM(AA47:AA50)</f>
        <v>1917.8110322538562</v>
      </c>
      <c r="AB52" s="180">
        <f>SUM(AB47:AB50)</f>
        <v>1754.9305618371486</v>
      </c>
      <c r="AE52" s="134"/>
      <c r="AG52" s="133"/>
      <c r="AH52" s="124" t="s">
        <v>195</v>
      </c>
      <c r="AI52" s="180">
        <f>SUM(AI47:AI50)</f>
        <v>1503.1992104315086</v>
      </c>
      <c r="AJ52" s="180">
        <f>SUM(AJ47:AJ50)</f>
        <v>1881.7414801634086</v>
      </c>
      <c r="AK52" s="180">
        <f>SUM(AK47:AK50)</f>
        <v>2172.0689016417573</v>
      </c>
      <c r="AL52" s="180">
        <f>SUM(AL47:AL50)</f>
        <v>1989.5768224362309</v>
      </c>
      <c r="AO52" s="134"/>
      <c r="BA52" s="133"/>
      <c r="BB52" s="124" t="s">
        <v>195</v>
      </c>
      <c r="BC52" s="180">
        <f>SUM(BC47:BC50)</f>
        <v>1706.558014485141</v>
      </c>
      <c r="BD52" s="180">
        <f>SUM(BD47:BD50)</f>
        <v>2140.666670392317</v>
      </c>
      <c r="BE52" s="180">
        <f>SUM(BE47:BE50)</f>
        <v>2465.8588575838153</v>
      </c>
      <c r="BF52" s="180">
        <f>SUM(BF47:BF50)</f>
        <v>2261.126101582131</v>
      </c>
      <c r="BI52" s="134"/>
      <c r="BK52" s="133"/>
      <c r="BL52" s="124" t="s">
        <v>195</v>
      </c>
      <c r="BM52" s="180">
        <f>SUM(BM47:BM50)</f>
        <v>1930.3584281999242</v>
      </c>
      <c r="BN52" s="180">
        <f>SUM(BN47:BN50)</f>
        <v>2423.5572278064883</v>
      </c>
      <c r="BO52" s="180">
        <f>SUM(BO47:BO50)</f>
        <v>2788.6181283808864</v>
      </c>
      <c r="BP52" s="180">
        <f>SUM(BP47:BP50)</f>
        <v>2558.5385458951887</v>
      </c>
      <c r="BS52" s="134"/>
    </row>
    <row r="53" spans="3:71" x14ac:dyDescent="0.3">
      <c r="C53" s="133"/>
      <c r="D53" s="124" t="s">
        <v>194</v>
      </c>
      <c r="E53" s="124">
        <f>E51/E52</f>
        <v>1.0000000000000002</v>
      </c>
      <c r="F53" s="124">
        <f>F51/F52</f>
        <v>1</v>
      </c>
      <c r="G53" s="124">
        <f>G51/G52</f>
        <v>1</v>
      </c>
      <c r="H53" s="124">
        <f>H51/H52</f>
        <v>0.99999999999999978</v>
      </c>
      <c r="K53" s="134"/>
      <c r="M53" s="133"/>
      <c r="N53" s="124" t="s">
        <v>194</v>
      </c>
      <c r="O53" s="124">
        <f>O51/O52</f>
        <v>1.0000000000000002</v>
      </c>
      <c r="P53" s="124">
        <f>P51/P52</f>
        <v>1</v>
      </c>
      <c r="Q53" s="124">
        <f>Q51/Q52</f>
        <v>0.99999999999999989</v>
      </c>
      <c r="R53" s="124">
        <f>R51/R52</f>
        <v>0.99999999999999989</v>
      </c>
      <c r="U53" s="134"/>
      <c r="W53" s="133"/>
      <c r="X53" s="124" t="s">
        <v>194</v>
      </c>
      <c r="Y53" s="124">
        <f>Y51/Y52</f>
        <v>1.0000000000000002</v>
      </c>
      <c r="Z53" s="124">
        <f>Z51/Z52</f>
        <v>1</v>
      </c>
      <c r="AA53" s="124">
        <f>AA51/AA52</f>
        <v>0.99999999999999989</v>
      </c>
      <c r="AB53" s="124">
        <f>AB51/AB52</f>
        <v>1</v>
      </c>
      <c r="AE53" s="134"/>
      <c r="AG53" s="133"/>
      <c r="AH53" s="124" t="s">
        <v>194</v>
      </c>
      <c r="AI53" s="124">
        <f>AI51/AI52</f>
        <v>1</v>
      </c>
      <c r="AJ53" s="124">
        <f>AJ51/AJ52</f>
        <v>1.0000000000000002</v>
      </c>
      <c r="AK53" s="124">
        <f>AK51/AK52</f>
        <v>1</v>
      </c>
      <c r="AL53" s="124">
        <f>AL51/AL52</f>
        <v>0.99999999999999989</v>
      </c>
      <c r="AO53" s="134"/>
      <c r="BA53" s="133"/>
      <c r="BB53" s="124" t="s">
        <v>194</v>
      </c>
      <c r="BC53" s="124">
        <f>BC51/BC52</f>
        <v>1</v>
      </c>
      <c r="BD53" s="124">
        <f>BD51/BD52</f>
        <v>1</v>
      </c>
      <c r="BE53" s="124">
        <f>BE51/BE52</f>
        <v>0.99999999999999978</v>
      </c>
      <c r="BF53" s="124">
        <f>BF51/BF52</f>
        <v>1</v>
      </c>
      <c r="BI53" s="134"/>
      <c r="BK53" s="133"/>
      <c r="BL53" s="124" t="s">
        <v>194</v>
      </c>
      <c r="BM53" s="124">
        <f>BM51/BM52</f>
        <v>1</v>
      </c>
      <c r="BN53" s="124">
        <f>BN51/BN52</f>
        <v>1</v>
      </c>
      <c r="BO53" s="124">
        <f>BO51/BO52</f>
        <v>1</v>
      </c>
      <c r="BP53" s="124">
        <f>BP51/BP52</f>
        <v>1</v>
      </c>
      <c r="BS53" s="134"/>
    </row>
    <row r="56" spans="3:71" x14ac:dyDescent="0.3">
      <c r="C56" s="133" t="s">
        <v>200</v>
      </c>
      <c r="K56" s="134"/>
      <c r="M56" s="133" t="s">
        <v>200</v>
      </c>
      <c r="U56" s="134"/>
      <c r="AG56" s="133" t="s">
        <v>200</v>
      </c>
      <c r="AO56" s="134"/>
      <c r="BA56" s="133" t="s">
        <v>200</v>
      </c>
      <c r="BI56" s="134"/>
      <c r="BK56" s="133" t="s">
        <v>200</v>
      </c>
      <c r="BS56" s="134"/>
    </row>
    <row r="57" spans="3:71" x14ac:dyDescent="0.3">
      <c r="C57" s="133"/>
      <c r="D57" s="136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4" t="s">
        <v>198</v>
      </c>
      <c r="J57" s="124" t="s">
        <v>197</v>
      </c>
      <c r="K57" s="134" t="s">
        <v>194</v>
      </c>
      <c r="M57" s="133"/>
      <c r="N57" s="136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4" t="s">
        <v>198</v>
      </c>
      <c r="T57" s="124" t="s">
        <v>197</v>
      </c>
      <c r="U57" s="134" t="s">
        <v>194</v>
      </c>
      <c r="AG57" s="133"/>
      <c r="AH57" s="136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4" t="s">
        <v>198</v>
      </c>
      <c r="AN57" s="124" t="s">
        <v>197</v>
      </c>
      <c r="AO57" s="134" t="s">
        <v>194</v>
      </c>
      <c r="BA57" s="133"/>
      <c r="BB57" s="136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4" t="s">
        <v>198</v>
      </c>
      <c r="BH57" s="124" t="s">
        <v>197</v>
      </c>
      <c r="BI57" s="134" t="s">
        <v>194</v>
      </c>
      <c r="BK57" s="133"/>
      <c r="BL57" s="136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4" t="s">
        <v>198</v>
      </c>
      <c r="BR57" s="124" t="s">
        <v>197</v>
      </c>
      <c r="BS57" s="134" t="s">
        <v>194</v>
      </c>
    </row>
    <row r="58" spans="3:71" x14ac:dyDescent="0.3">
      <c r="C58" s="133"/>
      <c r="D58" s="4" t="s">
        <v>11</v>
      </c>
      <c r="E58" s="147">
        <f>E47*$K47</f>
        <v>1208.9279009733889</v>
      </c>
      <c r="F58" s="147">
        <f t="shared" ref="F58:H58" si="87">F47*$K47</f>
        <v>0</v>
      </c>
      <c r="G58" s="147">
        <f t="shared" si="87"/>
        <v>410.18811410889134</v>
      </c>
      <c r="H58" s="147">
        <f t="shared" si="87"/>
        <v>430.88398491771972</v>
      </c>
      <c r="I58" s="124">
        <f>I47</f>
        <v>2050</v>
      </c>
      <c r="J58" s="180">
        <f>SUM(E58:H58)</f>
        <v>2050</v>
      </c>
      <c r="K58" s="134">
        <f>I58/J58</f>
        <v>1</v>
      </c>
      <c r="M58" s="133"/>
      <c r="N58" s="4" t="s">
        <v>11</v>
      </c>
      <c r="O58" s="147">
        <f>O47*$U47</f>
        <v>510.07988033987266</v>
      </c>
      <c r="P58" s="147">
        <f t="shared" ref="P58:R58" si="88">P47*$U47</f>
        <v>0</v>
      </c>
      <c r="Q58" s="147">
        <f t="shared" si="88"/>
        <v>876.47558842365549</v>
      </c>
      <c r="R58" s="147">
        <f t="shared" si="88"/>
        <v>800.19108238775175</v>
      </c>
      <c r="S58" s="124">
        <f>S47</f>
        <v>2186.7465511512801</v>
      </c>
      <c r="T58" s="180">
        <f>SUM(O58:R58)</f>
        <v>2186.7465511512801</v>
      </c>
      <c r="U58" s="134">
        <f>S58/T58</f>
        <v>1</v>
      </c>
      <c r="AG58" s="133"/>
      <c r="AH58" s="4" t="s">
        <v>11</v>
      </c>
      <c r="AI58" s="147">
        <f>AI47*$AO47</f>
        <v>588.56700658545719</v>
      </c>
      <c r="AJ58" s="147">
        <f t="shared" ref="AJ58:AL58" si="89">AJ47*$AO47</f>
        <v>0</v>
      </c>
      <c r="AK58" s="147">
        <f t="shared" si="89"/>
        <v>994.79610296958276</v>
      </c>
      <c r="AL58" s="147">
        <f t="shared" si="89"/>
        <v>909.02093040722673</v>
      </c>
      <c r="AM58" s="124">
        <f>AM47</f>
        <v>2492.3840399622668</v>
      </c>
      <c r="AN58" s="180">
        <f>SUM(AI58:AL58)</f>
        <v>2492.3840399622668</v>
      </c>
      <c r="AO58" s="134">
        <f>AM58/AN58</f>
        <v>1</v>
      </c>
      <c r="BA58" s="133"/>
      <c r="BB58" s="4" t="s">
        <v>11</v>
      </c>
      <c r="BC58" s="147">
        <f>BC47*$BI47</f>
        <v>680.12549507412166</v>
      </c>
      <c r="BD58" s="147">
        <f t="shared" ref="BD58:BF58" si="90">BD47*$BI47</f>
        <v>0</v>
      </c>
      <c r="BE58" s="147">
        <f t="shared" si="90"/>
        <v>1131.4789059134985</v>
      </c>
      <c r="BF58" s="147">
        <f t="shared" si="90"/>
        <v>1034.9310340885347</v>
      </c>
      <c r="BG58" s="124">
        <f>BG47</f>
        <v>2846.535435076155</v>
      </c>
      <c r="BH58" s="180">
        <f>SUM(BC58:BF58)</f>
        <v>2846.5354350761545</v>
      </c>
      <c r="BI58" s="134">
        <f>BG58/BH58</f>
        <v>1.0000000000000002</v>
      </c>
      <c r="BK58" s="133"/>
      <c r="BL58" s="4" t="s">
        <v>11</v>
      </c>
      <c r="BM58" s="147">
        <f>BM47*$BS47</f>
        <v>731.4687687101341</v>
      </c>
      <c r="BN58" s="147">
        <f t="shared" ref="BN58:BP58" si="91">BN47*$BS47</f>
        <v>0</v>
      </c>
      <c r="BO58" s="147">
        <f t="shared" si="91"/>
        <v>1207.5869867643023</v>
      </c>
      <c r="BP58" s="147">
        <f t="shared" si="91"/>
        <v>1105.117823944877</v>
      </c>
      <c r="BQ58" s="124">
        <f>BQ47</f>
        <v>3044.1735794193137</v>
      </c>
      <c r="BR58" s="180">
        <f>SUM(BM58:BP58)</f>
        <v>3044.1735794193137</v>
      </c>
      <c r="BS58" s="134">
        <f>BQ58/BR58</f>
        <v>1</v>
      </c>
    </row>
    <row r="59" spans="3:71" x14ac:dyDescent="0.3">
      <c r="C59" s="133"/>
      <c r="D59" s="4" t="s">
        <v>12</v>
      </c>
      <c r="E59" s="147">
        <f t="shared" ref="E59:H59" si="92">E48*$K48</f>
        <v>0</v>
      </c>
      <c r="F59" s="147">
        <f t="shared" si="92"/>
        <v>505.17678171617257</v>
      </c>
      <c r="G59" s="147">
        <f t="shared" si="92"/>
        <v>753.40523514313179</v>
      </c>
      <c r="H59" s="147">
        <f t="shared" si="92"/>
        <v>791.41798314069558</v>
      </c>
      <c r="I59" s="124">
        <f>I48</f>
        <v>2050</v>
      </c>
      <c r="J59" s="180">
        <f>SUM(E59:H59)</f>
        <v>2050</v>
      </c>
      <c r="K59" s="134">
        <f>I59/J59</f>
        <v>1</v>
      </c>
      <c r="M59" s="133"/>
      <c r="N59" s="4" t="s">
        <v>12</v>
      </c>
      <c r="O59" s="147">
        <f t="shared" ref="O59:R59" si="93">O48*$U48</f>
        <v>0</v>
      </c>
      <c r="P59" s="147">
        <f t="shared" si="93"/>
        <v>142.59809543052558</v>
      </c>
      <c r="Q59" s="147">
        <f t="shared" si="93"/>
        <v>1068.5762720422565</v>
      </c>
      <c r="R59" s="147">
        <f t="shared" si="93"/>
        <v>975.57218367849805</v>
      </c>
      <c r="S59" s="124">
        <f>S48</f>
        <v>2186.7465511512801</v>
      </c>
      <c r="T59" s="180">
        <f>SUM(O59:R59)</f>
        <v>2186.7465511512801</v>
      </c>
      <c r="U59" s="134">
        <f>S59/T59</f>
        <v>1</v>
      </c>
      <c r="AG59" s="133"/>
      <c r="AH59" s="4" t="s">
        <v>12</v>
      </c>
      <c r="AI59" s="147">
        <f t="shared" ref="AI59:AL59" si="94">AI48*$AO48</f>
        <v>0</v>
      </c>
      <c r="AJ59" s="147">
        <f t="shared" si="94"/>
        <v>166.60776940076497</v>
      </c>
      <c r="AK59" s="147">
        <f t="shared" si="94"/>
        <v>1215.2812637829688</v>
      </c>
      <c r="AL59" s="147">
        <f t="shared" si="94"/>
        <v>1110.495006778533</v>
      </c>
      <c r="AM59" s="124">
        <f>AM48</f>
        <v>2492.3840399622668</v>
      </c>
      <c r="AN59" s="180">
        <f>SUM(AI59:AL59)</f>
        <v>2492.3840399622668</v>
      </c>
      <c r="AO59" s="134">
        <f>AM59/AN59</f>
        <v>1</v>
      </c>
      <c r="BA59" s="133"/>
      <c r="BB59" s="4" t="s">
        <v>12</v>
      </c>
      <c r="BC59" s="147">
        <f t="shared" ref="BC59:BF59" si="95">BC48*$BI48</f>
        <v>0</v>
      </c>
      <c r="BD59" s="147">
        <f t="shared" si="95"/>
        <v>194.77579648789032</v>
      </c>
      <c r="BE59" s="147">
        <f t="shared" si="95"/>
        <v>1384.9687629353323</v>
      </c>
      <c r="BF59" s="147">
        <f t="shared" si="95"/>
        <v>1266.7908756529321</v>
      </c>
      <c r="BG59" s="124">
        <f>BG48</f>
        <v>2846.535435076155</v>
      </c>
      <c r="BH59" s="180">
        <f>SUM(BC59:BF59)</f>
        <v>2846.5354350761545</v>
      </c>
      <c r="BI59" s="134">
        <f>BG59/BH59</f>
        <v>1.0000000000000002</v>
      </c>
      <c r="BK59" s="133"/>
      <c r="BL59" s="4" t="s">
        <v>12</v>
      </c>
      <c r="BM59" s="147">
        <f t="shared" ref="BM59:BP59" si="96">BM48*$BS48</f>
        <v>0</v>
      </c>
      <c r="BN59" s="147">
        <f t="shared" si="96"/>
        <v>210.63316470778997</v>
      </c>
      <c r="BO59" s="147">
        <f t="shared" si="96"/>
        <v>1479.543137296065</v>
      </c>
      <c r="BP59" s="147">
        <f t="shared" si="96"/>
        <v>1353.9972774154592</v>
      </c>
      <c r="BQ59" s="124">
        <f>BQ48</f>
        <v>3044.1735794193137</v>
      </c>
      <c r="BR59" s="180">
        <f>SUM(BM59:BP59)</f>
        <v>3044.1735794193141</v>
      </c>
      <c r="BS59" s="134">
        <f>BQ59/BR59</f>
        <v>0.99999999999999989</v>
      </c>
    </row>
    <row r="60" spans="3:71" x14ac:dyDescent="0.3">
      <c r="C60" s="133"/>
      <c r="D60" s="4" t="s">
        <v>13</v>
      </c>
      <c r="E60" s="147">
        <f t="shared" ref="E60:H60" si="97">E49*$K49</f>
        <v>371.1132245970839</v>
      </c>
      <c r="F60" s="147">
        <f t="shared" si="97"/>
        <v>669.67536520671763</v>
      </c>
      <c r="G60" s="147">
        <f t="shared" si="97"/>
        <v>13.211410196198484</v>
      </c>
      <c r="H60" s="147">
        <f t="shared" si="97"/>
        <v>0</v>
      </c>
      <c r="I60" s="124">
        <f>I49</f>
        <v>1054</v>
      </c>
      <c r="J60" s="180">
        <f>SUM(E60:H60)</f>
        <v>1054.0000000000002</v>
      </c>
      <c r="K60" s="134">
        <f>I60/J60</f>
        <v>0.99999999999999978</v>
      </c>
      <c r="M60" s="133"/>
      <c r="N60" s="4" t="s">
        <v>13</v>
      </c>
      <c r="O60" s="147">
        <f t="shared" ref="O60:R60" si="98">O49*$U49</f>
        <v>371.11515552966421</v>
      </c>
      <c r="P60" s="147">
        <f t="shared" si="98"/>
        <v>674.9614879116599</v>
      </c>
      <c r="Q60" s="147">
        <f t="shared" si="98"/>
        <v>66.906821227587798</v>
      </c>
      <c r="R60" s="147">
        <f t="shared" si="98"/>
        <v>0</v>
      </c>
      <c r="S60" s="124">
        <f>S49</f>
        <v>1112.9834646689119</v>
      </c>
      <c r="T60" s="180">
        <f>SUM(O60:R60)</f>
        <v>1112.9834646689119</v>
      </c>
      <c r="U60" s="134">
        <f>S60/T60</f>
        <v>1</v>
      </c>
      <c r="AG60" s="133"/>
      <c r="AH60" s="4" t="s">
        <v>13</v>
      </c>
      <c r="AI60" s="147">
        <f t="shared" ref="AI60:AL60" si="99">AI49*$AO49</f>
        <v>412.73159341031993</v>
      </c>
      <c r="AJ60" s="147">
        <f t="shared" si="99"/>
        <v>758.55102095381108</v>
      </c>
      <c r="AK60" s="147">
        <f t="shared" si="99"/>
        <v>73.192393871855657</v>
      </c>
      <c r="AL60" s="147">
        <f t="shared" si="99"/>
        <v>0</v>
      </c>
      <c r="AM60" s="124">
        <f>AM49</f>
        <v>1244.4750082359867</v>
      </c>
      <c r="AN60" s="180">
        <f>SUM(AI60:AL60)</f>
        <v>1244.4750082359867</v>
      </c>
      <c r="AO60" s="134">
        <f>AM60/AN60</f>
        <v>1</v>
      </c>
      <c r="BA60" s="133"/>
      <c r="BB60" s="4" t="s">
        <v>13</v>
      </c>
      <c r="BC60" s="147">
        <f t="shared" ref="BC60:BF60" si="100">BC49*$BI49</f>
        <v>460.79657245388438</v>
      </c>
      <c r="BD60" s="147">
        <f t="shared" si="100"/>
        <v>855.11028654608242</v>
      </c>
      <c r="BE60" s="147">
        <f t="shared" si="100"/>
        <v>80.431602611942978</v>
      </c>
      <c r="BF60" s="147">
        <f t="shared" si="100"/>
        <v>0</v>
      </c>
      <c r="BG60" s="124">
        <f>BG49</f>
        <v>1396.3384616119097</v>
      </c>
      <c r="BH60" s="180">
        <f>SUM(BC60:BF60)</f>
        <v>1396.3384616119097</v>
      </c>
      <c r="BI60" s="134">
        <f>BG60/BH60</f>
        <v>1</v>
      </c>
      <c r="BK60" s="133"/>
      <c r="BL60" s="4" t="s">
        <v>13</v>
      </c>
      <c r="BM60" s="147">
        <f t="shared" ref="BM60:BP60" si="101">BM49*$BS49</f>
        <v>487.5562876765394</v>
      </c>
      <c r="BN60" s="147">
        <f t="shared" si="101"/>
        <v>908.88093244629408</v>
      </c>
      <c r="BO60" s="147">
        <f t="shared" si="101"/>
        <v>84.451520532856108</v>
      </c>
      <c r="BP60" s="147">
        <f t="shared" si="101"/>
        <v>0</v>
      </c>
      <c r="BQ60" s="124">
        <f>BQ49</f>
        <v>1480.8887406556896</v>
      </c>
      <c r="BR60" s="180">
        <f>SUM(BM60:BP60)</f>
        <v>1480.8887406556896</v>
      </c>
      <c r="BS60" s="134">
        <f>BQ60/BR60</f>
        <v>1</v>
      </c>
    </row>
    <row r="61" spans="3:71" x14ac:dyDescent="0.3">
      <c r="C61" s="133"/>
      <c r="D61" s="4" t="s">
        <v>14</v>
      </c>
      <c r="E61" s="147">
        <f t="shared" ref="E61:H61" si="102">E50*$K50</f>
        <v>389.88004562644585</v>
      </c>
      <c r="F61" s="147">
        <f t="shared" si="102"/>
        <v>703.54017220800893</v>
      </c>
      <c r="G61" s="147">
        <f t="shared" si="102"/>
        <v>0</v>
      </c>
      <c r="H61" s="147">
        <f t="shared" si="102"/>
        <v>14.579782165545037</v>
      </c>
      <c r="I61" s="124">
        <f>I50</f>
        <v>1108</v>
      </c>
      <c r="J61" s="180">
        <f>SUM(E61:H61)</f>
        <v>1108</v>
      </c>
      <c r="K61" s="134">
        <f>I61/J61</f>
        <v>1</v>
      </c>
      <c r="M61" s="133"/>
      <c r="N61" s="4" t="s">
        <v>14</v>
      </c>
      <c r="O61" s="147">
        <f t="shared" ref="O61:R61" si="103">O50*$U50</f>
        <v>393.09494693172525</v>
      </c>
      <c r="P61" s="147">
        <f t="shared" si="103"/>
        <v>714.93698470200104</v>
      </c>
      <c r="Q61" s="147">
        <f t="shared" si="103"/>
        <v>0</v>
      </c>
      <c r="R61" s="147">
        <f t="shared" si="103"/>
        <v>64.701306472004234</v>
      </c>
      <c r="S61" s="124">
        <f>S50</f>
        <v>1172.7332381057306</v>
      </c>
      <c r="T61" s="180">
        <f>SUM(O61:R61)</f>
        <v>1172.7332381057306</v>
      </c>
      <c r="U61" s="134">
        <f>S61/T61</f>
        <v>1</v>
      </c>
      <c r="AG61" s="133"/>
      <c r="AH61" s="4" t="s">
        <v>14</v>
      </c>
      <c r="AI61" s="147">
        <f t="shared" ref="AI61:AL61" si="104">AI50*$AO50</f>
        <v>439.12533120848451</v>
      </c>
      <c r="AJ61" s="147">
        <f t="shared" si="104"/>
        <v>807.0595361080675</v>
      </c>
      <c r="AK61" s="147">
        <f t="shared" si="104"/>
        <v>0</v>
      </c>
      <c r="AL61" s="147">
        <f t="shared" si="104"/>
        <v>71.158459195832634</v>
      </c>
      <c r="AM61" s="124">
        <f>AM50</f>
        <v>1317.3433265123847</v>
      </c>
      <c r="AN61" s="180">
        <f>SUM(AI61:AL61)</f>
        <v>1317.3433265123847</v>
      </c>
      <c r="AO61" s="134">
        <f>AM61/AN61</f>
        <v>1</v>
      </c>
      <c r="BA61" s="133"/>
      <c r="BB61" s="4" t="s">
        <v>14</v>
      </c>
      <c r="BC61" s="147">
        <f t="shared" ref="BC61:BF61" si="105">BC50*$BI50</f>
        <v>492.40953392329953</v>
      </c>
      <c r="BD61" s="147">
        <f t="shared" si="105"/>
        <v>913.77515116676523</v>
      </c>
      <c r="BE61" s="147">
        <f t="shared" si="105"/>
        <v>0</v>
      </c>
      <c r="BF61" s="147">
        <f t="shared" si="105"/>
        <v>78.615627189117689</v>
      </c>
      <c r="BG61" s="124">
        <f>BG50</f>
        <v>1484.8003122791824</v>
      </c>
      <c r="BH61" s="180">
        <f>SUM(BC61:BF61)</f>
        <v>1484.8003122791824</v>
      </c>
      <c r="BI61" s="134">
        <f>BG61/BH61</f>
        <v>1</v>
      </c>
      <c r="BK61" s="133"/>
      <c r="BL61" s="4" t="s">
        <v>14</v>
      </c>
      <c r="BM61" s="147">
        <f t="shared" ref="BM61:BP61" si="106">BM50*$BS50</f>
        <v>522.12381803319727</v>
      </c>
      <c r="BN61" s="147">
        <f t="shared" si="106"/>
        <v>973.32019826449721</v>
      </c>
      <c r="BO61" s="147">
        <f t="shared" si="106"/>
        <v>0</v>
      </c>
      <c r="BP61" s="147">
        <f t="shared" si="106"/>
        <v>82.764934573977541</v>
      </c>
      <c r="BQ61" s="124">
        <f>BQ50</f>
        <v>1578.2089508716722</v>
      </c>
      <c r="BR61" s="180">
        <f>SUM(BM61:BP61)</f>
        <v>1578.208950871672</v>
      </c>
      <c r="BS61" s="134">
        <f>BQ61/BR61</f>
        <v>1.0000000000000002</v>
      </c>
    </row>
    <row r="62" spans="3:71" x14ac:dyDescent="0.3">
      <c r="C62" s="133"/>
      <c r="D62" s="124" t="s">
        <v>196</v>
      </c>
      <c r="E62" s="124">
        <f>E51</f>
        <v>2050</v>
      </c>
      <c r="F62" s="124">
        <f>F51</f>
        <v>2050</v>
      </c>
      <c r="G62" s="124">
        <f>G51</f>
        <v>1054</v>
      </c>
      <c r="H62" s="124">
        <f>H51</f>
        <v>1108</v>
      </c>
      <c r="K62" s="134"/>
      <c r="M62" s="133"/>
      <c r="N62" s="124" t="s">
        <v>196</v>
      </c>
      <c r="O62" s="124">
        <f>O51</f>
        <v>1328.012404961956</v>
      </c>
      <c r="P62" s="124">
        <f>P51</f>
        <v>1658.4558060242425</v>
      </c>
      <c r="Q62" s="124">
        <f>Q51</f>
        <v>1917.811032253856</v>
      </c>
      <c r="R62" s="124">
        <f>R51</f>
        <v>1754.9305618371486</v>
      </c>
      <c r="U62" s="134"/>
      <c r="AG62" s="133"/>
      <c r="AH62" s="124" t="s">
        <v>196</v>
      </c>
      <c r="AI62" s="124">
        <f>AI51</f>
        <v>1503.1992104315086</v>
      </c>
      <c r="AJ62" s="124">
        <f>AJ51</f>
        <v>1881.7414801634088</v>
      </c>
      <c r="AK62" s="124">
        <f>AK51</f>
        <v>2172.0689016417573</v>
      </c>
      <c r="AL62" s="124">
        <f>AL51</f>
        <v>1989.5768224362307</v>
      </c>
      <c r="AO62" s="134"/>
      <c r="BA62" s="133"/>
      <c r="BB62" s="124" t="s">
        <v>196</v>
      </c>
      <c r="BC62" s="124">
        <f>BC51</f>
        <v>1706.558014485141</v>
      </c>
      <c r="BD62" s="124">
        <f>BD51</f>
        <v>2140.666670392317</v>
      </c>
      <c r="BE62" s="124">
        <f>BE51</f>
        <v>2465.8588575838148</v>
      </c>
      <c r="BF62" s="124">
        <f>BF51</f>
        <v>2261.126101582131</v>
      </c>
      <c r="BI62" s="134"/>
      <c r="BK62" s="133"/>
      <c r="BL62" s="124" t="s">
        <v>196</v>
      </c>
      <c r="BM62" s="124">
        <f>BM51</f>
        <v>1930.3584281999242</v>
      </c>
      <c r="BN62" s="124">
        <f>BN51</f>
        <v>2423.5572278064883</v>
      </c>
      <c r="BO62" s="124">
        <f>BO51</f>
        <v>2788.6181283808864</v>
      </c>
      <c r="BP62" s="124">
        <f>BP51</f>
        <v>2558.5385458951887</v>
      </c>
      <c r="BS62" s="134"/>
    </row>
    <row r="63" spans="3:71" x14ac:dyDescent="0.3">
      <c r="C63" s="133"/>
      <c r="D63" s="124" t="s">
        <v>195</v>
      </c>
      <c r="E63" s="180">
        <f>SUM(E58:E61)</f>
        <v>1969.9211711969187</v>
      </c>
      <c r="F63" s="180">
        <f>SUM(F58:F61)</f>
        <v>1878.3923191308991</v>
      </c>
      <c r="G63" s="180">
        <f>SUM(G58:G61)</f>
        <v>1176.8047594482216</v>
      </c>
      <c r="H63" s="180">
        <f>SUM(H58:H61)</f>
        <v>1236.8817502239604</v>
      </c>
      <c r="K63" s="134"/>
      <c r="M63" s="133"/>
      <c r="N63" s="124" t="s">
        <v>195</v>
      </c>
      <c r="O63" s="180">
        <f>SUM(O58:O61)</f>
        <v>1274.2899828012621</v>
      </c>
      <c r="P63" s="180">
        <f>SUM(P58:P61)</f>
        <v>1532.4965680441865</v>
      </c>
      <c r="Q63" s="180">
        <f>SUM(Q58:Q61)</f>
        <v>2011.9586816934998</v>
      </c>
      <c r="R63" s="180">
        <f>SUM(R58:R61)</f>
        <v>1840.4645725382541</v>
      </c>
      <c r="U63" s="134"/>
      <c r="AG63" s="133"/>
      <c r="AH63" s="124" t="s">
        <v>195</v>
      </c>
      <c r="AI63" s="180">
        <f>SUM(AI58:AI61)</f>
        <v>1440.4239312042616</v>
      </c>
      <c r="AJ63" s="180">
        <f>SUM(AJ58:AJ61)</f>
        <v>1732.2183264626435</v>
      </c>
      <c r="AK63" s="180">
        <f>SUM(AK58:AK61)</f>
        <v>2283.2697606244074</v>
      </c>
      <c r="AL63" s="180">
        <f>SUM(AL58:AL61)</f>
        <v>2090.6743963815925</v>
      </c>
      <c r="AO63" s="134"/>
      <c r="BA63" s="133"/>
      <c r="BB63" s="124" t="s">
        <v>195</v>
      </c>
      <c r="BC63" s="180">
        <f>SUM(BC58:BC61)</f>
        <v>1633.3316014513055</v>
      </c>
      <c r="BD63" s="180">
        <f>SUM(BD58:BD61)</f>
        <v>1963.6612342007379</v>
      </c>
      <c r="BE63" s="180">
        <f>SUM(BE58:BE61)</f>
        <v>2596.8792714607739</v>
      </c>
      <c r="BF63" s="180">
        <f>SUM(BF58:BF61)</f>
        <v>2380.3375369305845</v>
      </c>
      <c r="BI63" s="134"/>
      <c r="BK63" s="133"/>
      <c r="BL63" s="124" t="s">
        <v>195</v>
      </c>
      <c r="BM63" s="180">
        <f>SUM(BM58:BM61)</f>
        <v>1741.1488744198707</v>
      </c>
      <c r="BN63" s="180">
        <f>SUM(BN58:BN61)</f>
        <v>2092.8342954185814</v>
      </c>
      <c r="BO63" s="180">
        <f>SUM(BO58:BO61)</f>
        <v>2771.5816445932232</v>
      </c>
      <c r="BP63" s="180">
        <f>SUM(BP58:BP61)</f>
        <v>2541.8800359343136</v>
      </c>
      <c r="BS63" s="134"/>
    </row>
    <row r="64" spans="3:71" x14ac:dyDescent="0.3">
      <c r="C64" s="133"/>
      <c r="D64" s="124" t="s">
        <v>194</v>
      </c>
      <c r="E64" s="124">
        <f>E62/E63</f>
        <v>1.0406507783021721</v>
      </c>
      <c r="F64" s="124">
        <f>F62/F63</f>
        <v>1.0913588067419808</v>
      </c>
      <c r="G64" s="124">
        <f>G62/G63</f>
        <v>0.89564559587114334</v>
      </c>
      <c r="H64" s="124">
        <f>H62/H63</f>
        <v>0.89580107378848151</v>
      </c>
      <c r="K64" s="134"/>
      <c r="M64" s="133"/>
      <c r="N64" s="124" t="s">
        <v>194</v>
      </c>
      <c r="O64" s="124">
        <f>O62/O63</f>
        <v>1.0421587102510186</v>
      </c>
      <c r="P64" s="124">
        <f>P62/P63</f>
        <v>1.0821921827471421</v>
      </c>
      <c r="Q64" s="124">
        <f>Q62/Q63</f>
        <v>0.95320597271888396</v>
      </c>
      <c r="R64" s="124">
        <f>R62/R63</f>
        <v>0.95352585864603612</v>
      </c>
      <c r="U64" s="134"/>
      <c r="AG64" s="133"/>
      <c r="AH64" s="124" t="s">
        <v>194</v>
      </c>
      <c r="AI64" s="124">
        <f>AI62/AI63</f>
        <v>1.0435811137730571</v>
      </c>
      <c r="AJ64" s="124">
        <f>AJ62/AJ63</f>
        <v>1.0863188845288954</v>
      </c>
      <c r="AK64" s="124">
        <f>AK62/AK63</f>
        <v>0.95129753789922755</v>
      </c>
      <c r="AL64" s="124">
        <f>AL62/AL63</f>
        <v>0.95164355859509497</v>
      </c>
      <c r="AO64" s="134"/>
      <c r="BA64" s="133"/>
      <c r="BB64" s="124" t="s">
        <v>194</v>
      </c>
      <c r="BC64" s="124">
        <f>BC62/BC63</f>
        <v>1.0448325453133767</v>
      </c>
      <c r="BD64" s="124">
        <f>BD62/BD63</f>
        <v>1.0901405156392086</v>
      </c>
      <c r="BE64" s="124">
        <f>BE62/BE63</f>
        <v>0.94954697535736476</v>
      </c>
      <c r="BF64" s="124">
        <f>BF62/BF63</f>
        <v>0.94991826432222082</v>
      </c>
      <c r="BI64" s="134"/>
      <c r="BK64" s="133"/>
      <c r="BL64" s="124" t="s">
        <v>194</v>
      </c>
      <c r="BM64" s="124">
        <f>BM62/BM63</f>
        <v>1.1086693714476861</v>
      </c>
      <c r="BN64" s="124">
        <f>BN62/BN63</f>
        <v>1.1580263344842407</v>
      </c>
      <c r="BO64" s="124">
        <f>BO62/BO63</f>
        <v>1.006146845365677</v>
      </c>
      <c r="BP64" s="124">
        <f>BP62/BP63</f>
        <v>1.0065536176866632</v>
      </c>
      <c r="BS64" s="134"/>
    </row>
    <row r="67" spans="3:21" x14ac:dyDescent="0.3">
      <c r="C67" s="133" t="s">
        <v>245</v>
      </c>
      <c r="K67" s="134"/>
      <c r="M67" s="133" t="s">
        <v>245</v>
      </c>
      <c r="U67" s="134"/>
    </row>
    <row r="68" spans="3:21" x14ac:dyDescent="0.3">
      <c r="C68" s="133"/>
      <c r="D68" s="136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4" t="s">
        <v>198</v>
      </c>
      <c r="J68" s="124" t="s">
        <v>197</v>
      </c>
      <c r="K68" s="134" t="s">
        <v>194</v>
      </c>
      <c r="M68" s="133"/>
      <c r="N68" s="136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4" t="s">
        <v>198</v>
      </c>
      <c r="T68" s="124" t="s">
        <v>197</v>
      </c>
      <c r="U68" s="134" t="s">
        <v>194</v>
      </c>
    </row>
    <row r="69" spans="3:21" x14ac:dyDescent="0.3">
      <c r="C69" s="133"/>
      <c r="D69" s="4" t="s">
        <v>11</v>
      </c>
      <c r="E69" s="147">
        <f>E58*E$64</f>
        <v>1258.0717610591685</v>
      </c>
      <c r="F69" s="147">
        <f t="shared" ref="F69:H69" si="107">F58*F$64</f>
        <v>0</v>
      </c>
      <c r="G69" s="147">
        <f t="shared" si="107"/>
        <v>367.3831778803185</v>
      </c>
      <c r="H69" s="147">
        <f t="shared" si="107"/>
        <v>385.98633636755318</v>
      </c>
      <c r="I69" s="124">
        <f>I58</f>
        <v>2050</v>
      </c>
      <c r="J69" s="180">
        <f>SUM(E69:H69)</f>
        <v>2011.4412753070401</v>
      </c>
      <c r="K69" s="134">
        <f>I69/J69</f>
        <v>1.0191696994420452</v>
      </c>
      <c r="M69" s="133"/>
      <c r="N69" s="4" t="s">
        <v>11</v>
      </c>
      <c r="O69" s="147">
        <f>O58*O$64</f>
        <v>531.58419021999555</v>
      </c>
      <c r="P69" s="147">
        <f t="shared" ref="P69:R69" si="108">P58*P$64</f>
        <v>0</v>
      </c>
      <c r="Q69" s="147">
        <f t="shared" si="108"/>
        <v>835.46176582772671</v>
      </c>
      <c r="R69" s="147">
        <f t="shared" si="108"/>
        <v>763.00288891468199</v>
      </c>
      <c r="S69" s="124">
        <f>S58</f>
        <v>2186.7465511512801</v>
      </c>
      <c r="T69" s="180">
        <f>SUM(O69:R69)</f>
        <v>2130.0488449624045</v>
      </c>
      <c r="U69" s="134">
        <f>S69/T69</f>
        <v>1.0266180310010105</v>
      </c>
    </row>
    <row r="70" spans="3:21" x14ac:dyDescent="0.3">
      <c r="C70" s="133"/>
      <c r="D70" s="4" t="s">
        <v>12</v>
      </c>
      <c r="E70" s="147">
        <f t="shared" ref="E70:H70" si="109">E59*E$64</f>
        <v>0</v>
      </c>
      <c r="F70" s="147">
        <f t="shared" si="109"/>
        <v>551.32912968751623</v>
      </c>
      <c r="G70" s="147">
        <f t="shared" si="109"/>
        <v>674.7840807622091</v>
      </c>
      <c r="H70" s="147">
        <f t="shared" si="109"/>
        <v>708.95307911294947</v>
      </c>
      <c r="I70" s="124">
        <f>I59</f>
        <v>2050</v>
      </c>
      <c r="J70" s="180">
        <f>SUM(E70:H70)</f>
        <v>1935.0662895626747</v>
      </c>
      <c r="K70" s="134">
        <f>I70/J70</f>
        <v>1.0593952316038229</v>
      </c>
      <c r="M70" s="133"/>
      <c r="N70" s="4" t="s">
        <v>12</v>
      </c>
      <c r="O70" s="147">
        <f t="shared" ref="O70:R70" si="110">O59*O$64</f>
        <v>0</v>
      </c>
      <c r="P70" s="147">
        <f t="shared" si="110"/>
        <v>154.31854414954574</v>
      </c>
      <c r="Q70" s="147">
        <f t="shared" si="110"/>
        <v>1018.5732848163578</v>
      </c>
      <c r="R70" s="147">
        <f t="shared" si="110"/>
        <v>930.23330411322831</v>
      </c>
      <c r="S70" s="124">
        <f>S59</f>
        <v>2186.7465511512801</v>
      </c>
      <c r="T70" s="180">
        <f>SUM(O70:R70)</f>
        <v>2103.125133079132</v>
      </c>
      <c r="U70" s="134">
        <f>S70/T70</f>
        <v>1.0397605528824241</v>
      </c>
    </row>
    <row r="71" spans="3:21" x14ac:dyDescent="0.3">
      <c r="C71" s="133"/>
      <c r="D71" s="4" t="s">
        <v>13</v>
      </c>
      <c r="E71" s="147">
        <f t="shared" ref="E71:H71" si="111">E60*E$64</f>
        <v>386.19926601518415</v>
      </c>
      <c r="F71" s="147">
        <f t="shared" si="111"/>
        <v>730.85610747650355</v>
      </c>
      <c r="G71" s="147">
        <f t="shared" si="111"/>
        <v>11.83274135747229</v>
      </c>
      <c r="H71" s="147">
        <f t="shared" si="111"/>
        <v>0</v>
      </c>
      <c r="I71" s="124">
        <f>I60</f>
        <v>1054</v>
      </c>
      <c r="J71" s="180">
        <f>SUM(E71:H71)</f>
        <v>1128.88811484916</v>
      </c>
      <c r="K71" s="134">
        <f>I71/J71</f>
        <v>0.93366205750233588</v>
      </c>
      <c r="M71" s="133"/>
      <c r="N71" s="4" t="s">
        <v>13</v>
      </c>
      <c r="O71" s="147">
        <f t="shared" ref="O71:R71" si="112">O60*O$64</f>
        <v>386.76089184140102</v>
      </c>
      <c r="P71" s="147">
        <f t="shared" si="112"/>
        <v>730.43804587337797</v>
      </c>
      <c r="Q71" s="147">
        <f t="shared" si="112"/>
        <v>63.7759816097713</v>
      </c>
      <c r="R71" s="147">
        <f t="shared" si="112"/>
        <v>0</v>
      </c>
      <c r="S71" s="124">
        <f>S60</f>
        <v>1112.9834646689119</v>
      </c>
      <c r="T71" s="180">
        <f>SUM(O71:R71)</f>
        <v>1180.9749193245505</v>
      </c>
      <c r="U71" s="134">
        <f>S71/T71</f>
        <v>0.94242768957826317</v>
      </c>
    </row>
    <row r="72" spans="3:21" x14ac:dyDescent="0.3">
      <c r="C72" s="133"/>
      <c r="D72" s="4" t="s">
        <v>14</v>
      </c>
      <c r="E72" s="147">
        <f t="shared" ref="E72:H72" si="113">E61*E$64</f>
        <v>405.72897292564727</v>
      </c>
      <c r="F72" s="147">
        <f t="shared" si="113"/>
        <v>767.81476283598033</v>
      </c>
      <c r="G72" s="147">
        <f t="shared" si="113"/>
        <v>0</v>
      </c>
      <c r="H72" s="147">
        <f t="shared" si="113"/>
        <v>13.060584519497397</v>
      </c>
      <c r="I72" s="124">
        <f>I61</f>
        <v>1108</v>
      </c>
      <c r="J72" s="180">
        <f>SUM(E72:H72)</f>
        <v>1186.604320281125</v>
      </c>
      <c r="K72" s="134">
        <f>I72/J72</f>
        <v>0.93375692390661247</v>
      </c>
      <c r="M72" s="133"/>
      <c r="N72" s="4" t="s">
        <v>14</v>
      </c>
      <c r="O72" s="147">
        <f t="shared" ref="O72:R72" si="114">O61*O$64</f>
        <v>409.66732290055938</v>
      </c>
      <c r="P72" s="147">
        <f t="shared" si="114"/>
        <v>773.69921600131863</v>
      </c>
      <c r="Q72" s="147">
        <f t="shared" si="114"/>
        <v>0</v>
      </c>
      <c r="R72" s="147">
        <f t="shared" si="114"/>
        <v>61.694368809238171</v>
      </c>
      <c r="S72" s="124">
        <f>S61</f>
        <v>1172.7332381057306</v>
      </c>
      <c r="T72" s="180">
        <f>SUM(O72:R72)</f>
        <v>1245.060907711116</v>
      </c>
      <c r="U72" s="134">
        <f>S72/T72</f>
        <v>0.94190832821315507</v>
      </c>
    </row>
    <row r="73" spans="3:21" x14ac:dyDescent="0.3">
      <c r="C73" s="133"/>
      <c r="D73" s="124" t="s">
        <v>196</v>
      </c>
      <c r="E73" s="124">
        <f>E62</f>
        <v>2050</v>
      </c>
      <c r="F73" s="124">
        <f>F62</f>
        <v>2050</v>
      </c>
      <c r="G73" s="124">
        <f>G62</f>
        <v>1054</v>
      </c>
      <c r="H73" s="124">
        <f>H62</f>
        <v>1108</v>
      </c>
      <c r="K73" s="134"/>
      <c r="M73" s="133"/>
      <c r="N73" s="124" t="s">
        <v>196</v>
      </c>
      <c r="O73" s="124">
        <f>O62</f>
        <v>1328.012404961956</v>
      </c>
      <c r="P73" s="124">
        <f>P62</f>
        <v>1658.4558060242425</v>
      </c>
      <c r="Q73" s="124">
        <f>Q62</f>
        <v>1917.811032253856</v>
      </c>
      <c r="R73" s="124">
        <f>R62</f>
        <v>1754.9305618371486</v>
      </c>
      <c r="U73" s="134"/>
    </row>
    <row r="74" spans="3:21" x14ac:dyDescent="0.3">
      <c r="C74" s="133"/>
      <c r="D74" s="124" t="s">
        <v>195</v>
      </c>
      <c r="E74" s="180">
        <f>SUM(E69:E72)</f>
        <v>2050</v>
      </c>
      <c r="F74" s="180">
        <f>SUM(F69:F72)</f>
        <v>2050</v>
      </c>
      <c r="G74" s="180">
        <f>SUM(G69:G72)</f>
        <v>1053.9999999999998</v>
      </c>
      <c r="H74" s="180">
        <f>SUM(H69:H72)</f>
        <v>1108</v>
      </c>
      <c r="K74" s="134"/>
      <c r="M74" s="133"/>
      <c r="N74" s="124" t="s">
        <v>195</v>
      </c>
      <c r="O74" s="180">
        <f>SUM(O69:O72)</f>
        <v>1328.012404961956</v>
      </c>
      <c r="P74" s="180">
        <f>SUM(P69:P72)</f>
        <v>1658.4558060242425</v>
      </c>
      <c r="Q74" s="180">
        <f>SUM(Q69:Q72)</f>
        <v>1917.811032253856</v>
      </c>
      <c r="R74" s="180">
        <f>SUM(R69:R72)</f>
        <v>1754.9305618371484</v>
      </c>
      <c r="U74" s="134"/>
    </row>
    <row r="75" spans="3:21" x14ac:dyDescent="0.3">
      <c r="C75" s="133"/>
      <c r="D75" s="124" t="s">
        <v>194</v>
      </c>
      <c r="E75" s="124">
        <f>E73/E74</f>
        <v>1</v>
      </c>
      <c r="F75" s="124">
        <f>F73/F74</f>
        <v>1</v>
      </c>
      <c r="G75" s="124">
        <f>G73/G74</f>
        <v>1.0000000000000002</v>
      </c>
      <c r="H75" s="124">
        <f>H73/H74</f>
        <v>1</v>
      </c>
      <c r="K75" s="134"/>
      <c r="M75" s="133"/>
      <c r="N75" s="124" t="s">
        <v>194</v>
      </c>
      <c r="O75" s="124">
        <f>O73/O74</f>
        <v>1</v>
      </c>
      <c r="P75" s="124">
        <f>P73/P74</f>
        <v>1</v>
      </c>
      <c r="Q75" s="124">
        <f>Q73/Q74</f>
        <v>1</v>
      </c>
      <c r="R75" s="124">
        <f>R73/R74</f>
        <v>1.0000000000000002</v>
      </c>
      <c r="U75" s="134"/>
    </row>
    <row r="78" spans="3:21" x14ac:dyDescent="0.3">
      <c r="C78" s="133" t="s">
        <v>246</v>
      </c>
      <c r="K78" s="134"/>
      <c r="M78" s="133" t="s">
        <v>246</v>
      </c>
      <c r="U78" s="134"/>
    </row>
    <row r="79" spans="3:21" x14ac:dyDescent="0.3">
      <c r="C79" s="133"/>
      <c r="D79" s="136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4" t="s">
        <v>198</v>
      </c>
      <c r="J79" s="124" t="s">
        <v>197</v>
      </c>
      <c r="K79" s="134" t="s">
        <v>194</v>
      </c>
      <c r="M79" s="133"/>
      <c r="N79" s="136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4" t="s">
        <v>198</v>
      </c>
      <c r="T79" s="124" t="s">
        <v>197</v>
      </c>
      <c r="U79" s="134" t="s">
        <v>194</v>
      </c>
    </row>
    <row r="80" spans="3:21" x14ac:dyDescent="0.3">
      <c r="C80" s="133"/>
      <c r="D80" s="4" t="s">
        <v>11</v>
      </c>
      <c r="E80" s="147">
        <f>E69*$K69</f>
        <v>1282.1886185951971</v>
      </c>
      <c r="F80" s="147">
        <f t="shared" ref="F80:H80" si="115">F69*$K69</f>
        <v>0</v>
      </c>
      <c r="G80" s="147">
        <f t="shared" si="115"/>
        <v>374.42580298034761</v>
      </c>
      <c r="H80" s="147">
        <f t="shared" si="115"/>
        <v>393.38557842445533</v>
      </c>
      <c r="I80" s="124">
        <f>I69</f>
        <v>2050</v>
      </c>
      <c r="J80" s="180">
        <f>SUM(E80:H80)</f>
        <v>2050</v>
      </c>
      <c r="K80" s="134">
        <f>I80/J80</f>
        <v>1</v>
      </c>
      <c r="M80" s="133"/>
      <c r="N80" s="4" t="s">
        <v>11</v>
      </c>
      <c r="O80" s="147">
        <f>O69*$U69</f>
        <v>545.73391467491842</v>
      </c>
      <c r="P80" s="147">
        <f t="shared" ref="P80:R80" si="116">P69*$U69</f>
        <v>0</v>
      </c>
      <c r="Q80" s="147">
        <f t="shared" si="116"/>
        <v>857.70011301068803</v>
      </c>
      <c r="R80" s="147">
        <f t="shared" si="116"/>
        <v>783.31252346567351</v>
      </c>
      <c r="S80" s="124">
        <f>S69</f>
        <v>2186.7465511512801</v>
      </c>
      <c r="T80" s="180">
        <f>SUM(O80:R80)</f>
        <v>2186.7465511512801</v>
      </c>
      <c r="U80" s="134">
        <f>S80/T80</f>
        <v>1</v>
      </c>
    </row>
    <row r="81" spans="3:21" x14ac:dyDescent="0.3">
      <c r="C81" s="133"/>
      <c r="D81" s="4" t="s">
        <v>12</v>
      </c>
      <c r="E81" s="147">
        <f t="shared" ref="E81:H81" si="117">E70*$K70</f>
        <v>0</v>
      </c>
      <c r="F81" s="147">
        <f t="shared" si="117"/>
        <v>584.07545103524035</v>
      </c>
      <c r="G81" s="147">
        <f t="shared" si="117"/>
        <v>714.86303752165327</v>
      </c>
      <c r="H81" s="147">
        <f t="shared" si="117"/>
        <v>751.0615114431065</v>
      </c>
      <c r="I81" s="124">
        <f>I70</f>
        <v>2050</v>
      </c>
      <c r="J81" s="180">
        <f>SUM(E81:H81)</f>
        <v>2050</v>
      </c>
      <c r="K81" s="134">
        <f>I81/J81</f>
        <v>1</v>
      </c>
      <c r="M81" s="133"/>
      <c r="N81" s="4" t="s">
        <v>12</v>
      </c>
      <c r="O81" s="147">
        <f t="shared" ref="O81:R81" si="118">O70*$U70</f>
        <v>0</v>
      </c>
      <c r="P81" s="147">
        <f t="shared" si="118"/>
        <v>160.45433478494246</v>
      </c>
      <c r="Q81" s="147">
        <f t="shared" si="118"/>
        <v>1059.072321771923</v>
      </c>
      <c r="R81" s="147">
        <f t="shared" si="118"/>
        <v>967.21989459441443</v>
      </c>
      <c r="S81" s="124">
        <f>S70</f>
        <v>2186.7465511512801</v>
      </c>
      <c r="T81" s="180">
        <f>SUM(O81:R81)</f>
        <v>2186.7465511512801</v>
      </c>
      <c r="U81" s="134">
        <f>S81/T81</f>
        <v>1</v>
      </c>
    </row>
    <row r="82" spans="3:21" x14ac:dyDescent="0.3">
      <c r="C82" s="133"/>
      <c r="D82" s="4" t="s">
        <v>13</v>
      </c>
      <c r="E82" s="147">
        <f t="shared" ref="E82:H82" si="119">E71*$K71</f>
        <v>360.57960131362876</v>
      </c>
      <c r="F82" s="147">
        <f t="shared" si="119"/>
        <v>682.37261704466061</v>
      </c>
      <c r="G82" s="147">
        <f t="shared" si="119"/>
        <v>11.047781641710561</v>
      </c>
      <c r="H82" s="147">
        <f t="shared" si="119"/>
        <v>0</v>
      </c>
      <c r="I82" s="124">
        <f>I71</f>
        <v>1054</v>
      </c>
      <c r="J82" s="180">
        <f>SUM(E82:H82)</f>
        <v>1054</v>
      </c>
      <c r="K82" s="134">
        <f>I82/J82</f>
        <v>1</v>
      </c>
      <c r="M82" s="133"/>
      <c r="N82" s="4" t="s">
        <v>13</v>
      </c>
      <c r="O82" s="147">
        <f t="shared" ref="O82:R82" si="120">O71*$U71</f>
        <v>364.49417371732011</v>
      </c>
      <c r="P82" s="147">
        <f t="shared" si="120"/>
        <v>688.38503995250903</v>
      </c>
      <c r="Q82" s="147">
        <f t="shared" si="120"/>
        <v>60.104250999082566</v>
      </c>
      <c r="R82" s="147">
        <f t="shared" si="120"/>
        <v>0</v>
      </c>
      <c r="S82" s="124">
        <f>S71</f>
        <v>1112.9834646689119</v>
      </c>
      <c r="T82" s="180">
        <f>SUM(O82:R82)</f>
        <v>1112.9834646689117</v>
      </c>
      <c r="U82" s="134">
        <f>S82/T82</f>
        <v>1.0000000000000002</v>
      </c>
    </row>
    <row r="83" spans="3:21" x14ac:dyDescent="0.3">
      <c r="C83" s="133"/>
      <c r="D83" s="4" t="s">
        <v>14</v>
      </c>
      <c r="E83" s="147">
        <f t="shared" ref="E83:H83" si="121">E72*$K72</f>
        <v>378.85223769884163</v>
      </c>
      <c r="F83" s="147">
        <f t="shared" si="121"/>
        <v>716.95235107581016</v>
      </c>
      <c r="G83" s="147">
        <f t="shared" si="121"/>
        <v>0</v>
      </c>
      <c r="H83" s="147">
        <f t="shared" si="121"/>
        <v>12.195411225348211</v>
      </c>
      <c r="I83" s="124">
        <f>I72</f>
        <v>1108</v>
      </c>
      <c r="J83" s="180">
        <f>SUM(E83:H83)</f>
        <v>1108</v>
      </c>
      <c r="K83" s="134">
        <f>I83/J83</f>
        <v>1</v>
      </c>
      <c r="M83" s="133"/>
      <c r="N83" s="4" t="s">
        <v>14</v>
      </c>
      <c r="O83" s="147">
        <f t="shared" ref="O83:R83" si="122">O72*$U72</f>
        <v>385.86906323682467</v>
      </c>
      <c r="P83" s="147">
        <f t="shared" si="122"/>
        <v>728.75373508363077</v>
      </c>
      <c r="Q83" s="147">
        <f t="shared" si="122"/>
        <v>0</v>
      </c>
      <c r="R83" s="147">
        <f t="shared" si="122"/>
        <v>58.110439785275346</v>
      </c>
      <c r="S83" s="124">
        <f>S72</f>
        <v>1172.7332381057306</v>
      </c>
      <c r="T83" s="180">
        <f>SUM(O83:R83)</f>
        <v>1172.7332381057306</v>
      </c>
      <c r="U83" s="134">
        <f>S83/T83</f>
        <v>1</v>
      </c>
    </row>
    <row r="84" spans="3:21" x14ac:dyDescent="0.3">
      <c r="C84" s="133"/>
      <c r="D84" s="124" t="s">
        <v>196</v>
      </c>
      <c r="E84" s="124">
        <f>E73</f>
        <v>2050</v>
      </c>
      <c r="F84" s="124">
        <f>F73</f>
        <v>2050</v>
      </c>
      <c r="G84" s="124">
        <f>G73</f>
        <v>1054</v>
      </c>
      <c r="H84" s="124">
        <f>H73</f>
        <v>1108</v>
      </c>
      <c r="K84" s="134"/>
      <c r="M84" s="133"/>
      <c r="N84" s="124" t="s">
        <v>196</v>
      </c>
      <c r="O84" s="124">
        <f>O73</f>
        <v>1328.012404961956</v>
      </c>
      <c r="P84" s="124">
        <f>P73</f>
        <v>1658.4558060242425</v>
      </c>
      <c r="Q84" s="124">
        <f>Q73</f>
        <v>1917.811032253856</v>
      </c>
      <c r="R84" s="124">
        <f>R73</f>
        <v>1754.9305618371486</v>
      </c>
      <c r="U84" s="134"/>
    </row>
    <row r="85" spans="3:21" x14ac:dyDescent="0.3">
      <c r="C85" s="133"/>
      <c r="D85" s="124" t="s">
        <v>195</v>
      </c>
      <c r="E85" s="180">
        <f>SUM(E80:E83)</f>
        <v>2021.6204576076675</v>
      </c>
      <c r="F85" s="180">
        <f>SUM(F80:F83)</f>
        <v>1983.4004191557112</v>
      </c>
      <c r="G85" s="180">
        <f>SUM(G80:G83)</f>
        <v>1100.3366221437113</v>
      </c>
      <c r="H85" s="180">
        <f>SUM(H80:H83)</f>
        <v>1156.6425010929099</v>
      </c>
      <c r="K85" s="134"/>
      <c r="M85" s="133"/>
      <c r="N85" s="124" t="s">
        <v>195</v>
      </c>
      <c r="O85" s="180">
        <f>SUM(O80:O83)</f>
        <v>1296.0971516290633</v>
      </c>
      <c r="P85" s="180">
        <f>SUM(P80:P83)</f>
        <v>1577.5931098210822</v>
      </c>
      <c r="Q85" s="180">
        <f>SUM(Q80:Q83)</f>
        <v>1976.8766857816936</v>
      </c>
      <c r="R85" s="180">
        <f>SUM(R80:R83)</f>
        <v>1808.6428578453631</v>
      </c>
      <c r="U85" s="134"/>
    </row>
    <row r="86" spans="3:21" x14ac:dyDescent="0.3">
      <c r="C86" s="133"/>
      <c r="D86" s="124" t="s">
        <v>194</v>
      </c>
      <c r="E86" s="124">
        <f>E84/E85</f>
        <v>1.0140380170202254</v>
      </c>
      <c r="F86" s="124">
        <f>F84/F85</f>
        <v>1.0335784848087501</v>
      </c>
      <c r="G86" s="124">
        <f>G84/G85</f>
        <v>0.95788868496130131</v>
      </c>
      <c r="H86" s="124">
        <f>H84/H85</f>
        <v>0.95794508584376958</v>
      </c>
      <c r="K86" s="134"/>
      <c r="M86" s="133"/>
      <c r="N86" s="124" t="s">
        <v>194</v>
      </c>
      <c r="O86" s="124">
        <f>O84/O85</f>
        <v>1.0246241211878124</v>
      </c>
      <c r="P86" s="124">
        <f>P84/P85</f>
        <v>1.0512570039129616</v>
      </c>
      <c r="Q86" s="124">
        <f>Q84/Q85</f>
        <v>0.97012173093412657</v>
      </c>
      <c r="R86" s="124">
        <f>R84/R85</f>
        <v>0.97030243103262415</v>
      </c>
      <c r="U86" s="134"/>
    </row>
    <row r="89" spans="3:21" x14ac:dyDescent="0.3">
      <c r="C89" s="133" t="s">
        <v>247</v>
      </c>
      <c r="K89" s="134"/>
      <c r="M89" s="133" t="s">
        <v>247</v>
      </c>
      <c r="U89" s="134"/>
    </row>
    <row r="90" spans="3:21" x14ac:dyDescent="0.3">
      <c r="C90" s="133"/>
      <c r="D90" s="136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4" t="s">
        <v>198</v>
      </c>
      <c r="J90" s="124" t="s">
        <v>197</v>
      </c>
      <c r="K90" s="134" t="s">
        <v>194</v>
      </c>
      <c r="M90" s="133"/>
      <c r="N90" s="136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4" t="s">
        <v>198</v>
      </c>
      <c r="T90" s="124" t="s">
        <v>197</v>
      </c>
      <c r="U90" s="134" t="s">
        <v>194</v>
      </c>
    </row>
    <row r="91" spans="3:21" x14ac:dyDescent="0.3">
      <c r="C91" s="133"/>
      <c r="D91" s="4" t="s">
        <v>11</v>
      </c>
      <c r="E91" s="147">
        <f>E80*E$86</f>
        <v>1300.1880042461758</v>
      </c>
      <c r="F91" s="147">
        <f t="shared" ref="F91:H91" si="123">F80*F$86</f>
        <v>0</v>
      </c>
      <c r="G91" s="147">
        <f t="shared" si="123"/>
        <v>358.65824003242449</v>
      </c>
      <c r="H91" s="147">
        <f t="shared" si="123"/>
        <v>376.84178169351583</v>
      </c>
      <c r="I91" s="124">
        <f>I80</f>
        <v>2050</v>
      </c>
      <c r="J91" s="180">
        <f>SUM(E91:H91)</f>
        <v>2035.6880259721161</v>
      </c>
      <c r="K91" s="134">
        <f>I91/J91</f>
        <v>1.0070305340726506</v>
      </c>
      <c r="M91" s="133"/>
      <c r="N91" s="4" t="s">
        <v>11</v>
      </c>
      <c r="O91" s="147">
        <f>O80*O$86</f>
        <v>559.17213272617289</v>
      </c>
      <c r="P91" s="147">
        <f t="shared" ref="P91:R91" si="124">P80*P$86</f>
        <v>0</v>
      </c>
      <c r="Q91" s="147">
        <f t="shared" si="124"/>
        <v>832.07351825632463</v>
      </c>
      <c r="R91" s="147">
        <f t="shared" si="124"/>
        <v>760.05004577704244</v>
      </c>
      <c r="S91" s="124">
        <f>S80</f>
        <v>2186.7465511512801</v>
      </c>
      <c r="T91" s="180">
        <f>SUM(O91:R91)</f>
        <v>2151.2956967595401</v>
      </c>
      <c r="U91" s="134">
        <f>S91/T91</f>
        <v>1.0164788385181727</v>
      </c>
    </row>
    <row r="92" spans="3:21" x14ac:dyDescent="0.3">
      <c r="C92" s="133"/>
      <c r="D92" s="4" t="s">
        <v>12</v>
      </c>
      <c r="E92" s="147">
        <f t="shared" ref="E92:H92" si="125">E81*E$86</f>
        <v>0</v>
      </c>
      <c r="F92" s="147">
        <f t="shared" si="125"/>
        <v>603.68781969499105</v>
      </c>
      <c r="G92" s="147">
        <f t="shared" si="125"/>
        <v>684.75921493905787</v>
      </c>
      <c r="H92" s="147">
        <f t="shared" si="125"/>
        <v>719.47568405331799</v>
      </c>
      <c r="I92" s="124">
        <f>I81</f>
        <v>2050</v>
      </c>
      <c r="J92" s="180">
        <f>SUM(E92:H92)</f>
        <v>2007.922718687367</v>
      </c>
      <c r="K92" s="134">
        <f>I92/J92</f>
        <v>1.0209556278839955</v>
      </c>
      <c r="M92" s="133"/>
      <c r="N92" s="4" t="s">
        <v>12</v>
      </c>
      <c r="O92" s="147">
        <f t="shared" ref="O92:R92" si="126">O81*O$86</f>
        <v>0</v>
      </c>
      <c r="P92" s="147">
        <f t="shared" si="126"/>
        <v>168.67874325086592</v>
      </c>
      <c r="Q92" s="147">
        <f t="shared" si="126"/>
        <v>1027.4290739818023</v>
      </c>
      <c r="R92" s="147">
        <f t="shared" si="126"/>
        <v>938.49581506807885</v>
      </c>
      <c r="S92" s="124">
        <f>S81</f>
        <v>2186.7465511512801</v>
      </c>
      <c r="T92" s="180">
        <f>SUM(O92:R92)</f>
        <v>2134.603632300747</v>
      </c>
      <c r="U92" s="134">
        <f>S92/T92</f>
        <v>1.024427447822869</v>
      </c>
    </row>
    <row r="93" spans="3:21" x14ac:dyDescent="0.3">
      <c r="C93" s="133"/>
      <c r="D93" s="4" t="s">
        <v>13</v>
      </c>
      <c r="E93" s="147">
        <f t="shared" ref="E93:H93" si="127">E82*E$86</f>
        <v>365.64142389401559</v>
      </c>
      <c r="F93" s="147">
        <f t="shared" si="127"/>
        <v>705.28565560000186</v>
      </c>
      <c r="G93" s="147">
        <f t="shared" si="127"/>
        <v>10.582545028517735</v>
      </c>
      <c r="H93" s="147">
        <f t="shared" si="127"/>
        <v>0</v>
      </c>
      <c r="I93" s="124">
        <f>I82</f>
        <v>1054</v>
      </c>
      <c r="J93" s="180">
        <f>SUM(E93:H93)</f>
        <v>1081.5096245225352</v>
      </c>
      <c r="K93" s="134">
        <f>I93/J93</f>
        <v>0.97456368034202179</v>
      </c>
      <c r="M93" s="133"/>
      <c r="N93" s="4" t="s">
        <v>13</v>
      </c>
      <c r="O93" s="147">
        <f t="shared" ref="O93:R93" si="128">O82*O$86</f>
        <v>373.46952242318696</v>
      </c>
      <c r="P93" s="147">
        <f t="shared" si="128"/>
        <v>723.66959463897899</v>
      </c>
      <c r="Q93" s="147">
        <f t="shared" si="128"/>
        <v>58.308440015729182</v>
      </c>
      <c r="R93" s="147">
        <f t="shared" si="128"/>
        <v>0</v>
      </c>
      <c r="S93" s="124">
        <f>S82</f>
        <v>1112.9834646689119</v>
      </c>
      <c r="T93" s="180">
        <f>SUM(O93:R93)</f>
        <v>1155.4475570778952</v>
      </c>
      <c r="U93" s="134">
        <f>S93/T93</f>
        <v>0.96324879294706012</v>
      </c>
    </row>
    <row r="94" spans="3:21" x14ac:dyDescent="0.3">
      <c r="C94" s="133"/>
      <c r="D94" s="4" t="s">
        <v>14</v>
      </c>
      <c r="E94" s="147">
        <f t="shared" ref="E94:H94" si="129">E83*E$86</f>
        <v>384.17057185980849</v>
      </c>
      <c r="F94" s="147">
        <f t="shared" si="129"/>
        <v>741.02652470500698</v>
      </c>
      <c r="G94" s="147">
        <f t="shared" si="129"/>
        <v>0</v>
      </c>
      <c r="H94" s="147">
        <f t="shared" si="129"/>
        <v>11.682534253166263</v>
      </c>
      <c r="I94" s="124">
        <f>I83</f>
        <v>1108</v>
      </c>
      <c r="J94" s="180">
        <f>SUM(E94:H94)</f>
        <v>1136.8796308179817</v>
      </c>
      <c r="K94" s="134">
        <f>I94/J94</f>
        <v>0.97459745954177845</v>
      </c>
      <c r="M94" s="133"/>
      <c r="N94" s="4" t="s">
        <v>14</v>
      </c>
      <c r="O94" s="147">
        <f t="shared" ref="O94:R94" si="130">O83*O$86</f>
        <v>395.37074981259588</v>
      </c>
      <c r="P94" s="147">
        <f t="shared" si="130"/>
        <v>766.10746813439778</v>
      </c>
      <c r="Q94" s="147">
        <f t="shared" si="130"/>
        <v>0</v>
      </c>
      <c r="R94" s="147">
        <f t="shared" si="130"/>
        <v>56.384700992027589</v>
      </c>
      <c r="S94" s="124">
        <f>S83</f>
        <v>1172.7332381057306</v>
      </c>
      <c r="T94" s="180">
        <f>SUM(O94:R94)</f>
        <v>1217.8629189390213</v>
      </c>
      <c r="U94" s="134">
        <f>S94/T94</f>
        <v>0.9629435463290017</v>
      </c>
    </row>
    <row r="95" spans="3:21" x14ac:dyDescent="0.3">
      <c r="C95" s="133"/>
      <c r="D95" s="124" t="s">
        <v>196</v>
      </c>
      <c r="E95" s="124">
        <f>E84</f>
        <v>2050</v>
      </c>
      <c r="F95" s="124">
        <f>F84</f>
        <v>2050</v>
      </c>
      <c r="G95" s="124">
        <f>G84</f>
        <v>1054</v>
      </c>
      <c r="H95" s="124">
        <f>H84</f>
        <v>1108</v>
      </c>
      <c r="K95" s="134"/>
      <c r="M95" s="133"/>
      <c r="N95" s="124" t="s">
        <v>196</v>
      </c>
      <c r="O95" s="124">
        <f>O84</f>
        <v>1328.012404961956</v>
      </c>
      <c r="P95" s="124">
        <f>P84</f>
        <v>1658.4558060242425</v>
      </c>
      <c r="Q95" s="124">
        <f>Q84</f>
        <v>1917.811032253856</v>
      </c>
      <c r="R95" s="124">
        <f>R84</f>
        <v>1754.9305618371486</v>
      </c>
      <c r="U95" s="134"/>
    </row>
    <row r="96" spans="3:21" x14ac:dyDescent="0.3">
      <c r="C96" s="133"/>
      <c r="D96" s="124" t="s">
        <v>195</v>
      </c>
      <c r="E96" s="180">
        <f>SUM(E91:E94)</f>
        <v>2050</v>
      </c>
      <c r="F96" s="180">
        <f>SUM(F91:F94)</f>
        <v>2050</v>
      </c>
      <c r="G96" s="180">
        <f>SUM(G91:G94)</f>
        <v>1054</v>
      </c>
      <c r="H96" s="180">
        <f>SUM(H91:H94)</f>
        <v>1108.0000000000002</v>
      </c>
      <c r="K96" s="134"/>
      <c r="M96" s="133"/>
      <c r="N96" s="124" t="s">
        <v>195</v>
      </c>
      <c r="O96" s="180">
        <f>SUM(O91:O94)</f>
        <v>1328.0124049619558</v>
      </c>
      <c r="P96" s="180">
        <f>SUM(P91:P94)</f>
        <v>1658.4558060242427</v>
      </c>
      <c r="Q96" s="180">
        <f>SUM(Q91:Q94)</f>
        <v>1917.8110322538562</v>
      </c>
      <c r="R96" s="180">
        <f>SUM(R91:R94)</f>
        <v>1754.9305618371488</v>
      </c>
      <c r="U96" s="134"/>
    </row>
    <row r="97" spans="3:21" x14ac:dyDescent="0.3">
      <c r="C97" s="133"/>
      <c r="D97" s="124" t="s">
        <v>194</v>
      </c>
      <c r="E97" s="124">
        <f>E95/E96</f>
        <v>1</v>
      </c>
      <c r="F97" s="124">
        <f>F95/F96</f>
        <v>1</v>
      </c>
      <c r="G97" s="124">
        <f>G95/G96</f>
        <v>1</v>
      </c>
      <c r="H97" s="124">
        <f>H95/H96</f>
        <v>0.99999999999999978</v>
      </c>
      <c r="K97" s="134"/>
      <c r="M97" s="133"/>
      <c r="N97" s="124" t="s">
        <v>194</v>
      </c>
      <c r="O97" s="124">
        <f>O95/O96</f>
        <v>1.0000000000000002</v>
      </c>
      <c r="P97" s="124">
        <f>P95/P96</f>
        <v>0.99999999999999989</v>
      </c>
      <c r="Q97" s="124">
        <f>Q95/Q96</f>
        <v>0.99999999999999989</v>
      </c>
      <c r="R97" s="124">
        <f>R95/R96</f>
        <v>0.99999999999999989</v>
      </c>
      <c r="U97" s="134"/>
    </row>
    <row r="100" spans="3:21" x14ac:dyDescent="0.3">
      <c r="C100" s="133" t="s">
        <v>248</v>
      </c>
      <c r="K100" s="134"/>
      <c r="M100" s="133" t="s">
        <v>248</v>
      </c>
      <c r="U100" s="134"/>
    </row>
    <row r="101" spans="3:21" x14ac:dyDescent="0.3">
      <c r="C101" s="133"/>
      <c r="D101" s="136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4" t="s">
        <v>198</v>
      </c>
      <c r="J101" s="124" t="s">
        <v>197</v>
      </c>
      <c r="K101" s="134" t="s">
        <v>194</v>
      </c>
      <c r="M101" s="133"/>
      <c r="N101" s="136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4" t="s">
        <v>198</v>
      </c>
      <c r="T101" s="124" t="s">
        <v>197</v>
      </c>
      <c r="U101" s="134" t="s">
        <v>194</v>
      </c>
    </row>
    <row r="102" spans="3:21" x14ac:dyDescent="0.3">
      <c r="C102" s="133"/>
      <c r="D102" s="4" t="s">
        <v>11</v>
      </c>
      <c r="E102" s="147">
        <f>E91*$K91</f>
        <v>1309.3290203108802</v>
      </c>
      <c r="F102" s="147">
        <f t="shared" ref="F102:H102" si="131">F91*$K91</f>
        <v>0</v>
      </c>
      <c r="G102" s="147">
        <f t="shared" si="131"/>
        <v>361.17979900940935</v>
      </c>
      <c r="H102" s="147">
        <f t="shared" si="131"/>
        <v>379.49118067971045</v>
      </c>
      <c r="I102" s="124">
        <f>I91</f>
        <v>2050</v>
      </c>
      <c r="J102" s="180">
        <f>SUM(E102:H102)</f>
        <v>2050</v>
      </c>
      <c r="K102" s="134">
        <f>I102/J102</f>
        <v>1</v>
      </c>
      <c r="M102" s="133"/>
      <c r="N102" s="4" t="s">
        <v>11</v>
      </c>
      <c r="O102" s="147">
        <f>O91*$U91</f>
        <v>568.38664000522965</v>
      </c>
      <c r="P102" s="147">
        <f t="shared" ref="P102:R102" si="132">P91*$U91</f>
        <v>0</v>
      </c>
      <c r="Q102" s="147">
        <f t="shared" si="132"/>
        <v>845.78512339891836</v>
      </c>
      <c r="R102" s="147">
        <f t="shared" si="132"/>
        <v>772.57478774713206</v>
      </c>
      <c r="S102" s="124">
        <f>S91</f>
        <v>2186.7465511512801</v>
      </c>
      <c r="T102" s="180">
        <f>SUM(O102:R102)</f>
        <v>2186.7465511512801</v>
      </c>
      <c r="U102" s="134">
        <f>S102/T102</f>
        <v>1</v>
      </c>
    </row>
    <row r="103" spans="3:21" x14ac:dyDescent="0.3">
      <c r="C103" s="133"/>
      <c r="D103" s="4" t="s">
        <v>12</v>
      </c>
      <c r="E103" s="147">
        <f t="shared" ref="E103:H103" si="133">E92*$K92</f>
        <v>0</v>
      </c>
      <c r="F103" s="147">
        <f t="shared" si="133"/>
        <v>616.33847700261981</v>
      </c>
      <c r="G103" s="147">
        <f t="shared" si="133"/>
        <v>699.10877423745762</v>
      </c>
      <c r="H103" s="147">
        <f t="shared" si="133"/>
        <v>734.55274875992245</v>
      </c>
      <c r="I103" s="124">
        <f>I92</f>
        <v>2050</v>
      </c>
      <c r="J103" s="180">
        <f>SUM(E103:H103)</f>
        <v>2050</v>
      </c>
      <c r="K103" s="134">
        <f>I103/J103</f>
        <v>1</v>
      </c>
      <c r="M103" s="133"/>
      <c r="N103" s="4" t="s">
        <v>12</v>
      </c>
      <c r="O103" s="147">
        <f t="shared" ref="O103:R103" si="134">O92*$U92</f>
        <v>0</v>
      </c>
      <c r="P103" s="147">
        <f t="shared" si="134"/>
        <v>172.79913445045355</v>
      </c>
      <c r="Q103" s="147">
        <f t="shared" si="134"/>
        <v>1052.5265440781914</v>
      </c>
      <c r="R103" s="147">
        <f t="shared" si="134"/>
        <v>961.42087262263522</v>
      </c>
      <c r="S103" s="124">
        <f>S92</f>
        <v>2186.7465511512801</v>
      </c>
      <c r="T103" s="180">
        <f>SUM(O103:R103)</f>
        <v>2186.7465511512801</v>
      </c>
      <c r="U103" s="134">
        <f>S103/T103</f>
        <v>1</v>
      </c>
    </row>
    <row r="104" spans="3:21" x14ac:dyDescent="0.3">
      <c r="C104" s="133"/>
      <c r="D104" s="4" t="s">
        <v>13</v>
      </c>
      <c r="E104" s="147">
        <f t="shared" ref="E104:H104" si="135">E93*$K93</f>
        <v>356.34085175564911</v>
      </c>
      <c r="F104" s="147">
        <f t="shared" si="135"/>
        <v>687.3457842139735</v>
      </c>
      <c r="G104" s="147">
        <f t="shared" si="135"/>
        <v>10.313364030377411</v>
      </c>
      <c r="H104" s="147">
        <f t="shared" si="135"/>
        <v>0</v>
      </c>
      <c r="I104" s="124">
        <f>I93</f>
        <v>1054</v>
      </c>
      <c r="J104" s="180">
        <f>SUM(E104:H104)</f>
        <v>1054</v>
      </c>
      <c r="K104" s="134">
        <f>I104/J104</f>
        <v>1</v>
      </c>
      <c r="M104" s="133"/>
      <c r="N104" s="4" t="s">
        <v>13</v>
      </c>
      <c r="O104" s="147">
        <f t="shared" ref="O104:R104" si="136">O93*$U93</f>
        <v>359.74406667664982</v>
      </c>
      <c r="P104" s="147">
        <f t="shared" si="136"/>
        <v>697.07386352848482</v>
      </c>
      <c r="Q104" s="147">
        <f t="shared" si="136"/>
        <v>56.165534463777192</v>
      </c>
      <c r="R104" s="147">
        <f t="shared" si="136"/>
        <v>0</v>
      </c>
      <c r="S104" s="124">
        <f>S93</f>
        <v>1112.9834646689119</v>
      </c>
      <c r="T104" s="180">
        <f>SUM(O104:R104)</f>
        <v>1112.9834646689119</v>
      </c>
      <c r="U104" s="134">
        <f>S104/T104</f>
        <v>1</v>
      </c>
    </row>
    <row r="105" spans="3:21" x14ac:dyDescent="0.3">
      <c r="C105" s="133"/>
      <c r="D105" s="4" t="s">
        <v>14</v>
      </c>
      <c r="E105" s="147">
        <f t="shared" ref="E105:H105" si="137">E94*$K94</f>
        <v>374.41166336528158</v>
      </c>
      <c r="F105" s="147">
        <f t="shared" si="137"/>
        <v>722.20256843057268</v>
      </c>
      <c r="G105" s="147">
        <f t="shared" si="137"/>
        <v>0</v>
      </c>
      <c r="H105" s="147">
        <f t="shared" si="137"/>
        <v>11.385768204145648</v>
      </c>
      <c r="I105" s="124">
        <f>I94</f>
        <v>1108</v>
      </c>
      <c r="J105" s="180">
        <f>SUM(E105:H105)</f>
        <v>1108</v>
      </c>
      <c r="K105" s="134">
        <f>I105/J105</f>
        <v>1</v>
      </c>
      <c r="M105" s="133"/>
      <c r="N105" s="4" t="s">
        <v>14</v>
      </c>
      <c r="O105" s="147">
        <f t="shared" ref="O105:R105" si="138">O94*$U94</f>
        <v>380.71971193929755</v>
      </c>
      <c r="P105" s="147">
        <f t="shared" si="138"/>
        <v>737.7182422344697</v>
      </c>
      <c r="Q105" s="147">
        <f t="shared" si="138"/>
        <v>0</v>
      </c>
      <c r="R105" s="147">
        <f t="shared" si="138"/>
        <v>54.295283931963425</v>
      </c>
      <c r="S105" s="124">
        <f>S94</f>
        <v>1172.7332381057306</v>
      </c>
      <c r="T105" s="180">
        <f>SUM(O105:R105)</f>
        <v>1172.7332381057306</v>
      </c>
      <c r="U105" s="134">
        <f>S105/T105</f>
        <v>1</v>
      </c>
    </row>
    <row r="106" spans="3:21" x14ac:dyDescent="0.3">
      <c r="C106" s="133"/>
      <c r="D106" s="124" t="s">
        <v>196</v>
      </c>
      <c r="E106" s="124">
        <f>E95</f>
        <v>2050</v>
      </c>
      <c r="F106" s="124">
        <f>F95</f>
        <v>2050</v>
      </c>
      <c r="G106" s="124">
        <f>G95</f>
        <v>1054</v>
      </c>
      <c r="H106" s="124">
        <f>H95</f>
        <v>1108</v>
      </c>
      <c r="K106" s="134"/>
      <c r="M106" s="133"/>
      <c r="N106" s="124" t="s">
        <v>196</v>
      </c>
      <c r="O106" s="124">
        <f>O95</f>
        <v>1328.012404961956</v>
      </c>
      <c r="P106" s="124">
        <f>P95</f>
        <v>1658.4558060242425</v>
      </c>
      <c r="Q106" s="124">
        <f>Q95</f>
        <v>1917.811032253856</v>
      </c>
      <c r="R106" s="124">
        <f>R95</f>
        <v>1754.9305618371486</v>
      </c>
      <c r="U106" s="134"/>
    </row>
    <row r="107" spans="3:21" x14ac:dyDescent="0.3">
      <c r="C107" s="133"/>
      <c r="D107" s="124" t="s">
        <v>195</v>
      </c>
      <c r="E107" s="180">
        <f>SUM(E102:E105)</f>
        <v>2040.0815354318108</v>
      </c>
      <c r="F107" s="180">
        <f>SUM(F102:F105)</f>
        <v>2025.886829647166</v>
      </c>
      <c r="G107" s="180">
        <f>SUM(G102:G105)</f>
        <v>1070.6019372772444</v>
      </c>
      <c r="H107" s="180">
        <f>SUM(H102:H105)</f>
        <v>1125.4296976437786</v>
      </c>
      <c r="K107" s="134"/>
      <c r="M107" s="133"/>
      <c r="N107" s="124" t="s">
        <v>195</v>
      </c>
      <c r="O107" s="180">
        <f>SUM(O102:O105)</f>
        <v>1308.8504186211771</v>
      </c>
      <c r="P107" s="180">
        <f>SUM(P102:P105)</f>
        <v>1607.5912402134081</v>
      </c>
      <c r="Q107" s="180">
        <f>SUM(Q102:Q105)</f>
        <v>1954.477201940887</v>
      </c>
      <c r="R107" s="180">
        <f>SUM(R102:R105)</f>
        <v>1788.2909443017309</v>
      </c>
      <c r="U107" s="134"/>
    </row>
    <row r="108" spans="3:21" x14ac:dyDescent="0.3">
      <c r="C108" s="133"/>
      <c r="D108" s="124" t="s">
        <v>194</v>
      </c>
      <c r="E108" s="124">
        <f>E106/E107</f>
        <v>1.0048617981173433</v>
      </c>
      <c r="F108" s="124">
        <f>F106/F107</f>
        <v>1.0119025258469319</v>
      </c>
      <c r="G108" s="124">
        <f>G106/G107</f>
        <v>0.98449289441838073</v>
      </c>
      <c r="H108" s="124">
        <f>H106/H107</f>
        <v>0.98451285079799322</v>
      </c>
      <c r="K108" s="134"/>
      <c r="M108" s="133"/>
      <c r="N108" s="124" t="s">
        <v>194</v>
      </c>
      <c r="O108" s="124">
        <f>O106/O107</f>
        <v>1.014640317998267</v>
      </c>
      <c r="P108" s="124">
        <f>P106/P107</f>
        <v>1.0316402357380861</v>
      </c>
      <c r="Q108" s="124">
        <f>Q106/Q107</f>
        <v>0.98123990924497873</v>
      </c>
      <c r="R108" s="124">
        <f>R106/R107</f>
        <v>0.98134510350741144</v>
      </c>
      <c r="U108" s="134"/>
    </row>
    <row r="111" spans="3:21" x14ac:dyDescent="0.3">
      <c r="C111" s="133" t="s">
        <v>249</v>
      </c>
      <c r="K111" s="134"/>
      <c r="M111" s="133" t="s">
        <v>249</v>
      </c>
      <c r="U111" s="134"/>
    </row>
    <row r="112" spans="3:21" x14ac:dyDescent="0.3">
      <c r="C112" s="133"/>
      <c r="D112" s="136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4" t="s">
        <v>198</v>
      </c>
      <c r="J112" s="124" t="s">
        <v>197</v>
      </c>
      <c r="K112" s="134" t="s">
        <v>194</v>
      </c>
      <c r="M112" s="133"/>
      <c r="N112" s="136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4" t="s">
        <v>198</v>
      </c>
      <c r="T112" s="124" t="s">
        <v>197</v>
      </c>
      <c r="U112" s="134" t="s">
        <v>194</v>
      </c>
    </row>
    <row r="113" spans="3:71" x14ac:dyDescent="0.3">
      <c r="C113" s="133"/>
      <c r="D113" s="4" t="s">
        <v>11</v>
      </c>
      <c r="E113" s="147">
        <f>E102*E$108</f>
        <v>1315.6947136768106</v>
      </c>
      <c r="F113" s="147">
        <f t="shared" ref="F113:H113" si="139">F102*F$108</f>
        <v>0</v>
      </c>
      <c r="G113" s="147">
        <f t="shared" si="139"/>
        <v>355.57894573222239</v>
      </c>
      <c r="H113" s="147">
        <f t="shared" si="139"/>
        <v>373.61394414367805</v>
      </c>
      <c r="I113" s="124">
        <f>I102</f>
        <v>2050</v>
      </c>
      <c r="J113" s="180">
        <f>SUM(E113:H113)</f>
        <v>2044.887603552711</v>
      </c>
      <c r="K113" s="134">
        <f>I113/J113</f>
        <v>1.0025000867717164</v>
      </c>
      <c r="M113" s="133"/>
      <c r="N113" s="4" t="s">
        <v>11</v>
      </c>
      <c r="O113" s="147">
        <f>O102*O$108</f>
        <v>576.70800116087275</v>
      </c>
      <c r="P113" s="147">
        <f t="shared" ref="P113:R113" si="140">P102*P$108</f>
        <v>0</v>
      </c>
      <c r="Q113" s="147">
        <f t="shared" si="140"/>
        <v>829.91811772470783</v>
      </c>
      <c r="R113" s="147">
        <f t="shared" si="140"/>
        <v>758.16248504892576</v>
      </c>
      <c r="S113" s="124">
        <f>S102</f>
        <v>2186.7465511512801</v>
      </c>
      <c r="T113" s="180">
        <f>SUM(O113:R113)</f>
        <v>2164.7886039345062</v>
      </c>
      <c r="U113" s="134">
        <f>S113/T113</f>
        <v>1.0101432293097188</v>
      </c>
    </row>
    <row r="114" spans="3:71" x14ac:dyDescent="0.3">
      <c r="C114" s="133"/>
      <c r="D114" s="4" t="s">
        <v>12</v>
      </c>
      <c r="E114" s="147">
        <f t="shared" ref="E114:H114" si="141">E103*E$108</f>
        <v>0</v>
      </c>
      <c r="F114" s="147">
        <f t="shared" si="141"/>
        <v>623.67446165560216</v>
      </c>
      <c r="G114" s="147">
        <f t="shared" si="141"/>
        <v>688.26762066232095</v>
      </c>
      <c r="H114" s="147">
        <f t="shared" si="141"/>
        <v>723.1766207431333</v>
      </c>
      <c r="I114" s="124">
        <f>I103</f>
        <v>2050</v>
      </c>
      <c r="J114" s="180">
        <f>SUM(E114:H114)</f>
        <v>2035.1187030610563</v>
      </c>
      <c r="K114" s="134">
        <f>I114/J114</f>
        <v>1.0073122500994958</v>
      </c>
      <c r="M114" s="133"/>
      <c r="N114" s="4" t="s">
        <v>12</v>
      </c>
      <c r="O114" s="147">
        <f t="shared" ref="O114:R114" si="142">O103*O$108</f>
        <v>0</v>
      </c>
      <c r="P114" s="147">
        <f t="shared" si="142"/>
        <v>178.26653979980313</v>
      </c>
      <c r="Q114" s="147">
        <f t="shared" si="142"/>
        <v>1032.7810505892155</v>
      </c>
      <c r="R114" s="147">
        <f t="shared" si="142"/>
        <v>943.4856657580458</v>
      </c>
      <c r="S114" s="124">
        <f>S103</f>
        <v>2186.7465511512801</v>
      </c>
      <c r="T114" s="180">
        <f>SUM(O114:R114)</f>
        <v>2154.5332561470645</v>
      </c>
      <c r="U114" s="134">
        <f>S114/T114</f>
        <v>1.0149514030068036</v>
      </c>
    </row>
    <row r="115" spans="3:71" x14ac:dyDescent="0.3">
      <c r="C115" s="133"/>
      <c r="D115" s="4" t="s">
        <v>13</v>
      </c>
      <c r="E115" s="147">
        <f t="shared" ref="E115:H115" si="143">E104*E$108</f>
        <v>358.07330903784725</v>
      </c>
      <c r="F115" s="147">
        <f t="shared" si="143"/>
        <v>695.52693517635998</v>
      </c>
      <c r="G115" s="147">
        <f t="shared" si="143"/>
        <v>10.153433605456673</v>
      </c>
      <c r="H115" s="147">
        <f t="shared" si="143"/>
        <v>0</v>
      </c>
      <c r="I115" s="124">
        <f>I104</f>
        <v>1054</v>
      </c>
      <c r="J115" s="180">
        <f>SUM(E115:H115)</f>
        <v>1063.7536778196638</v>
      </c>
      <c r="K115" s="134">
        <f>I115/J115</f>
        <v>0.99083088686503473</v>
      </c>
      <c r="M115" s="133"/>
      <c r="N115" s="4" t="s">
        <v>13</v>
      </c>
      <c r="O115" s="147">
        <f t="shared" ref="O115:R115" si="144">O104*O$108</f>
        <v>365.01083421078573</v>
      </c>
      <c r="P115" s="147">
        <f t="shared" si="144"/>
        <v>719.12944489738447</v>
      </c>
      <c r="Q115" s="147">
        <f t="shared" si="144"/>
        <v>55.111863939932455</v>
      </c>
      <c r="R115" s="147">
        <f t="shared" si="144"/>
        <v>0</v>
      </c>
      <c r="S115" s="124">
        <f>S104</f>
        <v>1112.9834646689119</v>
      </c>
      <c r="T115" s="180">
        <f>SUM(O115:R115)</f>
        <v>1139.2521430481027</v>
      </c>
      <c r="U115" s="134">
        <f>S115/T115</f>
        <v>0.97694217339024869</v>
      </c>
    </row>
    <row r="116" spans="3:71" x14ac:dyDescent="0.3">
      <c r="C116" s="133"/>
      <c r="D116" s="4" t="s">
        <v>14</v>
      </c>
      <c r="E116" s="147">
        <f t="shared" ref="E116:H116" si="145">E105*E$108</f>
        <v>376.23197728534228</v>
      </c>
      <c r="F116" s="147">
        <f t="shared" si="145"/>
        <v>730.7986031680382</v>
      </c>
      <c r="G116" s="147">
        <f t="shared" si="145"/>
        <v>0</v>
      </c>
      <c r="H116" s="147">
        <f t="shared" si="145"/>
        <v>11.209435113188579</v>
      </c>
      <c r="I116" s="124">
        <f>I105</f>
        <v>1108</v>
      </c>
      <c r="J116" s="180">
        <f>SUM(E116:H116)</f>
        <v>1118.2400155665691</v>
      </c>
      <c r="K116" s="134">
        <f>I116/J116</f>
        <v>0.99084273910428711</v>
      </c>
      <c r="M116" s="133"/>
      <c r="N116" s="4" t="s">
        <v>14</v>
      </c>
      <c r="O116" s="147">
        <f t="shared" ref="O116:R116" si="146">O105*O$108</f>
        <v>386.29356959029747</v>
      </c>
      <c r="P116" s="147">
        <f t="shared" si="146"/>
        <v>761.05982132705481</v>
      </c>
      <c r="Q116" s="147">
        <f t="shared" si="146"/>
        <v>0</v>
      </c>
      <c r="R116" s="147">
        <f t="shared" si="146"/>
        <v>53.282411030176938</v>
      </c>
      <c r="S116" s="124">
        <f>S105</f>
        <v>1172.7332381057306</v>
      </c>
      <c r="T116" s="180">
        <f>SUM(O116:R116)</f>
        <v>1200.6358019475292</v>
      </c>
      <c r="U116" s="134">
        <f>S116/T116</f>
        <v>0.97676017673591076</v>
      </c>
    </row>
    <row r="117" spans="3:71" x14ac:dyDescent="0.3">
      <c r="C117" s="133"/>
      <c r="D117" s="124" t="s">
        <v>196</v>
      </c>
      <c r="E117" s="124">
        <f>E106</f>
        <v>2050</v>
      </c>
      <c r="F117" s="124">
        <f>F106</f>
        <v>2050</v>
      </c>
      <c r="G117" s="124">
        <f>G106</f>
        <v>1054</v>
      </c>
      <c r="H117" s="124">
        <f>H106</f>
        <v>1108</v>
      </c>
      <c r="K117" s="134"/>
      <c r="M117" s="133"/>
      <c r="N117" s="124" t="s">
        <v>196</v>
      </c>
      <c r="O117" s="124">
        <f>O106</f>
        <v>1328.012404961956</v>
      </c>
      <c r="P117" s="124">
        <f>P106</f>
        <v>1658.4558060242425</v>
      </c>
      <c r="Q117" s="124">
        <f>Q106</f>
        <v>1917.811032253856</v>
      </c>
      <c r="R117" s="124">
        <f>R106</f>
        <v>1754.9305618371486</v>
      </c>
      <c r="U117" s="134"/>
    </row>
    <row r="118" spans="3:71" x14ac:dyDescent="0.3">
      <c r="C118" s="133"/>
      <c r="D118" s="124" t="s">
        <v>195</v>
      </c>
      <c r="E118" s="180">
        <f>SUM(E113:E116)</f>
        <v>2050</v>
      </c>
      <c r="F118" s="180">
        <f>SUM(F113:F116)</f>
        <v>2050</v>
      </c>
      <c r="G118" s="180">
        <f>SUM(G113:G116)</f>
        <v>1054</v>
      </c>
      <c r="H118" s="180">
        <f>SUM(H113:H116)</f>
        <v>1108</v>
      </c>
      <c r="K118" s="134"/>
      <c r="M118" s="133"/>
      <c r="N118" s="124" t="s">
        <v>195</v>
      </c>
      <c r="O118" s="180">
        <f>SUM(O113:O116)</f>
        <v>1328.012404961956</v>
      </c>
      <c r="P118" s="180">
        <f>SUM(P113:P116)</f>
        <v>1658.4558060242425</v>
      </c>
      <c r="Q118" s="180">
        <f>SUM(Q113:Q116)</f>
        <v>1917.8110322538557</v>
      </c>
      <c r="R118" s="180">
        <f>SUM(R113:R116)</f>
        <v>1754.9305618371484</v>
      </c>
      <c r="U118" s="134"/>
    </row>
    <row r="119" spans="3:71" x14ac:dyDescent="0.3">
      <c r="C119" s="133"/>
      <c r="D119" s="124" t="s">
        <v>194</v>
      </c>
      <c r="E119" s="124">
        <f>E117/E118</f>
        <v>1</v>
      </c>
      <c r="F119" s="124">
        <f>F117/F118</f>
        <v>1</v>
      </c>
      <c r="G119" s="124">
        <f>G117/G118</f>
        <v>1</v>
      </c>
      <c r="H119" s="124">
        <f>H117/H118</f>
        <v>1</v>
      </c>
      <c r="K119" s="134"/>
      <c r="M119" s="133"/>
      <c r="N119" s="124" t="s">
        <v>194</v>
      </c>
      <c r="O119" s="124">
        <f>O117/O118</f>
        <v>1</v>
      </c>
      <c r="P119" s="124">
        <f>P117/P118</f>
        <v>1</v>
      </c>
      <c r="Q119" s="124">
        <f>Q117/Q118</f>
        <v>1.0000000000000002</v>
      </c>
      <c r="R119" s="124">
        <f>R117/R118</f>
        <v>1.0000000000000002</v>
      </c>
      <c r="U119" s="134"/>
    </row>
    <row r="121" spans="3:71" x14ac:dyDescent="0.3">
      <c r="C121" s="179" t="s">
        <v>218</v>
      </c>
      <c r="D121" s="168" t="str">
        <f>D35</f>
        <v>O/D</v>
      </c>
      <c r="E121" s="178" t="str">
        <f>E35</f>
        <v>A</v>
      </c>
      <c r="F121" s="178" t="str">
        <f>F35</f>
        <v>B</v>
      </c>
      <c r="G121" s="178" t="str">
        <f>G35</f>
        <v>C</v>
      </c>
      <c r="H121" s="177" t="str">
        <f>H35</f>
        <v>D</v>
      </c>
      <c r="N121" s="179" t="s">
        <v>218</v>
      </c>
      <c r="O121" s="168" t="str">
        <f>N35</f>
        <v>O/D</v>
      </c>
      <c r="P121" s="178" t="str">
        <f>O35</f>
        <v>A</v>
      </c>
      <c r="Q121" s="178" t="str">
        <f>P35</f>
        <v>B</v>
      </c>
      <c r="R121" s="178" t="str">
        <f>Q35</f>
        <v>C</v>
      </c>
      <c r="S121" s="177" t="str">
        <f>R35</f>
        <v>D</v>
      </c>
      <c r="T121" s="165"/>
      <c r="U121" s="172"/>
      <c r="V121" s="165"/>
      <c r="W121" s="176"/>
      <c r="X121" s="179" t="s">
        <v>218</v>
      </c>
      <c r="Y121" s="168" t="str">
        <f>X35</f>
        <v>O/D</v>
      </c>
      <c r="Z121" s="178" t="str">
        <f>Y35</f>
        <v>A</v>
      </c>
      <c r="AA121" s="178" t="str">
        <f>Z35</f>
        <v>B</v>
      </c>
      <c r="AB121" s="178" t="str">
        <f>AA35</f>
        <v>C</v>
      </c>
      <c r="AC121" s="177" t="str">
        <f>AB35</f>
        <v>D</v>
      </c>
      <c r="AD121" s="165"/>
      <c r="AE121" s="172"/>
      <c r="AF121" s="165"/>
      <c r="AG121" s="176"/>
      <c r="AH121" s="179" t="s">
        <v>218</v>
      </c>
      <c r="AI121" s="168" t="str">
        <f>AH35</f>
        <v>O/D</v>
      </c>
      <c r="AJ121" s="178" t="str">
        <f>AI35</f>
        <v>A</v>
      </c>
      <c r="AK121" s="178" t="str">
        <f>AJ35</f>
        <v>B</v>
      </c>
      <c r="AL121" s="178" t="str">
        <f>AK35</f>
        <v>C</v>
      </c>
      <c r="AM121" s="177" t="str">
        <f>AL35</f>
        <v>D</v>
      </c>
      <c r="AN121" s="165"/>
      <c r="AO121" s="172"/>
      <c r="AP121" s="165"/>
      <c r="AQ121" s="176"/>
      <c r="AR121" s="179" t="s">
        <v>218</v>
      </c>
      <c r="AS121" s="168" t="str">
        <f t="shared" ref="AS121:AW125" si="147">AR35</f>
        <v>O/D</v>
      </c>
      <c r="AT121" s="178" t="str">
        <f t="shared" si="147"/>
        <v>A</v>
      </c>
      <c r="AU121" s="178" t="str">
        <f t="shared" si="147"/>
        <v>B</v>
      </c>
      <c r="AV121" s="178" t="str">
        <f t="shared" si="147"/>
        <v>C</v>
      </c>
      <c r="AW121" s="177" t="str">
        <f t="shared" si="147"/>
        <v>D</v>
      </c>
      <c r="AX121" s="165"/>
      <c r="AY121" s="172"/>
      <c r="AZ121" s="165"/>
      <c r="BA121" s="176"/>
      <c r="BB121" s="179" t="s">
        <v>218</v>
      </c>
      <c r="BC121" s="168" t="str">
        <f>BB35</f>
        <v>O/D</v>
      </c>
      <c r="BD121" s="178" t="str">
        <f>BC35</f>
        <v>A</v>
      </c>
      <c r="BE121" s="178" t="str">
        <f>BD35</f>
        <v>B</v>
      </c>
      <c r="BF121" s="178" t="str">
        <f>BE35</f>
        <v>C</v>
      </c>
      <c r="BG121" s="177" t="str">
        <f>BF35</f>
        <v>D</v>
      </c>
      <c r="BH121" s="165"/>
      <c r="BI121" s="172"/>
      <c r="BJ121" s="165"/>
      <c r="BK121" s="176"/>
      <c r="BL121" s="179" t="s">
        <v>218</v>
      </c>
      <c r="BM121" s="168" t="str">
        <f>BL35</f>
        <v>O/D</v>
      </c>
      <c r="BN121" s="178" t="str">
        <f>BM35</f>
        <v>A</v>
      </c>
      <c r="BO121" s="178" t="str">
        <f>BN35</f>
        <v>B</v>
      </c>
      <c r="BP121" s="178" t="str">
        <f>BO35</f>
        <v>C</v>
      </c>
      <c r="BQ121" s="177" t="str">
        <f>BP35</f>
        <v>D</v>
      </c>
      <c r="BR121" s="165"/>
      <c r="BS121" s="172"/>
    </row>
    <row r="122" spans="3:71" x14ac:dyDescent="0.3">
      <c r="C122" s="222"/>
      <c r="D122" s="175" t="str">
        <f>D36</f>
        <v>A</v>
      </c>
      <c r="E122" s="174">
        <f t="shared" ref="E122:H125" si="148">E113</f>
        <v>1315.6947136768106</v>
      </c>
      <c r="F122" s="174">
        <f t="shared" si="148"/>
        <v>0</v>
      </c>
      <c r="G122" s="174">
        <f t="shared" si="148"/>
        <v>355.57894573222239</v>
      </c>
      <c r="H122" s="173">
        <f t="shared" si="148"/>
        <v>373.61394414367805</v>
      </c>
      <c r="N122" s="165"/>
      <c r="O122" s="175" t="str">
        <f>N36</f>
        <v>A</v>
      </c>
      <c r="P122" s="174">
        <f>O113</f>
        <v>576.70800116087275</v>
      </c>
      <c r="Q122" s="174">
        <f t="shared" ref="Q122:S122" si="149">P113</f>
        <v>0</v>
      </c>
      <c r="R122" s="174">
        <f t="shared" si="149"/>
        <v>829.91811772470783</v>
      </c>
      <c r="S122" s="174">
        <f t="shared" si="149"/>
        <v>758.16248504892576</v>
      </c>
      <c r="T122" s="165"/>
      <c r="U122" s="172"/>
      <c r="V122" s="165"/>
      <c r="W122" s="176"/>
      <c r="X122" s="165"/>
      <c r="Y122" s="175" t="str">
        <f>X36</f>
        <v>A</v>
      </c>
      <c r="Z122" s="174">
        <f>Y47</f>
        <v>493.99863549264222</v>
      </c>
      <c r="AA122" s="174">
        <f t="shared" ref="AA122:AC122" si="150">Z47</f>
        <v>0</v>
      </c>
      <c r="AB122" s="174">
        <f t="shared" si="150"/>
        <v>841.68752377744454</v>
      </c>
      <c r="AC122" s="174">
        <f t="shared" si="150"/>
        <v>768.38672937888066</v>
      </c>
      <c r="AD122" s="165"/>
      <c r="AE122" s="172"/>
      <c r="AF122" s="165"/>
      <c r="AG122" s="176"/>
      <c r="AH122" s="165"/>
      <c r="AI122" s="175" t="str">
        <f>AH36</f>
        <v>A</v>
      </c>
      <c r="AJ122" s="174">
        <f>AI58</f>
        <v>588.56700658545719</v>
      </c>
      <c r="AK122" s="174">
        <f t="shared" ref="AK122:AM122" si="151">AJ58</f>
        <v>0</v>
      </c>
      <c r="AL122" s="174">
        <f t="shared" si="151"/>
        <v>994.79610296958276</v>
      </c>
      <c r="AM122" s="174">
        <f t="shared" si="151"/>
        <v>909.02093040722673</v>
      </c>
      <c r="AN122" s="165"/>
      <c r="AO122" s="172"/>
      <c r="AP122" s="165"/>
      <c r="AQ122" s="176"/>
      <c r="AR122" s="165"/>
      <c r="AS122" s="175" t="str">
        <f t="shared" si="147"/>
        <v>A</v>
      </c>
      <c r="AT122" s="174">
        <f t="shared" si="147"/>
        <v>556.68756700256949</v>
      </c>
      <c r="AU122" s="174">
        <f t="shared" si="147"/>
        <v>0</v>
      </c>
      <c r="AV122" s="174">
        <f t="shared" si="147"/>
        <v>1100.6974275659832</v>
      </c>
      <c r="AW122" s="173">
        <f t="shared" si="147"/>
        <v>1005.5541702273536</v>
      </c>
      <c r="AX122" s="165"/>
      <c r="AY122" s="172"/>
      <c r="AZ122" s="165"/>
      <c r="BA122" s="176"/>
      <c r="BB122" s="165"/>
      <c r="BC122" s="175" t="str">
        <f>BB36</f>
        <v>A</v>
      </c>
      <c r="BD122" s="174">
        <f>BC58</f>
        <v>680.12549507412166</v>
      </c>
      <c r="BE122" s="174">
        <f t="shared" ref="BE122:BG122" si="152">BD58</f>
        <v>0</v>
      </c>
      <c r="BF122" s="174">
        <f t="shared" si="152"/>
        <v>1131.4789059134985</v>
      </c>
      <c r="BG122" s="174">
        <f t="shared" si="152"/>
        <v>1034.9310340885347</v>
      </c>
      <c r="BH122" s="165"/>
      <c r="BI122" s="172"/>
      <c r="BJ122" s="165"/>
      <c r="BK122" s="176"/>
      <c r="BL122" s="165"/>
      <c r="BM122" s="175" t="str">
        <f>BL36</f>
        <v>A</v>
      </c>
      <c r="BN122" s="174">
        <f>BM58</f>
        <v>731.4687687101341</v>
      </c>
      <c r="BO122" s="174">
        <f t="shared" ref="BO122:BQ122" si="153">BN58</f>
        <v>0</v>
      </c>
      <c r="BP122" s="174">
        <f t="shared" si="153"/>
        <v>1207.5869867643023</v>
      </c>
      <c r="BQ122" s="174">
        <f t="shared" si="153"/>
        <v>1105.117823944877</v>
      </c>
      <c r="BR122" s="165"/>
      <c r="BS122" s="172"/>
    </row>
    <row r="123" spans="3:71" x14ac:dyDescent="0.3">
      <c r="C123" s="222"/>
      <c r="D123" s="175" t="str">
        <f>D37</f>
        <v>B</v>
      </c>
      <c r="E123" s="174">
        <f t="shared" si="148"/>
        <v>0</v>
      </c>
      <c r="F123" s="174">
        <f t="shared" si="148"/>
        <v>623.67446165560216</v>
      </c>
      <c r="G123" s="174">
        <f t="shared" si="148"/>
        <v>688.26762066232095</v>
      </c>
      <c r="H123" s="173">
        <f t="shared" si="148"/>
        <v>723.1766207431333</v>
      </c>
      <c r="N123" s="165"/>
      <c r="O123" s="175" t="str">
        <f>N37</f>
        <v>B</v>
      </c>
      <c r="P123" s="174">
        <f t="shared" ref="P123:S123" si="154">O114</f>
        <v>0</v>
      </c>
      <c r="Q123" s="174">
        <f t="shared" si="154"/>
        <v>178.26653979980313</v>
      </c>
      <c r="R123" s="174">
        <f t="shared" si="154"/>
        <v>1032.7810505892155</v>
      </c>
      <c r="S123" s="174">
        <f t="shared" si="154"/>
        <v>943.4856657580458</v>
      </c>
      <c r="T123" s="165"/>
      <c r="U123" s="172"/>
      <c r="V123" s="165"/>
      <c r="W123" s="176"/>
      <c r="X123" s="165"/>
      <c r="Y123" s="175" t="str">
        <f>X37</f>
        <v>B</v>
      </c>
      <c r="Z123" s="174">
        <f t="shared" ref="Z123:AC123" si="155">Y48</f>
        <v>0</v>
      </c>
      <c r="AA123" s="174">
        <f t="shared" si="155"/>
        <v>135.63040779938191</v>
      </c>
      <c r="AB123" s="174">
        <f t="shared" si="155"/>
        <v>1003.842990010994</v>
      </c>
      <c r="AC123" s="174">
        <f t="shared" si="155"/>
        <v>916.42041745223537</v>
      </c>
      <c r="AD123" s="165"/>
      <c r="AE123" s="172"/>
      <c r="AF123" s="165"/>
      <c r="AG123" s="176"/>
      <c r="AH123" s="165"/>
      <c r="AI123" s="175" t="str">
        <f>AH37</f>
        <v>B</v>
      </c>
      <c r="AJ123" s="174">
        <f t="shared" ref="AJ123:AM123" si="156">AI59</f>
        <v>0</v>
      </c>
      <c r="AK123" s="174">
        <f t="shared" si="156"/>
        <v>166.60776940076497</v>
      </c>
      <c r="AL123" s="174">
        <f t="shared" si="156"/>
        <v>1215.2812637829688</v>
      </c>
      <c r="AM123" s="174">
        <f t="shared" si="156"/>
        <v>1110.495006778533</v>
      </c>
      <c r="AN123" s="165"/>
      <c r="AO123" s="172"/>
      <c r="AP123" s="165"/>
      <c r="AQ123" s="176"/>
      <c r="AR123" s="165"/>
      <c r="AS123" s="175" t="str">
        <f t="shared" si="147"/>
        <v>B</v>
      </c>
      <c r="AT123" s="174">
        <f t="shared" si="147"/>
        <v>0</v>
      </c>
      <c r="AU123" s="174">
        <f t="shared" si="147"/>
        <v>148.50111197022611</v>
      </c>
      <c r="AV123" s="174">
        <f t="shared" si="147"/>
        <v>1314.0099214257323</v>
      </c>
      <c r="AW123" s="173">
        <f t="shared" si="147"/>
        <v>1200.4281313999475</v>
      </c>
      <c r="AX123" s="165"/>
      <c r="AY123" s="172"/>
      <c r="AZ123" s="165"/>
      <c r="BA123" s="176"/>
      <c r="BB123" s="165"/>
      <c r="BC123" s="175" t="str">
        <f>BB37</f>
        <v>B</v>
      </c>
      <c r="BD123" s="174">
        <f t="shared" ref="BD123:BG123" si="157">BC59</f>
        <v>0</v>
      </c>
      <c r="BE123" s="174">
        <f t="shared" si="157"/>
        <v>194.77579648789032</v>
      </c>
      <c r="BF123" s="174">
        <f t="shared" si="157"/>
        <v>1384.9687629353323</v>
      </c>
      <c r="BG123" s="174">
        <f t="shared" si="157"/>
        <v>1266.7908756529321</v>
      </c>
      <c r="BH123" s="165"/>
      <c r="BI123" s="172"/>
      <c r="BJ123" s="165"/>
      <c r="BK123" s="176"/>
      <c r="BL123" s="165"/>
      <c r="BM123" s="175" t="str">
        <f>BL37</f>
        <v>B</v>
      </c>
      <c r="BN123" s="174">
        <f t="shared" ref="BN123:BQ123" si="158">BM59</f>
        <v>0</v>
      </c>
      <c r="BO123" s="174">
        <f t="shared" si="158"/>
        <v>210.63316470778997</v>
      </c>
      <c r="BP123" s="174">
        <f t="shared" si="158"/>
        <v>1479.543137296065</v>
      </c>
      <c r="BQ123" s="174">
        <f t="shared" si="158"/>
        <v>1353.9972774154592</v>
      </c>
      <c r="BR123" s="165"/>
      <c r="BS123" s="172"/>
    </row>
    <row r="124" spans="3:71" x14ac:dyDescent="0.3">
      <c r="C124" s="222"/>
      <c r="D124" s="175" t="str">
        <f>D38</f>
        <v>C</v>
      </c>
      <c r="E124" s="174">
        <f t="shared" si="148"/>
        <v>358.07330903784725</v>
      </c>
      <c r="F124" s="174">
        <f t="shared" si="148"/>
        <v>695.52693517635998</v>
      </c>
      <c r="G124" s="174">
        <f t="shared" si="148"/>
        <v>10.153433605456673</v>
      </c>
      <c r="H124" s="173">
        <f t="shared" si="148"/>
        <v>0</v>
      </c>
      <c r="N124" s="165"/>
      <c r="O124" s="175" t="str">
        <f>N38</f>
        <v>C</v>
      </c>
      <c r="P124" s="174">
        <f t="shared" ref="P124:S124" si="159">O115</f>
        <v>365.01083421078573</v>
      </c>
      <c r="Q124" s="174">
        <f t="shared" si="159"/>
        <v>719.12944489738447</v>
      </c>
      <c r="R124" s="174">
        <f t="shared" si="159"/>
        <v>55.111863939932455</v>
      </c>
      <c r="S124" s="174">
        <f t="shared" si="159"/>
        <v>0</v>
      </c>
      <c r="T124" s="165"/>
      <c r="U124" s="172"/>
      <c r="V124" s="165"/>
      <c r="W124" s="176"/>
      <c r="X124" s="165"/>
      <c r="Y124" s="175" t="str">
        <f>X38</f>
        <v>C</v>
      </c>
      <c r="Z124" s="174">
        <f t="shared" ref="Z124:AC124" si="160">Y49</f>
        <v>404.33007216629346</v>
      </c>
      <c r="AA124" s="174">
        <f t="shared" si="160"/>
        <v>738.26611226420175</v>
      </c>
      <c r="AB124" s="174">
        <f t="shared" si="160"/>
        <v>72.280518465417742</v>
      </c>
      <c r="AC124" s="174">
        <f t="shared" si="160"/>
        <v>0</v>
      </c>
      <c r="AD124" s="165"/>
      <c r="AE124" s="172"/>
      <c r="AF124" s="165"/>
      <c r="AG124" s="176"/>
      <c r="AH124" s="165"/>
      <c r="AI124" s="175" t="str">
        <f>AH38</f>
        <v>C</v>
      </c>
      <c r="AJ124" s="174">
        <f t="shared" ref="AJ124:AM124" si="161">AI60</f>
        <v>412.73159341031993</v>
      </c>
      <c r="AK124" s="174">
        <f t="shared" si="161"/>
        <v>758.55102095381108</v>
      </c>
      <c r="AL124" s="174">
        <f t="shared" si="161"/>
        <v>73.192393871855657</v>
      </c>
      <c r="AM124" s="174">
        <f t="shared" si="161"/>
        <v>0</v>
      </c>
      <c r="AN124" s="165"/>
      <c r="AO124" s="172"/>
      <c r="AP124" s="165"/>
      <c r="AQ124" s="176"/>
      <c r="AR124" s="165"/>
      <c r="AS124" s="175" t="str">
        <f t="shared" si="147"/>
        <v>C</v>
      </c>
      <c r="AT124" s="174">
        <f t="shared" si="147"/>
        <v>442.202072136536</v>
      </c>
      <c r="AU124" s="174">
        <f t="shared" si="147"/>
        <v>783.73408969948605</v>
      </c>
      <c r="AV124" s="174">
        <f t="shared" si="147"/>
        <v>91.73546743796976</v>
      </c>
      <c r="AW124" s="173">
        <f t="shared" si="147"/>
        <v>0</v>
      </c>
      <c r="AX124" s="165"/>
      <c r="AY124" s="172"/>
      <c r="AZ124" s="165"/>
      <c r="BA124" s="176"/>
      <c r="BB124" s="165"/>
      <c r="BC124" s="175" t="str">
        <f>BB38</f>
        <v>C</v>
      </c>
      <c r="BD124" s="174">
        <f t="shared" ref="BD124:BG124" si="162">BC60</f>
        <v>460.79657245388438</v>
      </c>
      <c r="BE124" s="174">
        <f t="shared" si="162"/>
        <v>855.11028654608242</v>
      </c>
      <c r="BF124" s="174">
        <f t="shared" si="162"/>
        <v>80.431602611942978</v>
      </c>
      <c r="BG124" s="174">
        <f t="shared" si="162"/>
        <v>0</v>
      </c>
      <c r="BH124" s="165"/>
      <c r="BI124" s="172"/>
      <c r="BJ124" s="165"/>
      <c r="BK124" s="176"/>
      <c r="BL124" s="165"/>
      <c r="BM124" s="175" t="str">
        <f>BL38</f>
        <v>C</v>
      </c>
      <c r="BN124" s="174">
        <f t="shared" ref="BN124:BQ124" si="163">BM60</f>
        <v>487.5562876765394</v>
      </c>
      <c r="BO124" s="174">
        <f t="shared" si="163"/>
        <v>908.88093244629408</v>
      </c>
      <c r="BP124" s="174">
        <f t="shared" si="163"/>
        <v>84.451520532856108</v>
      </c>
      <c r="BQ124" s="174">
        <f t="shared" si="163"/>
        <v>0</v>
      </c>
      <c r="BR124" s="165"/>
      <c r="BS124" s="172"/>
    </row>
    <row r="125" spans="3:71" x14ac:dyDescent="0.3">
      <c r="C125" s="223"/>
      <c r="D125" s="170" t="str">
        <f>D39</f>
        <v>D</v>
      </c>
      <c r="E125" s="169">
        <f t="shared" si="148"/>
        <v>376.23197728534228</v>
      </c>
      <c r="F125" s="169">
        <f t="shared" si="148"/>
        <v>730.7986031680382</v>
      </c>
      <c r="G125" s="169">
        <f t="shared" si="148"/>
        <v>0</v>
      </c>
      <c r="H125" s="168">
        <f t="shared" si="148"/>
        <v>11.209435113188579</v>
      </c>
      <c r="N125" s="167"/>
      <c r="O125" s="170" t="str">
        <f>N39</f>
        <v>D</v>
      </c>
      <c r="P125" s="174">
        <f t="shared" ref="P125:S125" si="164">O116</f>
        <v>386.29356959029747</v>
      </c>
      <c r="Q125" s="174">
        <f t="shared" si="164"/>
        <v>761.05982132705481</v>
      </c>
      <c r="R125" s="174">
        <f t="shared" si="164"/>
        <v>0</v>
      </c>
      <c r="S125" s="174">
        <f t="shared" si="164"/>
        <v>53.282411030176938</v>
      </c>
      <c r="T125" s="167"/>
      <c r="U125" s="166"/>
      <c r="V125" s="165"/>
      <c r="W125" s="171"/>
      <c r="X125" s="167"/>
      <c r="Y125" s="170" t="str">
        <f>X39</f>
        <v>D</v>
      </c>
      <c r="Z125" s="174">
        <f t="shared" ref="Z125:AC125" si="165">Y50</f>
        <v>429.68369730302027</v>
      </c>
      <c r="AA125" s="174">
        <f t="shared" si="165"/>
        <v>784.55928596065894</v>
      </c>
      <c r="AB125" s="174">
        <f t="shared" si="165"/>
        <v>0</v>
      </c>
      <c r="AC125" s="174">
        <f t="shared" si="165"/>
        <v>70.123415006032587</v>
      </c>
      <c r="AD125" s="167"/>
      <c r="AE125" s="166"/>
      <c r="AF125" s="165"/>
      <c r="AG125" s="171"/>
      <c r="AH125" s="167"/>
      <c r="AI125" s="170" t="str">
        <f>AH39</f>
        <v>D</v>
      </c>
      <c r="AJ125" s="174">
        <f t="shared" ref="AJ125:AM125" si="166">AI61</f>
        <v>439.12533120848451</v>
      </c>
      <c r="AK125" s="174">
        <f t="shared" si="166"/>
        <v>807.0595361080675</v>
      </c>
      <c r="AL125" s="174">
        <f t="shared" si="166"/>
        <v>0</v>
      </c>
      <c r="AM125" s="174">
        <f t="shared" si="166"/>
        <v>71.158459195832634</v>
      </c>
      <c r="AN125" s="167"/>
      <c r="AO125" s="166"/>
      <c r="AP125" s="165"/>
      <c r="AQ125" s="171"/>
      <c r="AR125" s="167"/>
      <c r="AS125" s="170" t="str">
        <f t="shared" si="147"/>
        <v>D</v>
      </c>
      <c r="AT125" s="169">
        <f t="shared" si="147"/>
        <v>472.00074502244286</v>
      </c>
      <c r="AU125" s="169">
        <f t="shared" si="147"/>
        <v>836.54758208239377</v>
      </c>
      <c r="AV125" s="169">
        <f t="shared" si="147"/>
        <v>0</v>
      </c>
      <c r="AW125" s="168">
        <f t="shared" si="147"/>
        <v>89.453370518982723</v>
      </c>
      <c r="AX125" s="167"/>
      <c r="AY125" s="166"/>
      <c r="AZ125" s="165"/>
      <c r="BA125" s="171"/>
      <c r="BB125" s="167"/>
      <c r="BC125" s="170" t="str">
        <f>BB39</f>
        <v>D</v>
      </c>
      <c r="BD125" s="174">
        <f t="shared" ref="BD125:BG125" si="167">BC61</f>
        <v>492.40953392329953</v>
      </c>
      <c r="BE125" s="174">
        <f t="shared" si="167"/>
        <v>913.77515116676523</v>
      </c>
      <c r="BF125" s="174">
        <f t="shared" si="167"/>
        <v>0</v>
      </c>
      <c r="BG125" s="174">
        <f t="shared" si="167"/>
        <v>78.615627189117689</v>
      </c>
      <c r="BH125" s="167"/>
      <c r="BI125" s="166"/>
      <c r="BJ125" s="165"/>
      <c r="BK125" s="171"/>
      <c r="BL125" s="167"/>
      <c r="BM125" s="170" t="str">
        <f>BL39</f>
        <v>D</v>
      </c>
      <c r="BN125" s="174">
        <f t="shared" ref="BN125:BQ125" si="168">BM61</f>
        <v>522.12381803319727</v>
      </c>
      <c r="BO125" s="174">
        <f t="shared" si="168"/>
        <v>973.32019826449721</v>
      </c>
      <c r="BP125" s="174">
        <f t="shared" si="168"/>
        <v>0</v>
      </c>
      <c r="BQ125" s="174">
        <f t="shared" si="168"/>
        <v>82.764934573977541</v>
      </c>
      <c r="BR125" s="167"/>
      <c r="BS125" s="166"/>
    </row>
    <row r="128" spans="3:71" x14ac:dyDescent="0.3">
      <c r="D128" s="135" t="s">
        <v>217</v>
      </c>
      <c r="E128" s="135" t="s">
        <v>11</v>
      </c>
      <c r="F128" s="135" t="s">
        <v>12</v>
      </c>
      <c r="G128" s="135" t="s">
        <v>13</v>
      </c>
      <c r="H128" s="135" t="s">
        <v>14</v>
      </c>
      <c r="N128" s="135" t="s">
        <v>217</v>
      </c>
      <c r="O128" s="135" t="s">
        <v>11</v>
      </c>
      <c r="P128" s="135" t="s">
        <v>12</v>
      </c>
      <c r="Q128" s="135" t="s">
        <v>13</v>
      </c>
      <c r="R128" s="135" t="s">
        <v>14</v>
      </c>
      <c r="W128" s="135" t="s">
        <v>217</v>
      </c>
      <c r="X128" s="135" t="s">
        <v>11</v>
      </c>
      <c r="Y128" s="135" t="s">
        <v>12</v>
      </c>
      <c r="Z128" s="135" t="s">
        <v>13</v>
      </c>
      <c r="AA128" s="135" t="s">
        <v>14</v>
      </c>
      <c r="AG128" s="135" t="s">
        <v>217</v>
      </c>
      <c r="AH128" s="135" t="s">
        <v>11</v>
      </c>
      <c r="AI128" s="135" t="s">
        <v>12</v>
      </c>
      <c r="AJ128" s="135" t="s">
        <v>13</v>
      </c>
      <c r="AK128" s="135" t="s">
        <v>14</v>
      </c>
      <c r="AQ128" s="135" t="s">
        <v>217</v>
      </c>
      <c r="AR128" s="135" t="s">
        <v>11</v>
      </c>
      <c r="AS128" s="135" t="s">
        <v>12</v>
      </c>
      <c r="AT128" s="135" t="s">
        <v>13</v>
      </c>
      <c r="AU128" s="135" t="s">
        <v>14</v>
      </c>
      <c r="BA128" s="135" t="s">
        <v>217</v>
      </c>
      <c r="BB128" s="135" t="s">
        <v>11</v>
      </c>
      <c r="BC128" s="135" t="s">
        <v>12</v>
      </c>
      <c r="BD128" s="135" t="s">
        <v>13</v>
      </c>
      <c r="BE128" s="135" t="s">
        <v>14</v>
      </c>
      <c r="BK128" s="135" t="s">
        <v>217</v>
      </c>
      <c r="BL128" s="135" t="s">
        <v>11</v>
      </c>
      <c r="BM128" s="135" t="s">
        <v>12</v>
      </c>
      <c r="BN128" s="135" t="s">
        <v>13</v>
      </c>
      <c r="BO128" s="135" t="s">
        <v>14</v>
      </c>
    </row>
    <row r="129" spans="4:67" x14ac:dyDescent="0.3">
      <c r="D129" s="135" t="s">
        <v>11</v>
      </c>
      <c r="E129" s="135">
        <v>8.6371546661289762E-89</v>
      </c>
      <c r="F129" s="135" t="e">
        <v>#DIV/0!</v>
      </c>
      <c r="G129" s="135">
        <v>1</v>
      </c>
      <c r="H129" s="135">
        <v>1</v>
      </c>
      <c r="N129" s="135" t="s">
        <v>11</v>
      </c>
      <c r="O129" s="135">
        <v>8.6371546661289762E-89</v>
      </c>
      <c r="P129" s="135" t="e">
        <v>#DIV/0!</v>
      </c>
      <c r="Q129" s="135">
        <v>1</v>
      </c>
      <c r="R129" s="135">
        <v>1</v>
      </c>
      <c r="W129" s="135" t="s">
        <v>11</v>
      </c>
      <c r="X129" s="135">
        <v>8.6371546661289762E-89</v>
      </c>
      <c r="Y129" s="135" t="e">
        <v>#DIV/0!</v>
      </c>
      <c r="Z129" s="135">
        <v>1</v>
      </c>
      <c r="AA129" s="135">
        <v>1</v>
      </c>
      <c r="AG129" s="135" t="s">
        <v>11</v>
      </c>
      <c r="AH129" s="135">
        <v>8.6371546661289762E-89</v>
      </c>
      <c r="AI129" s="135" t="e">
        <v>#DIV/0!</v>
      </c>
      <c r="AJ129" s="135">
        <v>1</v>
      </c>
      <c r="AK129" s="135">
        <v>1</v>
      </c>
      <c r="AQ129" s="135" t="s">
        <v>11</v>
      </c>
      <c r="AR129" s="135">
        <v>8.6371546661289762E-89</v>
      </c>
      <c r="AS129" s="135" t="e">
        <v>#DIV/0!</v>
      </c>
      <c r="AT129" s="135">
        <v>1</v>
      </c>
      <c r="AU129" s="135">
        <v>1</v>
      </c>
      <c r="BA129" s="135" t="s">
        <v>11</v>
      </c>
      <c r="BB129" s="135">
        <v>8.6371546661289762E-89</v>
      </c>
      <c r="BC129" s="135" t="e">
        <v>#DIV/0!</v>
      </c>
      <c r="BD129" s="135">
        <v>1</v>
      </c>
      <c r="BE129" s="135">
        <v>1</v>
      </c>
      <c r="BK129" s="135" t="s">
        <v>11</v>
      </c>
      <c r="BL129" s="135">
        <v>8.6371546661289762E-89</v>
      </c>
      <c r="BM129" s="135" t="e">
        <v>#DIV/0!</v>
      </c>
      <c r="BN129" s="135">
        <v>1</v>
      </c>
      <c r="BO129" s="135">
        <v>1</v>
      </c>
    </row>
    <row r="130" spans="4:67" x14ac:dyDescent="0.3">
      <c r="D130" s="135" t="s">
        <v>12</v>
      </c>
      <c r="E130" s="135" t="e">
        <v>#DIV/0!</v>
      </c>
      <c r="F130" s="135">
        <v>8.6371546661289762E-89</v>
      </c>
      <c r="G130" s="135">
        <v>1</v>
      </c>
      <c r="H130" s="135">
        <v>1</v>
      </c>
      <c r="N130" s="135" t="s">
        <v>12</v>
      </c>
      <c r="O130" s="135" t="e">
        <v>#DIV/0!</v>
      </c>
      <c r="P130" s="135">
        <v>8.6371546661289762E-89</v>
      </c>
      <c r="Q130" s="135">
        <v>1</v>
      </c>
      <c r="R130" s="135">
        <v>1</v>
      </c>
      <c r="W130" s="135" t="s">
        <v>12</v>
      </c>
      <c r="X130" s="135" t="e">
        <v>#DIV/0!</v>
      </c>
      <c r="Y130" s="135">
        <v>8.6371546661289762E-89</v>
      </c>
      <c r="Z130" s="135">
        <v>1</v>
      </c>
      <c r="AA130" s="135">
        <v>1</v>
      </c>
      <c r="AG130" s="135" t="s">
        <v>12</v>
      </c>
      <c r="AH130" s="135" t="e">
        <v>#DIV/0!</v>
      </c>
      <c r="AI130" s="135">
        <v>8.6371546661289762E-89</v>
      </c>
      <c r="AJ130" s="135">
        <v>1</v>
      </c>
      <c r="AK130" s="135">
        <v>1</v>
      </c>
      <c r="AQ130" s="135" t="s">
        <v>12</v>
      </c>
      <c r="AR130" s="135" t="e">
        <v>#DIV/0!</v>
      </c>
      <c r="AS130" s="135">
        <v>8.6371546661289762E-89</v>
      </c>
      <c r="AT130" s="135">
        <v>1</v>
      </c>
      <c r="AU130" s="135">
        <v>1</v>
      </c>
      <c r="BA130" s="135" t="s">
        <v>12</v>
      </c>
      <c r="BB130" s="135" t="e">
        <v>#DIV/0!</v>
      </c>
      <c r="BC130" s="135">
        <v>8.6371546661289762E-89</v>
      </c>
      <c r="BD130" s="135">
        <v>1</v>
      </c>
      <c r="BE130" s="135">
        <v>1</v>
      </c>
      <c r="BK130" s="135" t="s">
        <v>12</v>
      </c>
      <c r="BL130" s="135" t="e">
        <v>#DIV/0!</v>
      </c>
      <c r="BM130" s="135">
        <v>8.6371546661289762E-89</v>
      </c>
      <c r="BN130" s="135">
        <v>1</v>
      </c>
      <c r="BO130" s="135">
        <v>1</v>
      </c>
    </row>
    <row r="131" spans="4:67" x14ac:dyDescent="0.3">
      <c r="D131" s="135" t="s">
        <v>13</v>
      </c>
      <c r="E131" s="135">
        <v>1</v>
      </c>
      <c r="F131" s="135">
        <v>1</v>
      </c>
      <c r="G131" s="135">
        <v>8.6371546661289762E-89</v>
      </c>
      <c r="H131" s="135" t="e">
        <v>#DIV/0!</v>
      </c>
      <c r="N131" s="135" t="s">
        <v>13</v>
      </c>
      <c r="O131" s="135">
        <v>1</v>
      </c>
      <c r="P131" s="135">
        <v>1</v>
      </c>
      <c r="Q131" s="135">
        <v>8.6371546661289762E-89</v>
      </c>
      <c r="R131" s="135" t="e">
        <v>#DIV/0!</v>
      </c>
      <c r="W131" s="135" t="s">
        <v>13</v>
      </c>
      <c r="X131" s="135">
        <v>1</v>
      </c>
      <c r="Y131" s="135">
        <v>1</v>
      </c>
      <c r="Z131" s="135">
        <v>8.6371546661289762E-89</v>
      </c>
      <c r="AA131" s="135" t="e">
        <v>#DIV/0!</v>
      </c>
      <c r="AG131" s="135" t="s">
        <v>13</v>
      </c>
      <c r="AH131" s="135">
        <v>1</v>
      </c>
      <c r="AI131" s="135">
        <v>1</v>
      </c>
      <c r="AJ131" s="135">
        <v>8.6371546661289762E-89</v>
      </c>
      <c r="AK131" s="135" t="e">
        <v>#DIV/0!</v>
      </c>
      <c r="AQ131" s="135" t="s">
        <v>13</v>
      </c>
      <c r="AR131" s="135">
        <v>1</v>
      </c>
      <c r="AS131" s="135">
        <v>1</v>
      </c>
      <c r="AT131" s="135">
        <v>8.6371546661289762E-89</v>
      </c>
      <c r="AU131" s="135" t="e">
        <v>#DIV/0!</v>
      </c>
      <c r="BA131" s="135" t="s">
        <v>13</v>
      </c>
      <c r="BB131" s="135">
        <v>1</v>
      </c>
      <c r="BC131" s="135">
        <v>1</v>
      </c>
      <c r="BD131" s="135">
        <v>8.6371546661289762E-89</v>
      </c>
      <c r="BE131" s="135" t="e">
        <v>#DIV/0!</v>
      </c>
      <c r="BK131" s="135" t="s">
        <v>13</v>
      </c>
      <c r="BL131" s="135">
        <v>1</v>
      </c>
      <c r="BM131" s="135">
        <v>1</v>
      </c>
      <c r="BN131" s="135">
        <v>8.6371546661289762E-89</v>
      </c>
      <c r="BO131" s="135" t="e">
        <v>#DIV/0!</v>
      </c>
    </row>
    <row r="132" spans="4:67" x14ac:dyDescent="0.3">
      <c r="D132" s="135" t="s">
        <v>14</v>
      </c>
      <c r="E132" s="135">
        <v>1</v>
      </c>
      <c r="F132" s="135">
        <v>1</v>
      </c>
      <c r="G132" s="135" t="e">
        <v>#DIV/0!</v>
      </c>
      <c r="H132" s="135">
        <v>8.6371546661289762E-89</v>
      </c>
      <c r="N132" s="135" t="s">
        <v>14</v>
      </c>
      <c r="O132" s="135">
        <v>1</v>
      </c>
      <c r="P132" s="135">
        <v>1</v>
      </c>
      <c r="Q132" s="135" t="e">
        <v>#DIV/0!</v>
      </c>
      <c r="R132" s="135">
        <v>8.6371546661289762E-89</v>
      </c>
      <c r="W132" s="135" t="s">
        <v>14</v>
      </c>
      <c r="X132" s="135">
        <v>1</v>
      </c>
      <c r="Y132" s="135">
        <v>1</v>
      </c>
      <c r="Z132" s="135" t="e">
        <v>#DIV/0!</v>
      </c>
      <c r="AA132" s="135">
        <v>8.6371546661289762E-89</v>
      </c>
      <c r="AG132" s="135" t="s">
        <v>14</v>
      </c>
      <c r="AH132" s="135">
        <v>1</v>
      </c>
      <c r="AI132" s="135">
        <v>1</v>
      </c>
      <c r="AJ132" s="135" t="e">
        <v>#DIV/0!</v>
      </c>
      <c r="AK132" s="135">
        <v>8.6371546661289762E-89</v>
      </c>
      <c r="AQ132" s="135" t="s">
        <v>14</v>
      </c>
      <c r="AR132" s="135">
        <v>1</v>
      </c>
      <c r="AS132" s="135">
        <v>1</v>
      </c>
      <c r="AT132" s="135" t="e">
        <v>#DIV/0!</v>
      </c>
      <c r="AU132" s="135">
        <v>8.6371546661289762E-89</v>
      </c>
      <c r="BA132" s="135" t="s">
        <v>14</v>
      </c>
      <c r="BB132" s="135">
        <v>1</v>
      </c>
      <c r="BC132" s="135">
        <v>1</v>
      </c>
      <c r="BD132" s="135" t="e">
        <v>#DIV/0!</v>
      </c>
      <c r="BE132" s="135">
        <v>8.6371546661289762E-89</v>
      </c>
      <c r="BK132" s="135" t="s">
        <v>14</v>
      </c>
      <c r="BL132" s="135">
        <v>1</v>
      </c>
      <c r="BM132" s="135">
        <v>1</v>
      </c>
      <c r="BN132" s="135" t="e">
        <v>#DIV/0!</v>
      </c>
      <c r="BO132" s="135">
        <v>8.6371546661289762E-89</v>
      </c>
    </row>
    <row r="133" spans="4:67" x14ac:dyDescent="0.3">
      <c r="D133" s="135" t="s">
        <v>199</v>
      </c>
      <c r="E133" s="135" t="s">
        <v>11</v>
      </c>
      <c r="F133" s="135" t="s">
        <v>12</v>
      </c>
      <c r="G133" s="135" t="s">
        <v>13</v>
      </c>
      <c r="H133" s="135" t="s">
        <v>14</v>
      </c>
      <c r="N133" s="135" t="s">
        <v>199</v>
      </c>
      <c r="O133" s="135" t="s">
        <v>11</v>
      </c>
      <c r="P133" s="135" t="s">
        <v>12</v>
      </c>
      <c r="Q133" s="135" t="s">
        <v>13</v>
      </c>
      <c r="R133" s="135" t="s">
        <v>14</v>
      </c>
      <c r="W133" s="135" t="s">
        <v>199</v>
      </c>
      <c r="X133" s="135" t="s">
        <v>11</v>
      </c>
      <c r="Y133" s="135" t="s">
        <v>12</v>
      </c>
      <c r="Z133" s="135" t="s">
        <v>13</v>
      </c>
      <c r="AA133" s="135" t="s">
        <v>14</v>
      </c>
      <c r="AG133" s="135" t="s">
        <v>199</v>
      </c>
      <c r="AH133" s="135" t="s">
        <v>11</v>
      </c>
      <c r="AI133" s="135" t="s">
        <v>12</v>
      </c>
      <c r="AJ133" s="135" t="s">
        <v>13</v>
      </c>
      <c r="AK133" s="135" t="s">
        <v>14</v>
      </c>
      <c r="AQ133" s="135" t="s">
        <v>199</v>
      </c>
      <c r="AR133" s="135" t="s">
        <v>11</v>
      </c>
      <c r="AS133" s="135" t="s">
        <v>12</v>
      </c>
      <c r="AT133" s="135" t="s">
        <v>13</v>
      </c>
      <c r="AU133" s="135" t="s">
        <v>14</v>
      </c>
      <c r="BA133" s="135" t="s">
        <v>199</v>
      </c>
      <c r="BB133" s="135" t="s">
        <v>11</v>
      </c>
      <c r="BC133" s="135" t="s">
        <v>12</v>
      </c>
      <c r="BD133" s="135" t="s">
        <v>13</v>
      </c>
      <c r="BE133" s="135" t="s">
        <v>14</v>
      </c>
      <c r="BK133" s="135" t="s">
        <v>199</v>
      </c>
      <c r="BL133" s="135" t="s">
        <v>11</v>
      </c>
      <c r="BM133" s="135" t="s">
        <v>12</v>
      </c>
      <c r="BN133" s="135" t="s">
        <v>13</v>
      </c>
      <c r="BO133" s="135" t="s">
        <v>14</v>
      </c>
    </row>
    <row r="134" spans="4:67" x14ac:dyDescent="0.3">
      <c r="D134" s="135" t="s">
        <v>11</v>
      </c>
      <c r="E134" s="135">
        <f t="shared" ref="E134:H137" si="169">E129*E122</f>
        <v>1.1363858735434892E-85</v>
      </c>
      <c r="F134" s="135" t="e">
        <f t="shared" si="169"/>
        <v>#DIV/0!</v>
      </c>
      <c r="G134" s="163">
        <f t="shared" si="169"/>
        <v>355.57894573222239</v>
      </c>
      <c r="H134" s="163">
        <f t="shared" si="169"/>
        <v>373.61394414367805</v>
      </c>
      <c r="N134" s="135" t="s">
        <v>11</v>
      </c>
      <c r="O134" s="135">
        <f t="shared" ref="O134:R137" si="170">O129*P122</f>
        <v>4.9811162032205474E-86</v>
      </c>
      <c r="P134" s="135" t="e">
        <f t="shared" si="170"/>
        <v>#DIV/0!</v>
      </c>
      <c r="Q134" s="163">
        <f t="shared" si="170"/>
        <v>829.91811772470783</v>
      </c>
      <c r="R134" s="163">
        <f t="shared" si="170"/>
        <v>758.16248504892576</v>
      </c>
      <c r="W134" s="135" t="s">
        <v>11</v>
      </c>
      <c r="X134" s="135">
        <f t="shared" ref="X134:AA137" si="171">X129*Z122</f>
        <v>4.2667426196066223E-86</v>
      </c>
      <c r="Y134" s="135" t="e">
        <f t="shared" si="171"/>
        <v>#DIV/0!</v>
      </c>
      <c r="Z134" s="163">
        <f t="shared" si="171"/>
        <v>841.68752377744454</v>
      </c>
      <c r="AA134" s="163">
        <f t="shared" si="171"/>
        <v>768.38672937888066</v>
      </c>
      <c r="AG134" s="135" t="s">
        <v>11</v>
      </c>
      <c r="AH134" s="135">
        <f t="shared" ref="AH134:AK137" si="172">AH129*AJ122</f>
        <v>5.0835442672591452E-86</v>
      </c>
      <c r="AI134" s="135" t="e">
        <f t="shared" si="172"/>
        <v>#DIV/0!</v>
      </c>
      <c r="AJ134" s="163">
        <f t="shared" si="172"/>
        <v>994.79610296958276</v>
      </c>
      <c r="AK134" s="163">
        <f t="shared" si="172"/>
        <v>909.02093040722673</v>
      </c>
      <c r="AQ134" s="135" t="s">
        <v>11</v>
      </c>
      <c r="AR134" s="135">
        <f t="shared" ref="AR134:AU137" si="173">AR129*AT122</f>
        <v>4.8081966169122303E-86</v>
      </c>
      <c r="AS134" s="135" t="e">
        <f t="shared" si="173"/>
        <v>#DIV/0!</v>
      </c>
      <c r="AT134" s="163">
        <f t="shared" si="173"/>
        <v>1100.6974275659832</v>
      </c>
      <c r="AU134" s="163">
        <f t="shared" si="173"/>
        <v>1005.5541702273536</v>
      </c>
      <c r="BA134" s="135" t="s">
        <v>11</v>
      </c>
      <c r="BB134" s="135">
        <f t="shared" ref="BB134:BE137" si="174">BB129*BD122</f>
        <v>5.8743490933327298E-86</v>
      </c>
      <c r="BC134" s="135" t="e">
        <f t="shared" si="174"/>
        <v>#DIV/0!</v>
      </c>
      <c r="BD134" s="163">
        <f t="shared" si="174"/>
        <v>1131.4789059134985</v>
      </c>
      <c r="BE134" s="163">
        <f t="shared" si="174"/>
        <v>1034.9310340885347</v>
      </c>
      <c r="BK134" s="135" t="s">
        <v>11</v>
      </c>
      <c r="BL134" s="135">
        <f t="shared" ref="BL134:BO137" si="175">BL129*BN122</f>
        <v>6.3178088887923518E-86</v>
      </c>
      <c r="BM134" s="135" t="e">
        <f t="shared" si="175"/>
        <v>#DIV/0!</v>
      </c>
      <c r="BN134" s="163">
        <f t="shared" si="175"/>
        <v>1207.5869867643023</v>
      </c>
      <c r="BO134" s="163">
        <f t="shared" si="175"/>
        <v>1105.117823944877</v>
      </c>
    </row>
    <row r="135" spans="4:67" x14ac:dyDescent="0.3">
      <c r="D135" s="135" t="s">
        <v>12</v>
      </c>
      <c r="E135" s="135" t="e">
        <f t="shared" si="169"/>
        <v>#DIV/0!</v>
      </c>
      <c r="F135" s="135">
        <f t="shared" si="169"/>
        <v>5.3867727866341617E-86</v>
      </c>
      <c r="G135" s="163">
        <f t="shared" si="169"/>
        <v>688.26762066232095</v>
      </c>
      <c r="H135" s="163">
        <f t="shared" si="169"/>
        <v>723.1766207431333</v>
      </c>
      <c r="N135" s="135" t="s">
        <v>12</v>
      </c>
      <c r="O135" s="135" t="e">
        <f t="shared" si="170"/>
        <v>#DIV/0!</v>
      </c>
      <c r="P135" s="135">
        <f t="shared" si="170"/>
        <v>1.5397156760465364E-86</v>
      </c>
      <c r="Q135" s="163">
        <f t="shared" si="170"/>
        <v>1032.7810505892155</v>
      </c>
      <c r="R135" s="163">
        <f t="shared" si="170"/>
        <v>943.4856657580458</v>
      </c>
      <c r="W135" s="135" t="s">
        <v>12</v>
      </c>
      <c r="X135" s="135" t="e">
        <f t="shared" si="171"/>
        <v>#DIV/0!</v>
      </c>
      <c r="Y135" s="135">
        <f t="shared" si="171"/>
        <v>1.1714608095934074E-86</v>
      </c>
      <c r="Z135" s="163">
        <f t="shared" si="171"/>
        <v>1003.842990010994</v>
      </c>
      <c r="AA135" s="163">
        <f t="shared" si="171"/>
        <v>916.42041745223537</v>
      </c>
      <c r="AG135" s="135" t="s">
        <v>12</v>
      </c>
      <c r="AH135" s="135" t="e">
        <f t="shared" si="172"/>
        <v>#DIV/0!</v>
      </c>
      <c r="AI135" s="135">
        <f t="shared" si="172"/>
        <v>1.4390170728931575E-86</v>
      </c>
      <c r="AJ135" s="163">
        <f t="shared" si="172"/>
        <v>1215.2812637829688</v>
      </c>
      <c r="AK135" s="163">
        <f t="shared" si="172"/>
        <v>1110.495006778533</v>
      </c>
      <c r="AQ135" s="135" t="s">
        <v>12</v>
      </c>
      <c r="AR135" s="135" t="e">
        <f t="shared" si="173"/>
        <v>#DIV/0!</v>
      </c>
      <c r="AS135" s="135">
        <f t="shared" si="173"/>
        <v>1.2826270721789799E-86</v>
      </c>
      <c r="AT135" s="163">
        <f t="shared" si="173"/>
        <v>1314.0099214257323</v>
      </c>
      <c r="AU135" s="163">
        <f t="shared" si="173"/>
        <v>1200.4281313999475</v>
      </c>
      <c r="BA135" s="135" t="s">
        <v>12</v>
      </c>
      <c r="BB135" s="135" t="e">
        <f t="shared" si="174"/>
        <v>#DIV/0!</v>
      </c>
      <c r="BC135" s="135">
        <f t="shared" si="174"/>
        <v>1.6823086794843696E-86</v>
      </c>
      <c r="BD135" s="163">
        <f t="shared" si="174"/>
        <v>1384.9687629353323</v>
      </c>
      <c r="BE135" s="163">
        <f t="shared" si="174"/>
        <v>1266.7908756529321</v>
      </c>
      <c r="BK135" s="135" t="s">
        <v>12</v>
      </c>
      <c r="BL135" s="135" t="e">
        <f t="shared" si="175"/>
        <v>#DIV/0!</v>
      </c>
      <c r="BM135" s="135">
        <f t="shared" si="175"/>
        <v>1.8192712213974013E-86</v>
      </c>
      <c r="BN135" s="163">
        <f t="shared" si="175"/>
        <v>1479.543137296065</v>
      </c>
      <c r="BO135" s="163">
        <f t="shared" si="175"/>
        <v>1353.9972774154592</v>
      </c>
    </row>
    <row r="136" spans="4:67" x14ac:dyDescent="0.3">
      <c r="D136" s="135" t="s">
        <v>13</v>
      </c>
      <c r="E136" s="163">
        <f t="shared" si="169"/>
        <v>358.07330903784725</v>
      </c>
      <c r="F136" s="163">
        <f t="shared" si="169"/>
        <v>695.52693517635998</v>
      </c>
      <c r="G136" s="135">
        <f t="shared" si="169"/>
        <v>8.7696776442600861E-88</v>
      </c>
      <c r="H136" s="135" t="e">
        <f t="shared" si="169"/>
        <v>#DIV/0!</v>
      </c>
      <c r="N136" s="135" t="s">
        <v>13</v>
      </c>
      <c r="O136" s="163">
        <f t="shared" si="170"/>
        <v>365.01083421078573</v>
      </c>
      <c r="P136" s="163">
        <f t="shared" si="170"/>
        <v>719.12944489738447</v>
      </c>
      <c r="Q136" s="135">
        <f t="shared" si="170"/>
        <v>4.7600969278785291E-87</v>
      </c>
      <c r="R136" s="135" t="e">
        <f t="shared" si="170"/>
        <v>#DIV/0!</v>
      </c>
      <c r="W136" s="135" t="s">
        <v>13</v>
      </c>
      <c r="X136" s="163">
        <f t="shared" si="171"/>
        <v>404.33007216629346</v>
      </c>
      <c r="Y136" s="163">
        <f t="shared" si="171"/>
        <v>738.26611226420175</v>
      </c>
      <c r="Z136" s="135">
        <f t="shared" si="171"/>
        <v>6.2429801733380445E-87</v>
      </c>
      <c r="AA136" s="135" t="e">
        <f t="shared" si="171"/>
        <v>#DIV/0!</v>
      </c>
      <c r="AG136" s="135" t="s">
        <v>13</v>
      </c>
      <c r="AH136" s="163">
        <f t="shared" si="172"/>
        <v>412.73159341031993</v>
      </c>
      <c r="AI136" s="163">
        <f t="shared" si="172"/>
        <v>758.55102095381108</v>
      </c>
      <c r="AJ136" s="135">
        <f t="shared" si="172"/>
        <v>6.32174026255448E-87</v>
      </c>
      <c r="AK136" s="135" t="e">
        <f t="shared" si="172"/>
        <v>#DIV/0!</v>
      </c>
      <c r="AQ136" s="135" t="s">
        <v>13</v>
      </c>
      <c r="AR136" s="163">
        <f t="shared" si="173"/>
        <v>442.202072136536</v>
      </c>
      <c r="AS136" s="163">
        <f t="shared" si="173"/>
        <v>783.73408969948605</v>
      </c>
      <c r="AT136" s="135">
        <f t="shared" si="173"/>
        <v>7.9233342063138326E-87</v>
      </c>
      <c r="AU136" s="135" t="e">
        <f t="shared" si="173"/>
        <v>#DIV/0!</v>
      </c>
      <c r="BA136" s="135" t="s">
        <v>13</v>
      </c>
      <c r="BB136" s="163">
        <f t="shared" si="174"/>
        <v>460.79657245388438</v>
      </c>
      <c r="BC136" s="163">
        <f t="shared" si="174"/>
        <v>855.11028654608242</v>
      </c>
      <c r="BD136" s="135">
        <f t="shared" si="174"/>
        <v>6.9470019180397486E-87</v>
      </c>
      <c r="BE136" s="135" t="e">
        <f t="shared" si="174"/>
        <v>#DIV/0!</v>
      </c>
      <c r="BK136" s="135" t="s">
        <v>13</v>
      </c>
      <c r="BL136" s="163">
        <f t="shared" si="175"/>
        <v>487.5562876765394</v>
      </c>
      <c r="BM136" s="163">
        <f t="shared" si="175"/>
        <v>908.88093244629408</v>
      </c>
      <c r="BN136" s="135">
        <f t="shared" si="175"/>
        <v>7.2942084463204517E-87</v>
      </c>
      <c r="BO136" s="135" t="e">
        <f t="shared" si="175"/>
        <v>#DIV/0!</v>
      </c>
    </row>
    <row r="137" spans="4:67" x14ac:dyDescent="0.3">
      <c r="D137" s="135" t="s">
        <v>14</v>
      </c>
      <c r="E137" s="163">
        <f t="shared" si="169"/>
        <v>376.23197728534228</v>
      </c>
      <c r="F137" s="163">
        <f t="shared" si="169"/>
        <v>730.7986031680382</v>
      </c>
      <c r="G137" s="135" t="e">
        <f t="shared" si="169"/>
        <v>#DIV/0!</v>
      </c>
      <c r="H137" s="135">
        <f t="shared" si="169"/>
        <v>9.6817624792546725E-88</v>
      </c>
      <c r="N137" s="135" t="s">
        <v>14</v>
      </c>
      <c r="O137" s="163">
        <f t="shared" si="170"/>
        <v>386.29356959029747</v>
      </c>
      <c r="P137" s="163">
        <f t="shared" si="170"/>
        <v>761.05982132705481</v>
      </c>
      <c r="Q137" s="135" t="e">
        <f t="shared" si="170"/>
        <v>#DIV/0!</v>
      </c>
      <c r="R137" s="135">
        <f t="shared" si="170"/>
        <v>4.6020842505189478E-87</v>
      </c>
      <c r="W137" s="135" t="s">
        <v>14</v>
      </c>
      <c r="X137" s="163">
        <f t="shared" si="171"/>
        <v>429.68369730302027</v>
      </c>
      <c r="Y137" s="163">
        <f t="shared" si="171"/>
        <v>784.55928596065894</v>
      </c>
      <c r="Z137" s="135" t="e">
        <f t="shared" si="171"/>
        <v>#DIV/0!</v>
      </c>
      <c r="AA137" s="135">
        <f t="shared" si="171"/>
        <v>6.05666781124253E-87</v>
      </c>
      <c r="AG137" s="135" t="s">
        <v>14</v>
      </c>
      <c r="AH137" s="163">
        <f t="shared" si="172"/>
        <v>439.12533120848451</v>
      </c>
      <c r="AI137" s="163">
        <f t="shared" si="172"/>
        <v>807.0595361080675</v>
      </c>
      <c r="AJ137" s="135" t="e">
        <f t="shared" si="172"/>
        <v>#DIV/0!</v>
      </c>
      <c r="AK137" s="135">
        <f t="shared" si="172"/>
        <v>6.146066178778342E-87</v>
      </c>
      <c r="AQ137" s="135" t="s">
        <v>14</v>
      </c>
      <c r="AR137" s="163">
        <f t="shared" si="173"/>
        <v>472.00074502244286</v>
      </c>
      <c r="AS137" s="163">
        <f t="shared" si="173"/>
        <v>836.54758208239377</v>
      </c>
      <c r="AT137" s="135" t="e">
        <f t="shared" si="173"/>
        <v>#DIV/0!</v>
      </c>
      <c r="AU137" s="135">
        <f t="shared" si="173"/>
        <v>7.7262259657899581E-87</v>
      </c>
      <c r="BA137" s="135" t="s">
        <v>14</v>
      </c>
      <c r="BB137" s="163">
        <f t="shared" si="174"/>
        <v>492.40953392329953</v>
      </c>
      <c r="BC137" s="163">
        <f t="shared" si="174"/>
        <v>913.77515116676523</v>
      </c>
      <c r="BD137" s="135" t="e">
        <f t="shared" si="174"/>
        <v>#DIV/0!</v>
      </c>
      <c r="BE137" s="135">
        <f t="shared" si="174"/>
        <v>6.7901533120714388E-87</v>
      </c>
      <c r="BK137" s="135" t="s">
        <v>14</v>
      </c>
      <c r="BL137" s="163">
        <f t="shared" si="175"/>
        <v>522.12381803319727</v>
      </c>
      <c r="BM137" s="163">
        <f t="shared" si="175"/>
        <v>973.32019826449721</v>
      </c>
      <c r="BN137" s="135" t="e">
        <f t="shared" si="175"/>
        <v>#DIV/0!</v>
      </c>
      <c r="BO137" s="135">
        <f t="shared" si="175"/>
        <v>7.1485354084748959E-87</v>
      </c>
    </row>
    <row r="139" spans="4:67" x14ac:dyDescent="0.3">
      <c r="D139" s="135" t="s">
        <v>216</v>
      </c>
      <c r="E139" s="135" t="s">
        <v>11</v>
      </c>
      <c r="F139" s="135" t="s">
        <v>12</v>
      </c>
      <c r="G139" s="135" t="s">
        <v>13</v>
      </c>
      <c r="H139" s="135" t="s">
        <v>14</v>
      </c>
      <c r="N139" s="135" t="s">
        <v>216</v>
      </c>
      <c r="O139" s="135" t="s">
        <v>11</v>
      </c>
      <c r="P139" s="135" t="s">
        <v>12</v>
      </c>
      <c r="Q139" s="135" t="s">
        <v>13</v>
      </c>
      <c r="R139" s="135" t="s">
        <v>14</v>
      </c>
      <c r="W139" s="135" t="s">
        <v>216</v>
      </c>
      <c r="X139" s="135" t="s">
        <v>11</v>
      </c>
      <c r="Y139" s="135" t="s">
        <v>12</v>
      </c>
      <c r="Z139" s="135" t="s">
        <v>13</v>
      </c>
      <c r="AA139" s="135" t="s">
        <v>14</v>
      </c>
      <c r="AG139" s="135" t="s">
        <v>216</v>
      </c>
      <c r="AH139" s="135" t="s">
        <v>11</v>
      </c>
      <c r="AI139" s="135" t="s">
        <v>12</v>
      </c>
      <c r="AJ139" s="135" t="s">
        <v>13</v>
      </c>
      <c r="AK139" s="135" t="s">
        <v>14</v>
      </c>
      <c r="AQ139" s="135" t="s">
        <v>216</v>
      </c>
      <c r="AR139" s="135" t="s">
        <v>11</v>
      </c>
      <c r="AS139" s="135" t="s">
        <v>12</v>
      </c>
      <c r="AT139" s="135" t="s">
        <v>13</v>
      </c>
      <c r="AU139" s="135" t="s">
        <v>14</v>
      </c>
      <c r="BA139" s="135" t="s">
        <v>216</v>
      </c>
      <c r="BB139" s="135" t="s">
        <v>11</v>
      </c>
      <c r="BC139" s="135" t="s">
        <v>12</v>
      </c>
      <c r="BD139" s="135" t="s">
        <v>13</v>
      </c>
      <c r="BE139" s="135" t="s">
        <v>14</v>
      </c>
      <c r="BK139" s="135" t="s">
        <v>216</v>
      </c>
      <c r="BL139" s="135" t="s">
        <v>11</v>
      </c>
      <c r="BM139" s="135" t="s">
        <v>12</v>
      </c>
      <c r="BN139" s="135" t="s">
        <v>13</v>
      </c>
      <c r="BO139" s="135" t="s">
        <v>14</v>
      </c>
    </row>
    <row r="140" spans="4:67" x14ac:dyDescent="0.3">
      <c r="D140" s="135" t="s">
        <v>11</v>
      </c>
      <c r="E140" s="135">
        <v>6.894201355417078E-8</v>
      </c>
      <c r="F140" s="135" t="e">
        <v>#DIV/0!</v>
      </c>
      <c r="G140" s="135">
        <v>3.0845417052342929E-87</v>
      </c>
      <c r="H140" s="135">
        <v>3.0845417052342929E-87</v>
      </c>
      <c r="N140" s="135" t="s">
        <v>11</v>
      </c>
      <c r="O140" s="135">
        <v>6.894201355417078E-8</v>
      </c>
      <c r="P140" s="135" t="e">
        <v>#DIV/0!</v>
      </c>
      <c r="Q140" s="135">
        <v>3.0845417052342929E-87</v>
      </c>
      <c r="R140" s="135">
        <v>3.0845417052342929E-87</v>
      </c>
      <c r="W140" s="135" t="s">
        <v>11</v>
      </c>
      <c r="X140" s="135">
        <v>6.894201355417078E-8</v>
      </c>
      <c r="Y140" s="135" t="e">
        <v>#DIV/0!</v>
      </c>
      <c r="Z140" s="135">
        <v>3.0845417052342929E-87</v>
      </c>
      <c r="AA140" s="135">
        <v>3.0845417052342929E-87</v>
      </c>
      <c r="AG140" s="135" t="s">
        <v>11</v>
      </c>
      <c r="AH140" s="135">
        <v>6.894201355417078E-8</v>
      </c>
      <c r="AI140" s="135" t="e">
        <v>#DIV/0!</v>
      </c>
      <c r="AJ140" s="135">
        <v>3.0845417052342929E-87</v>
      </c>
      <c r="AK140" s="135">
        <v>3.0845417052342929E-87</v>
      </c>
      <c r="AQ140" s="135" t="s">
        <v>11</v>
      </c>
      <c r="AR140" s="135">
        <v>6.894201355417078E-8</v>
      </c>
      <c r="AS140" s="135" t="e">
        <v>#DIV/0!</v>
      </c>
      <c r="AT140" s="135">
        <v>3.0845417052342929E-87</v>
      </c>
      <c r="AU140" s="135">
        <v>3.0845417052342929E-87</v>
      </c>
      <c r="BA140" s="135" t="s">
        <v>11</v>
      </c>
      <c r="BB140" s="135">
        <v>6.894201355417078E-8</v>
      </c>
      <c r="BC140" s="135" t="e">
        <v>#DIV/0!</v>
      </c>
      <c r="BD140" s="135">
        <v>3.0845417052342929E-87</v>
      </c>
      <c r="BE140" s="135">
        <v>3.0845417052342929E-87</v>
      </c>
      <c r="BK140" s="135" t="s">
        <v>11</v>
      </c>
      <c r="BL140" s="135">
        <v>6.894201355417078E-8</v>
      </c>
      <c r="BM140" s="135" t="e">
        <v>#DIV/0!</v>
      </c>
      <c r="BN140" s="135">
        <v>3.0845417052342929E-87</v>
      </c>
      <c r="BO140" s="135">
        <v>3.0845417052342929E-87</v>
      </c>
    </row>
    <row r="141" spans="4:67" x14ac:dyDescent="0.3">
      <c r="D141" s="135" t="s">
        <v>12</v>
      </c>
      <c r="E141" s="135" t="e">
        <v>#DIV/0!</v>
      </c>
      <c r="F141" s="135">
        <v>6.894201355417078E-8</v>
      </c>
      <c r="G141" s="135">
        <v>8.3227121682720951E-88</v>
      </c>
      <c r="H141" s="135">
        <v>8.3227121682720951E-88</v>
      </c>
      <c r="N141" s="135" t="s">
        <v>12</v>
      </c>
      <c r="O141" s="135" t="e">
        <v>#DIV/0!</v>
      </c>
      <c r="P141" s="135">
        <v>6.894201355417078E-8</v>
      </c>
      <c r="Q141" s="135">
        <v>8.3227121682720951E-88</v>
      </c>
      <c r="R141" s="135">
        <v>8.3227121682720951E-88</v>
      </c>
      <c r="W141" s="135" t="s">
        <v>12</v>
      </c>
      <c r="X141" s="135" t="e">
        <v>#DIV/0!</v>
      </c>
      <c r="Y141" s="135">
        <v>6.894201355417078E-8</v>
      </c>
      <c r="Z141" s="135">
        <v>8.3227121682720951E-88</v>
      </c>
      <c r="AA141" s="135">
        <v>8.3227121682720951E-88</v>
      </c>
      <c r="AG141" s="135" t="s">
        <v>12</v>
      </c>
      <c r="AH141" s="135" t="e">
        <v>#DIV/0!</v>
      </c>
      <c r="AI141" s="135">
        <v>6.894201355417078E-8</v>
      </c>
      <c r="AJ141" s="135">
        <v>8.3227121682720951E-88</v>
      </c>
      <c r="AK141" s="135">
        <v>8.3227121682720951E-88</v>
      </c>
      <c r="AQ141" s="135" t="s">
        <v>12</v>
      </c>
      <c r="AR141" s="135" t="e">
        <v>#DIV/0!</v>
      </c>
      <c r="AS141" s="135">
        <v>6.894201355417078E-8</v>
      </c>
      <c r="AT141" s="135">
        <v>8.3227121682720951E-88</v>
      </c>
      <c r="AU141" s="135">
        <v>8.3227121682720951E-88</v>
      </c>
      <c r="BA141" s="135" t="s">
        <v>12</v>
      </c>
      <c r="BB141" s="135" t="e">
        <v>#DIV/0!</v>
      </c>
      <c r="BC141" s="135">
        <v>6.894201355417078E-8</v>
      </c>
      <c r="BD141" s="135">
        <v>8.3227121682720951E-88</v>
      </c>
      <c r="BE141" s="135">
        <v>8.3227121682720951E-88</v>
      </c>
      <c r="BK141" s="135" t="s">
        <v>12</v>
      </c>
      <c r="BL141" s="135" t="e">
        <v>#DIV/0!</v>
      </c>
      <c r="BM141" s="135">
        <v>6.894201355417078E-8</v>
      </c>
      <c r="BN141" s="135">
        <v>8.3227121682720951E-88</v>
      </c>
      <c r="BO141" s="135">
        <v>8.3227121682720951E-88</v>
      </c>
    </row>
    <row r="142" spans="4:67" x14ac:dyDescent="0.3">
      <c r="D142" s="135" t="s">
        <v>13</v>
      </c>
      <c r="E142" s="135">
        <v>3.0845417052342929E-87</v>
      </c>
      <c r="F142" s="135">
        <v>8.3227121682720951E-88</v>
      </c>
      <c r="G142" s="135">
        <v>6.894201355417078E-8</v>
      </c>
      <c r="H142" s="135" t="e">
        <v>#DIV/0!</v>
      </c>
      <c r="N142" s="135" t="s">
        <v>13</v>
      </c>
      <c r="O142" s="135">
        <v>3.0845417052342929E-87</v>
      </c>
      <c r="P142" s="135">
        <v>8.3227121682720951E-88</v>
      </c>
      <c r="Q142" s="135">
        <v>6.894201355417078E-8</v>
      </c>
      <c r="R142" s="135" t="e">
        <v>#DIV/0!</v>
      </c>
      <c r="W142" s="135" t="s">
        <v>13</v>
      </c>
      <c r="X142" s="135">
        <v>3.0845417052342929E-87</v>
      </c>
      <c r="Y142" s="135">
        <v>8.3227121682720951E-88</v>
      </c>
      <c r="Z142" s="135">
        <v>6.894201355417078E-8</v>
      </c>
      <c r="AA142" s="135" t="e">
        <v>#DIV/0!</v>
      </c>
      <c r="AG142" s="135" t="s">
        <v>13</v>
      </c>
      <c r="AH142" s="135">
        <v>3.0845417052342929E-87</v>
      </c>
      <c r="AI142" s="135">
        <v>8.3227121682720951E-88</v>
      </c>
      <c r="AJ142" s="135">
        <v>6.894201355417078E-8</v>
      </c>
      <c r="AK142" s="135" t="e">
        <v>#DIV/0!</v>
      </c>
      <c r="AQ142" s="135" t="s">
        <v>13</v>
      </c>
      <c r="AR142" s="135">
        <v>3.0845417052342929E-87</v>
      </c>
      <c r="AS142" s="135">
        <v>8.3227121682720951E-88</v>
      </c>
      <c r="AT142" s="135">
        <v>6.894201355417078E-8</v>
      </c>
      <c r="AU142" s="135" t="e">
        <v>#DIV/0!</v>
      </c>
      <c r="BA142" s="135" t="s">
        <v>13</v>
      </c>
      <c r="BB142" s="135">
        <v>3.0845417052342929E-87</v>
      </c>
      <c r="BC142" s="135">
        <v>8.3227121682720951E-88</v>
      </c>
      <c r="BD142" s="135">
        <v>6.894201355417078E-8</v>
      </c>
      <c r="BE142" s="135" t="e">
        <v>#DIV/0!</v>
      </c>
      <c r="BK142" s="135" t="s">
        <v>13</v>
      </c>
      <c r="BL142" s="135">
        <v>3.0845417052342929E-87</v>
      </c>
      <c r="BM142" s="135">
        <v>8.3227121682720951E-88</v>
      </c>
      <c r="BN142" s="135">
        <v>6.894201355417078E-8</v>
      </c>
      <c r="BO142" s="135" t="e">
        <v>#DIV/0!</v>
      </c>
    </row>
    <row r="143" spans="4:67" x14ac:dyDescent="0.3">
      <c r="D143" s="135" t="s">
        <v>14</v>
      </c>
      <c r="E143" s="135">
        <v>3.0845417052342929E-87</v>
      </c>
      <c r="F143" s="135">
        <v>8.3227121682720951E-88</v>
      </c>
      <c r="G143" s="135" t="e">
        <v>#DIV/0!</v>
      </c>
      <c r="H143" s="135">
        <v>6.894201355417078E-8</v>
      </c>
      <c r="N143" s="135" t="s">
        <v>14</v>
      </c>
      <c r="O143" s="135">
        <v>3.0845417052342929E-87</v>
      </c>
      <c r="P143" s="135">
        <v>8.3227121682720951E-88</v>
      </c>
      <c r="Q143" s="135" t="e">
        <v>#DIV/0!</v>
      </c>
      <c r="R143" s="135">
        <v>6.894201355417078E-8</v>
      </c>
      <c r="W143" s="135" t="s">
        <v>14</v>
      </c>
      <c r="X143" s="135">
        <v>3.0845417052342929E-87</v>
      </c>
      <c r="Y143" s="135">
        <v>8.3227121682720951E-88</v>
      </c>
      <c r="Z143" s="135" t="e">
        <v>#DIV/0!</v>
      </c>
      <c r="AA143" s="135">
        <v>6.894201355417078E-8</v>
      </c>
      <c r="AG143" s="135" t="s">
        <v>14</v>
      </c>
      <c r="AH143" s="135">
        <v>3.0845417052342929E-87</v>
      </c>
      <c r="AI143" s="135">
        <v>8.3227121682720951E-88</v>
      </c>
      <c r="AJ143" s="135" t="e">
        <v>#DIV/0!</v>
      </c>
      <c r="AK143" s="135">
        <v>6.894201355417078E-8</v>
      </c>
      <c r="AQ143" s="135" t="s">
        <v>14</v>
      </c>
      <c r="AR143" s="135">
        <v>3.0845417052342929E-87</v>
      </c>
      <c r="AS143" s="135">
        <v>8.3227121682720951E-88</v>
      </c>
      <c r="AT143" s="135" t="e">
        <v>#DIV/0!</v>
      </c>
      <c r="AU143" s="135">
        <v>6.894201355417078E-8</v>
      </c>
      <c r="BA143" s="135" t="s">
        <v>14</v>
      </c>
      <c r="BB143" s="135">
        <v>3.0845417052342929E-87</v>
      </c>
      <c r="BC143" s="135">
        <v>8.3227121682720951E-88</v>
      </c>
      <c r="BD143" s="135" t="e">
        <v>#DIV/0!</v>
      </c>
      <c r="BE143" s="135">
        <v>6.894201355417078E-8</v>
      </c>
      <c r="BK143" s="135" t="s">
        <v>14</v>
      </c>
      <c r="BL143" s="135">
        <v>3.0845417052342929E-87</v>
      </c>
      <c r="BM143" s="135">
        <v>8.3227121682720951E-88</v>
      </c>
      <c r="BN143" s="135" t="e">
        <v>#DIV/0!</v>
      </c>
      <c r="BO143" s="135">
        <v>6.894201355417078E-8</v>
      </c>
    </row>
    <row r="144" spans="4:67" x14ac:dyDescent="0.3">
      <c r="D144" s="135" t="s">
        <v>199</v>
      </c>
      <c r="E144" s="135" t="s">
        <v>11</v>
      </c>
      <c r="F144" s="135" t="s">
        <v>12</v>
      </c>
      <c r="G144" s="135" t="s">
        <v>13</v>
      </c>
      <c r="H144" s="135" t="s">
        <v>14</v>
      </c>
      <c r="N144" s="135" t="s">
        <v>199</v>
      </c>
      <c r="O144" s="135" t="s">
        <v>11</v>
      </c>
      <c r="P144" s="135" t="s">
        <v>12</v>
      </c>
      <c r="Q144" s="135" t="s">
        <v>13</v>
      </c>
      <c r="R144" s="135" t="s">
        <v>14</v>
      </c>
      <c r="W144" s="135" t="s">
        <v>199</v>
      </c>
      <c r="X144" s="135" t="s">
        <v>11</v>
      </c>
      <c r="Y144" s="135" t="s">
        <v>12</v>
      </c>
      <c r="Z144" s="135" t="s">
        <v>13</v>
      </c>
      <c r="AA144" s="135" t="s">
        <v>14</v>
      </c>
      <c r="AG144" s="135" t="s">
        <v>199</v>
      </c>
      <c r="AH144" s="135" t="s">
        <v>11</v>
      </c>
      <c r="AI144" s="135" t="s">
        <v>12</v>
      </c>
      <c r="AJ144" s="135" t="s">
        <v>13</v>
      </c>
      <c r="AK144" s="135" t="s">
        <v>14</v>
      </c>
      <c r="AQ144" s="135" t="s">
        <v>199</v>
      </c>
      <c r="AR144" s="135" t="s">
        <v>11</v>
      </c>
      <c r="AS144" s="135" t="s">
        <v>12</v>
      </c>
      <c r="AT144" s="135" t="s">
        <v>13</v>
      </c>
      <c r="AU144" s="135" t="s">
        <v>14</v>
      </c>
      <c r="BA144" s="135" t="s">
        <v>199</v>
      </c>
      <c r="BB144" s="135" t="s">
        <v>11</v>
      </c>
      <c r="BC144" s="135" t="s">
        <v>12</v>
      </c>
      <c r="BD144" s="135" t="s">
        <v>13</v>
      </c>
      <c r="BE144" s="135" t="s">
        <v>14</v>
      </c>
      <c r="BK144" s="135" t="s">
        <v>199</v>
      </c>
      <c r="BL144" s="135" t="s">
        <v>11</v>
      </c>
      <c r="BM144" s="135" t="s">
        <v>12</v>
      </c>
      <c r="BN144" s="135" t="s">
        <v>13</v>
      </c>
      <c r="BO144" s="135" t="s">
        <v>14</v>
      </c>
    </row>
    <row r="145" spans="4:67" x14ac:dyDescent="0.3">
      <c r="D145" s="135" t="s">
        <v>11</v>
      </c>
      <c r="E145" s="135">
        <f t="shared" ref="E145:H148" si="176">E140*E122</f>
        <v>9.0706642783457519E-5</v>
      </c>
      <c r="F145" s="135" t="e">
        <f t="shared" si="176"/>
        <v>#DIV/0!</v>
      </c>
      <c r="G145" s="164">
        <f t="shared" si="176"/>
        <v>1.0967980876142814E-84</v>
      </c>
      <c r="H145" s="135">
        <f t="shared" si="176"/>
        <v>1.1524277923682506E-84</v>
      </c>
      <c r="N145" s="135" t="s">
        <v>11</v>
      </c>
      <c r="O145" s="135">
        <f t="shared" ref="O145:R148" si="177">O140*P122</f>
        <v>3.9759410832831625E-5</v>
      </c>
      <c r="P145" s="135" t="e">
        <f t="shared" si="177"/>
        <v>#DIV/0!</v>
      </c>
      <c r="Q145" s="164">
        <f t="shared" si="177"/>
        <v>2.5599170460514048E-84</v>
      </c>
      <c r="R145" s="135">
        <f t="shared" si="177"/>
        <v>2.3385838044774825E-84</v>
      </c>
      <c r="W145" s="135" t="s">
        <v>11</v>
      </c>
      <c r="X145" s="135">
        <f t="shared" ref="X145:AA148" si="178">X140*Z122</f>
        <v>3.4057260623875613E-5</v>
      </c>
      <c r="Y145" s="135" t="e">
        <f t="shared" si="178"/>
        <v>#DIV/0!</v>
      </c>
      <c r="Z145" s="164">
        <f t="shared" si="178"/>
        <v>2.5962202698669083E-84</v>
      </c>
      <c r="AA145" s="135">
        <f t="shared" si="178"/>
        <v>2.3701209125177339E-84</v>
      </c>
      <c r="AG145" s="135" t="s">
        <v>11</v>
      </c>
      <c r="AH145" s="135">
        <f t="shared" ref="AH145:AK148" si="179">AH140*AJ122</f>
        <v>4.057699454555231E-5</v>
      </c>
      <c r="AI145" s="135" t="e">
        <f t="shared" si="179"/>
        <v>#DIV/0!</v>
      </c>
      <c r="AJ145" s="164">
        <f t="shared" si="179"/>
        <v>3.0684900678142259E-84</v>
      </c>
      <c r="AK145" s="135">
        <f t="shared" si="179"/>
        <v>2.8039129707719707E-84</v>
      </c>
      <c r="AQ145" s="135" t="s">
        <v>11</v>
      </c>
      <c r="AR145" s="135">
        <f t="shared" ref="AR145:AU148" si="180">AR140*AT122</f>
        <v>3.8379161789729501E-5</v>
      </c>
      <c r="AS145" s="135" t="e">
        <f t="shared" si="180"/>
        <v>#DIV/0!</v>
      </c>
      <c r="AT145" s="164">
        <f t="shared" si="180"/>
        <v>3.3951471201713774E-84</v>
      </c>
      <c r="AU145" s="135">
        <f t="shared" si="180"/>
        <v>3.1016737749385358E-84</v>
      </c>
      <c r="BA145" s="135" t="s">
        <v>11</v>
      </c>
      <c r="BB145" s="135">
        <f t="shared" ref="BB145:BE148" si="181">BB140*BD122</f>
        <v>4.6889221099937205E-5</v>
      </c>
      <c r="BC145" s="135" t="e">
        <f t="shared" si="181"/>
        <v>#DIV/0!</v>
      </c>
      <c r="BD145" s="164">
        <f t="shared" si="181"/>
        <v>3.4900938738830546E-84</v>
      </c>
      <c r="BE145" s="135">
        <f t="shared" si="181"/>
        <v>3.192287936687339E-84</v>
      </c>
      <c r="BK145" s="135" t="s">
        <v>11</v>
      </c>
      <c r="BL145" s="135">
        <f t="shared" ref="BL145:BO148" si="182">BL140*BN122</f>
        <v>5.042892976686668E-5</v>
      </c>
      <c r="BM145" s="135" t="e">
        <f t="shared" si="182"/>
        <v>#DIV/0!</v>
      </c>
      <c r="BN145" s="164">
        <f t="shared" si="182"/>
        <v>3.7248524233727025E-84</v>
      </c>
      <c r="BO145" s="135">
        <f t="shared" si="182"/>
        <v>3.408782017155742E-84</v>
      </c>
    </row>
    <row r="146" spans="4:67" x14ac:dyDescent="0.3">
      <c r="D146" s="135" t="s">
        <v>12</v>
      </c>
      <c r="E146" s="135" t="e">
        <f t="shared" si="176"/>
        <v>#DIV/0!</v>
      </c>
      <c r="F146" s="135">
        <f t="shared" si="176"/>
        <v>4.2997373188850687E-5</v>
      </c>
      <c r="G146" s="135">
        <f t="shared" si="176"/>
        <v>5.7282533015139806E-85</v>
      </c>
      <c r="H146" s="135">
        <f t="shared" si="176"/>
        <v>6.0187908612687697E-85</v>
      </c>
      <c r="N146" s="135" t="s">
        <v>12</v>
      </c>
      <c r="O146" s="135" t="e">
        <f t="shared" si="177"/>
        <v>#DIV/0!</v>
      </c>
      <c r="P146" s="135">
        <f t="shared" si="177"/>
        <v>1.2290054203133151E-5</v>
      </c>
      <c r="Q146" s="135">
        <f t="shared" si="177"/>
        <v>8.5955394168997027E-85</v>
      </c>
      <c r="R146" s="135">
        <f t="shared" si="177"/>
        <v>7.8523596309947861E-85</v>
      </c>
      <c r="W146" s="135" t="s">
        <v>12</v>
      </c>
      <c r="X146" s="135" t="e">
        <f t="shared" si="178"/>
        <v>#DIV/0!</v>
      </c>
      <c r="Y146" s="135">
        <f t="shared" si="178"/>
        <v>9.3506334128626984E-6</v>
      </c>
      <c r="Z146" s="135">
        <f t="shared" si="178"/>
        <v>8.3546962679991428E-85</v>
      </c>
      <c r="AA146" s="135">
        <f t="shared" si="178"/>
        <v>7.6271033595827122E-85</v>
      </c>
      <c r="AG146" s="135" t="s">
        <v>12</v>
      </c>
      <c r="AH146" s="135" t="e">
        <f t="shared" si="179"/>
        <v>#DIV/0!</v>
      </c>
      <c r="AI146" s="135">
        <f t="shared" si="179"/>
        <v>1.1486275096257699E-5</v>
      </c>
      <c r="AJ146" s="135">
        <f t="shared" si="179"/>
        <v>1.0114436161959604E-84</v>
      </c>
      <c r="AK146" s="135">
        <f t="shared" si="179"/>
        <v>9.242330305721099E-85</v>
      </c>
      <c r="AQ146" s="135" t="s">
        <v>12</v>
      </c>
      <c r="AR146" s="135" t="e">
        <f t="shared" si="180"/>
        <v>#DIV/0!</v>
      </c>
      <c r="AS146" s="135">
        <f t="shared" si="180"/>
        <v>1.0237965674260761E-5</v>
      </c>
      <c r="AT146" s="135">
        <f t="shared" si="180"/>
        <v>1.0936126362280202E-84</v>
      </c>
      <c r="AU146" s="135">
        <f t="shared" si="180"/>
        <v>9.9908178163384759E-85</v>
      </c>
      <c r="BA146" s="135" t="s">
        <v>12</v>
      </c>
      <c r="BB146" s="135" t="e">
        <f t="shared" si="181"/>
        <v>#DIV/0!</v>
      </c>
      <c r="BC146" s="135">
        <f t="shared" si="181"/>
        <v>1.3428235601492543E-5</v>
      </c>
      <c r="BD146" s="135">
        <f t="shared" si="181"/>
        <v>1.1526696375958641E-84</v>
      </c>
      <c r="BE146" s="135">
        <f t="shared" si="181"/>
        <v>1.0543135835452721E-84</v>
      </c>
      <c r="BK146" s="135" t="s">
        <v>12</v>
      </c>
      <c r="BL146" s="135" t="e">
        <f t="shared" si="182"/>
        <v>#DIV/0!</v>
      </c>
      <c r="BM146" s="135">
        <f t="shared" si="182"/>
        <v>1.4521474496242343E-5</v>
      </c>
      <c r="BN146" s="135">
        <f t="shared" si="182"/>
        <v>1.2313811672257432E-84</v>
      </c>
      <c r="BO146" s="135">
        <f t="shared" si="182"/>
        <v>1.126892961655293E-84</v>
      </c>
    </row>
    <row r="147" spans="4:67" x14ac:dyDescent="0.3">
      <c r="D147" s="135" t="s">
        <v>13</v>
      </c>
      <c r="E147" s="135">
        <f t="shared" si="176"/>
        <v>1.1044920552584874E-84</v>
      </c>
      <c r="F147" s="135">
        <f t="shared" si="176"/>
        <v>5.7886704867532882E-85</v>
      </c>
      <c r="G147" s="135">
        <f t="shared" si="176"/>
        <v>6.9999815724876707E-7</v>
      </c>
      <c r="H147" s="135" t="e">
        <f t="shared" si="176"/>
        <v>#DIV/0!</v>
      </c>
      <c r="N147" s="135" t="s">
        <v>13</v>
      </c>
      <c r="O147" s="135">
        <f t="shared" si="177"/>
        <v>1.1258911409855287E-84</v>
      </c>
      <c r="P147" s="135">
        <f t="shared" si="177"/>
        <v>5.9851073816102184E-85</v>
      </c>
      <c r="Q147" s="135">
        <f t="shared" si="177"/>
        <v>3.7995228707424392E-6</v>
      </c>
      <c r="R147" s="135" t="e">
        <f t="shared" si="177"/>
        <v>#DIV/0!</v>
      </c>
      <c r="W147" s="135" t="s">
        <v>13</v>
      </c>
      <c r="X147" s="135">
        <f t="shared" si="178"/>
        <v>1.2471729702773234E-84</v>
      </c>
      <c r="Y147" s="135">
        <f t="shared" si="178"/>
        <v>6.1443763559642043E-85</v>
      </c>
      <c r="Z147" s="135">
        <f t="shared" si="178"/>
        <v>4.9831644837453212E-6</v>
      </c>
      <c r="AA147" s="135" t="e">
        <f t="shared" si="178"/>
        <v>#DIV/0!</v>
      </c>
      <c r="AG147" s="135" t="s">
        <v>13</v>
      </c>
      <c r="AH147" s="135">
        <f t="shared" si="179"/>
        <v>1.2730878129419351E-84</v>
      </c>
      <c r="AI147" s="135">
        <f t="shared" si="179"/>
        <v>6.313201812347504E-85</v>
      </c>
      <c r="AJ147" s="135">
        <f t="shared" si="179"/>
        <v>5.0460310103756787E-6</v>
      </c>
      <c r="AK147" s="135" t="e">
        <f t="shared" si="179"/>
        <v>#DIV/0!</v>
      </c>
      <c r="AQ147" s="135" t="s">
        <v>13</v>
      </c>
      <c r="AR147" s="135">
        <f t="shared" si="180"/>
        <v>1.3639907336461686E-84</v>
      </c>
      <c r="AS147" s="135">
        <f t="shared" si="180"/>
        <v>6.5227932450315662E-85</v>
      </c>
      <c r="AT147" s="135">
        <f t="shared" si="180"/>
        <v>6.3244278395067034E-6</v>
      </c>
      <c r="AU147" s="135" t="e">
        <f t="shared" si="180"/>
        <v>#DIV/0!</v>
      </c>
      <c r="BA147" s="135" t="s">
        <v>13</v>
      </c>
      <c r="BB147" s="135">
        <f t="shared" si="181"/>
        <v>1.421346245363022E-84</v>
      </c>
      <c r="BC147" s="135">
        <f t="shared" si="181"/>
        <v>7.1168367870517182E-85</v>
      </c>
      <c r="BD147" s="135">
        <f t="shared" si="181"/>
        <v>5.5451166374562507E-6</v>
      </c>
      <c r="BE147" s="135" t="e">
        <f t="shared" si="181"/>
        <v>#DIV/0!</v>
      </c>
      <c r="BK147" s="135" t="s">
        <v>13</v>
      </c>
      <c r="BL147" s="135">
        <f t="shared" si="182"/>
        <v>1.5038877029874944E-84</v>
      </c>
      <c r="BM147" s="135">
        <f t="shared" si="182"/>
        <v>7.5643543959812596E-85</v>
      </c>
      <c r="BN147" s="135">
        <f t="shared" si="182"/>
        <v>5.8222578732464977E-6</v>
      </c>
      <c r="BO147" s="135" t="e">
        <f t="shared" si="182"/>
        <v>#DIV/0!</v>
      </c>
    </row>
    <row r="148" spans="4:67" x14ac:dyDescent="0.3">
      <c r="D148" s="135" t="s">
        <v>14</v>
      </c>
      <c r="E148" s="135">
        <f t="shared" si="176"/>
        <v>1.1605032247793994E-84</v>
      </c>
      <c r="F148" s="135">
        <f t="shared" si="176"/>
        <v>6.0822264271428819E-85</v>
      </c>
      <c r="G148" s="135" t="e">
        <f t="shared" si="176"/>
        <v>#DIV/0!</v>
      </c>
      <c r="H148" s="135">
        <f t="shared" si="176"/>
        <v>7.7280102750804491E-7</v>
      </c>
      <c r="N148" s="135" t="s">
        <v>14</v>
      </c>
      <c r="O148" s="135">
        <f t="shared" si="177"/>
        <v>1.1915386258650981E-84</v>
      </c>
      <c r="P148" s="135">
        <f t="shared" si="177"/>
        <v>6.334081835741665E-85</v>
      </c>
      <c r="Q148" s="135" t="e">
        <f t="shared" si="177"/>
        <v>#DIV/0!</v>
      </c>
      <c r="R148" s="135">
        <f t="shared" si="177"/>
        <v>3.673396703441357E-6</v>
      </c>
      <c r="W148" s="135" t="s">
        <v>14</v>
      </c>
      <c r="X148" s="135">
        <f t="shared" si="178"/>
        <v>1.3253772843904338E-84</v>
      </c>
      <c r="Y148" s="135">
        <f t="shared" si="178"/>
        <v>6.5296611159956427E-85</v>
      </c>
      <c r="Z148" s="135" t="e">
        <f t="shared" si="178"/>
        <v>#DIV/0!</v>
      </c>
      <c r="AA148" s="135">
        <f t="shared" si="178"/>
        <v>4.8344494278106415E-6</v>
      </c>
      <c r="AG148" s="135" t="s">
        <v>14</v>
      </c>
      <c r="AH148" s="135">
        <f t="shared" si="179"/>
        <v>1.3545003979373926E-84</v>
      </c>
      <c r="AI148" s="135">
        <f t="shared" si="179"/>
        <v>6.7169242216866461E-85</v>
      </c>
      <c r="AJ148" s="135" t="e">
        <f t="shared" si="179"/>
        <v>#DIV/0!</v>
      </c>
      <c r="AK148" s="135">
        <f t="shared" si="179"/>
        <v>4.9058074583730022E-6</v>
      </c>
      <c r="AQ148" s="135" t="s">
        <v>14</v>
      </c>
      <c r="AR148" s="135">
        <f t="shared" si="180"/>
        <v>1.4559059829233826E-84</v>
      </c>
      <c r="AS148" s="135">
        <f t="shared" si="180"/>
        <v>6.9623447407357384E-85</v>
      </c>
      <c r="AT148" s="135" t="e">
        <f t="shared" si="180"/>
        <v>#DIV/0!</v>
      </c>
      <c r="AU148" s="135">
        <f t="shared" si="180"/>
        <v>6.1670954827859679E-6</v>
      </c>
      <c r="BA148" s="135" t="s">
        <v>14</v>
      </c>
      <c r="BB148" s="135">
        <f t="shared" si="181"/>
        <v>1.5188577434413977E-84</v>
      </c>
      <c r="BC148" s="135">
        <f t="shared" si="181"/>
        <v>7.6050875696803099E-85</v>
      </c>
      <c r="BD148" s="135" t="e">
        <f t="shared" si="181"/>
        <v>#DIV/0!</v>
      </c>
      <c r="BE148" s="135">
        <f t="shared" si="181"/>
        <v>5.4199196352417887E-6</v>
      </c>
      <c r="BK148" s="135" t="s">
        <v>14</v>
      </c>
      <c r="BL148" s="135">
        <f t="shared" si="182"/>
        <v>1.610512692019558E-84</v>
      </c>
      <c r="BM148" s="135">
        <f t="shared" si="182"/>
        <v>8.1006638577209387E-85</v>
      </c>
      <c r="BN148" s="135" t="e">
        <f t="shared" si="182"/>
        <v>#DIV/0!</v>
      </c>
      <c r="BO148" s="135">
        <f t="shared" si="182"/>
        <v>5.7059812412092173E-6</v>
      </c>
    </row>
    <row r="150" spans="4:67" x14ac:dyDescent="0.3">
      <c r="D150" s="135" t="s">
        <v>215</v>
      </c>
      <c r="E150" s="135" t="s">
        <v>11</v>
      </c>
      <c r="F150" s="135" t="s">
        <v>12</v>
      </c>
      <c r="G150" s="135" t="s">
        <v>13</v>
      </c>
      <c r="H150" s="135" t="s">
        <v>14</v>
      </c>
      <c r="N150" s="135" t="s">
        <v>215</v>
      </c>
      <c r="O150" s="135" t="s">
        <v>11</v>
      </c>
      <c r="P150" s="135" t="s">
        <v>12</v>
      </c>
      <c r="Q150" s="135" t="s">
        <v>13</v>
      </c>
      <c r="R150" s="135" t="s">
        <v>14</v>
      </c>
      <c r="W150" s="135" t="s">
        <v>215</v>
      </c>
      <c r="X150" s="135" t="s">
        <v>11</v>
      </c>
      <c r="Y150" s="135" t="s">
        <v>12</v>
      </c>
      <c r="Z150" s="135" t="s">
        <v>13</v>
      </c>
      <c r="AA150" s="135" t="s">
        <v>14</v>
      </c>
      <c r="AG150" s="135" t="s">
        <v>215</v>
      </c>
      <c r="AH150" s="135" t="s">
        <v>11</v>
      </c>
      <c r="AI150" s="135" t="s">
        <v>12</v>
      </c>
      <c r="AJ150" s="135" t="s">
        <v>13</v>
      </c>
      <c r="AK150" s="135" t="s">
        <v>14</v>
      </c>
      <c r="AQ150" s="135" t="s">
        <v>215</v>
      </c>
      <c r="AR150" s="135" t="s">
        <v>11</v>
      </c>
      <c r="AS150" s="135" t="s">
        <v>12</v>
      </c>
      <c r="AT150" s="135" t="s">
        <v>13</v>
      </c>
      <c r="AU150" s="135" t="s">
        <v>14</v>
      </c>
      <c r="BA150" s="135" t="s">
        <v>215</v>
      </c>
      <c r="BB150" s="135" t="s">
        <v>11</v>
      </c>
      <c r="BC150" s="135" t="s">
        <v>12</v>
      </c>
      <c r="BD150" s="135" t="s">
        <v>13</v>
      </c>
      <c r="BE150" s="135" t="s">
        <v>14</v>
      </c>
      <c r="BK150" s="135" t="s">
        <v>215</v>
      </c>
      <c r="BL150" s="135" t="s">
        <v>11</v>
      </c>
      <c r="BM150" s="135" t="s">
        <v>12</v>
      </c>
      <c r="BN150" s="135" t="s">
        <v>13</v>
      </c>
      <c r="BO150" s="135" t="s">
        <v>14</v>
      </c>
    </row>
    <row r="151" spans="4:67" x14ac:dyDescent="0.3">
      <c r="D151" s="135" t="s">
        <v>11</v>
      </c>
      <c r="E151" s="135">
        <v>0.99999993105798646</v>
      </c>
      <c r="F151" s="135" t="e">
        <v>#DIV/0!</v>
      </c>
      <c r="G151" s="135">
        <v>1.2566411811040502E-62</v>
      </c>
      <c r="H151" s="135">
        <v>1.2566411811040502E-62</v>
      </c>
      <c r="N151" s="135" t="s">
        <v>11</v>
      </c>
      <c r="O151" s="135">
        <v>0.99999993105798646</v>
      </c>
      <c r="P151" s="135" t="e">
        <v>#DIV/0!</v>
      </c>
      <c r="Q151" s="135">
        <v>1.2566411811040502E-62</v>
      </c>
      <c r="R151" s="135">
        <v>1.2566411811040502E-62</v>
      </c>
      <c r="W151" s="135" t="s">
        <v>11</v>
      </c>
      <c r="X151" s="135">
        <v>0.99999993105798646</v>
      </c>
      <c r="Y151" s="135" t="e">
        <v>#DIV/0!</v>
      </c>
      <c r="Z151" s="135">
        <v>1.2566411811040502E-62</v>
      </c>
      <c r="AA151" s="135">
        <v>1.2566411811040502E-62</v>
      </c>
      <c r="AG151" s="135" t="s">
        <v>11</v>
      </c>
      <c r="AH151" s="135">
        <v>0.99999993105798646</v>
      </c>
      <c r="AI151" s="135" t="e">
        <v>#DIV/0!</v>
      </c>
      <c r="AJ151" s="135">
        <v>1.2566411811040502E-62</v>
      </c>
      <c r="AK151" s="135">
        <v>1.2566411811040502E-62</v>
      </c>
      <c r="AQ151" s="135" t="s">
        <v>11</v>
      </c>
      <c r="AR151" s="135">
        <v>0.99999993105798646</v>
      </c>
      <c r="AS151" s="135" t="e">
        <v>#DIV/0!</v>
      </c>
      <c r="AT151" s="135">
        <v>1.2566411811040502E-62</v>
      </c>
      <c r="AU151" s="135">
        <v>1.2566411811040502E-62</v>
      </c>
      <c r="BA151" s="135" t="s">
        <v>11</v>
      </c>
      <c r="BB151" s="135">
        <v>0.99999993105798646</v>
      </c>
      <c r="BC151" s="135" t="e">
        <v>#DIV/0!</v>
      </c>
      <c r="BD151" s="135">
        <v>1.2566411811040502E-62</v>
      </c>
      <c r="BE151" s="135">
        <v>1.2566411811040502E-62</v>
      </c>
      <c r="BK151" s="135" t="s">
        <v>11</v>
      </c>
      <c r="BL151" s="135">
        <v>0.99999993105798646</v>
      </c>
      <c r="BM151" s="135" t="e">
        <v>#DIV/0!</v>
      </c>
      <c r="BN151" s="135">
        <v>1.2566411811040502E-62</v>
      </c>
      <c r="BO151" s="135">
        <v>1.2566411811040502E-62</v>
      </c>
    </row>
    <row r="152" spans="4:67" x14ac:dyDescent="0.3">
      <c r="D152" s="135" t="s">
        <v>12</v>
      </c>
      <c r="E152" s="135" t="e">
        <v>#DIV/0!</v>
      </c>
      <c r="F152" s="135">
        <v>0.99999993105798646</v>
      </c>
      <c r="G152" s="135">
        <v>4.8490499747811821E-66</v>
      </c>
      <c r="H152" s="135">
        <v>4.8490499747811821E-66</v>
      </c>
      <c r="N152" s="135" t="s">
        <v>12</v>
      </c>
      <c r="O152" s="135" t="e">
        <v>#DIV/0!</v>
      </c>
      <c r="P152" s="135">
        <v>0.99999993105798646</v>
      </c>
      <c r="Q152" s="135">
        <v>4.8490499747811821E-66</v>
      </c>
      <c r="R152" s="135">
        <v>4.8490499747811821E-66</v>
      </c>
      <c r="W152" s="135" t="s">
        <v>12</v>
      </c>
      <c r="X152" s="135" t="e">
        <v>#DIV/0!</v>
      </c>
      <c r="Y152" s="135">
        <v>0.99999993105798646</v>
      </c>
      <c r="Z152" s="135">
        <v>4.8490499747811821E-66</v>
      </c>
      <c r="AA152" s="135">
        <v>4.8490499747811821E-66</v>
      </c>
      <c r="AG152" s="135" t="s">
        <v>12</v>
      </c>
      <c r="AH152" s="135" t="e">
        <v>#DIV/0!</v>
      </c>
      <c r="AI152" s="135">
        <v>0.99999993105798646</v>
      </c>
      <c r="AJ152" s="135">
        <v>4.8490499747811821E-66</v>
      </c>
      <c r="AK152" s="135">
        <v>4.8490499747811821E-66</v>
      </c>
      <c r="AQ152" s="135" t="s">
        <v>12</v>
      </c>
      <c r="AR152" s="135" t="e">
        <v>#DIV/0!</v>
      </c>
      <c r="AS152" s="135">
        <v>0.99999993105798646</v>
      </c>
      <c r="AT152" s="135">
        <v>4.8490499747811821E-66</v>
      </c>
      <c r="AU152" s="135">
        <v>4.8490499747811821E-66</v>
      </c>
      <c r="BA152" s="135" t="s">
        <v>12</v>
      </c>
      <c r="BB152" s="135" t="e">
        <v>#DIV/0!</v>
      </c>
      <c r="BC152" s="135">
        <v>0.99999993105798646</v>
      </c>
      <c r="BD152" s="135">
        <v>4.8490499747811821E-66</v>
      </c>
      <c r="BE152" s="135">
        <v>4.8490499747811821E-66</v>
      </c>
      <c r="BK152" s="135" t="s">
        <v>12</v>
      </c>
      <c r="BL152" s="135" t="e">
        <v>#DIV/0!</v>
      </c>
      <c r="BM152" s="135">
        <v>0.99999993105798646</v>
      </c>
      <c r="BN152" s="135">
        <v>4.8490499747811821E-66</v>
      </c>
      <c r="BO152" s="135">
        <v>4.8490499747811821E-66</v>
      </c>
    </row>
    <row r="153" spans="4:67" x14ac:dyDescent="0.3">
      <c r="D153" s="135" t="s">
        <v>13</v>
      </c>
      <c r="E153" s="135">
        <v>1.2566411811040502E-62</v>
      </c>
      <c r="F153" s="135">
        <v>4.8490499747811821E-66</v>
      </c>
      <c r="G153" s="135">
        <v>0.99999993105798646</v>
      </c>
      <c r="H153" s="135" t="e">
        <v>#DIV/0!</v>
      </c>
      <c r="N153" s="135" t="s">
        <v>13</v>
      </c>
      <c r="O153" s="135">
        <v>1.2566411811040502E-62</v>
      </c>
      <c r="P153" s="135">
        <v>4.8490499747811821E-66</v>
      </c>
      <c r="Q153" s="135">
        <v>0.99999993105798646</v>
      </c>
      <c r="R153" s="135" t="e">
        <v>#DIV/0!</v>
      </c>
      <c r="W153" s="135" t="s">
        <v>13</v>
      </c>
      <c r="X153" s="135">
        <v>1.2566411811040502E-62</v>
      </c>
      <c r="Y153" s="135">
        <v>4.8490499747811821E-66</v>
      </c>
      <c r="Z153" s="135">
        <v>0.99999993105798646</v>
      </c>
      <c r="AA153" s="135" t="e">
        <v>#DIV/0!</v>
      </c>
      <c r="AG153" s="135" t="s">
        <v>13</v>
      </c>
      <c r="AH153" s="135">
        <v>1.2566411811040502E-62</v>
      </c>
      <c r="AI153" s="135">
        <v>4.8490499747811821E-66</v>
      </c>
      <c r="AJ153" s="135">
        <v>0.99999993105798646</v>
      </c>
      <c r="AK153" s="135" t="e">
        <v>#DIV/0!</v>
      </c>
      <c r="AQ153" s="135" t="s">
        <v>13</v>
      </c>
      <c r="AR153" s="135">
        <v>1.2566411811040502E-62</v>
      </c>
      <c r="AS153" s="135">
        <v>4.8490499747811821E-66</v>
      </c>
      <c r="AT153" s="135">
        <v>0.99999993105798646</v>
      </c>
      <c r="AU153" s="135" t="e">
        <v>#DIV/0!</v>
      </c>
      <c r="BA153" s="135" t="s">
        <v>13</v>
      </c>
      <c r="BB153" s="135">
        <v>1.2566411811040502E-62</v>
      </c>
      <c r="BC153" s="135">
        <v>4.8490499747811821E-66</v>
      </c>
      <c r="BD153" s="135">
        <v>0.99999993105798646</v>
      </c>
      <c r="BE153" s="135" t="e">
        <v>#DIV/0!</v>
      </c>
      <c r="BK153" s="135" t="s">
        <v>13</v>
      </c>
      <c r="BL153" s="135">
        <v>1.2566411811040502E-62</v>
      </c>
      <c r="BM153" s="135">
        <v>4.8490499747811821E-66</v>
      </c>
      <c r="BN153" s="135">
        <v>0.99999993105798646</v>
      </c>
      <c r="BO153" s="135" t="e">
        <v>#DIV/0!</v>
      </c>
    </row>
    <row r="154" spans="4:67" x14ac:dyDescent="0.3">
      <c r="D154" s="135" t="s">
        <v>14</v>
      </c>
      <c r="E154" s="135">
        <v>1.2566411811040502E-62</v>
      </c>
      <c r="F154" s="135">
        <v>4.8490499747811821E-66</v>
      </c>
      <c r="G154" s="135" t="e">
        <v>#DIV/0!</v>
      </c>
      <c r="H154" s="135">
        <v>0.99999993105798646</v>
      </c>
      <c r="N154" s="135" t="s">
        <v>14</v>
      </c>
      <c r="O154" s="135">
        <v>1.2566411811040502E-62</v>
      </c>
      <c r="P154" s="135">
        <v>4.8490499747811821E-66</v>
      </c>
      <c r="Q154" s="135" t="e">
        <v>#DIV/0!</v>
      </c>
      <c r="R154" s="135">
        <v>0.99999993105798646</v>
      </c>
      <c r="W154" s="135" t="s">
        <v>14</v>
      </c>
      <c r="X154" s="135">
        <v>1.2566411811040502E-62</v>
      </c>
      <c r="Y154" s="135">
        <v>4.8490499747811821E-66</v>
      </c>
      <c r="Z154" s="135" t="e">
        <v>#DIV/0!</v>
      </c>
      <c r="AA154" s="135">
        <v>0.99999993105798646</v>
      </c>
      <c r="AG154" s="135" t="s">
        <v>14</v>
      </c>
      <c r="AH154" s="135">
        <v>1.2566411811040502E-62</v>
      </c>
      <c r="AI154" s="135">
        <v>4.8490499747811821E-66</v>
      </c>
      <c r="AJ154" s="135" t="e">
        <v>#DIV/0!</v>
      </c>
      <c r="AK154" s="135">
        <v>0.99999993105798646</v>
      </c>
      <c r="AQ154" s="135" t="s">
        <v>14</v>
      </c>
      <c r="AR154" s="135">
        <v>1.2566411811040502E-62</v>
      </c>
      <c r="AS154" s="135">
        <v>4.8490499747811821E-66</v>
      </c>
      <c r="AT154" s="135" t="e">
        <v>#DIV/0!</v>
      </c>
      <c r="AU154" s="135">
        <v>0.99999993105798646</v>
      </c>
      <c r="BA154" s="135" t="s">
        <v>14</v>
      </c>
      <c r="BB154" s="135">
        <v>1.2566411811040502E-62</v>
      </c>
      <c r="BC154" s="135">
        <v>4.8490499747811821E-66</v>
      </c>
      <c r="BD154" s="135" t="e">
        <v>#DIV/0!</v>
      </c>
      <c r="BE154" s="135">
        <v>0.99999993105798646</v>
      </c>
      <c r="BK154" s="135" t="s">
        <v>14</v>
      </c>
      <c r="BL154" s="135">
        <v>1.2566411811040502E-62</v>
      </c>
      <c r="BM154" s="135">
        <v>4.8490499747811821E-66</v>
      </c>
      <c r="BN154" s="135" t="e">
        <v>#DIV/0!</v>
      </c>
      <c r="BO154" s="135">
        <v>0.99999993105798646</v>
      </c>
    </row>
    <row r="155" spans="4:67" x14ac:dyDescent="0.3">
      <c r="D155" s="135" t="s">
        <v>199</v>
      </c>
      <c r="E155" s="135" t="s">
        <v>11</v>
      </c>
      <c r="F155" s="135" t="s">
        <v>12</v>
      </c>
      <c r="G155" s="135" t="s">
        <v>13</v>
      </c>
      <c r="H155" s="135" t="s">
        <v>14</v>
      </c>
      <c r="N155" s="135" t="s">
        <v>199</v>
      </c>
      <c r="O155" s="135" t="s">
        <v>11</v>
      </c>
      <c r="P155" s="135" t="s">
        <v>12</v>
      </c>
      <c r="Q155" s="135" t="s">
        <v>13</v>
      </c>
      <c r="R155" s="135" t="s">
        <v>14</v>
      </c>
      <c r="W155" s="135" t="s">
        <v>199</v>
      </c>
      <c r="X155" s="135" t="s">
        <v>11</v>
      </c>
      <c r="Y155" s="135" t="s">
        <v>12</v>
      </c>
      <c r="Z155" s="135" t="s">
        <v>13</v>
      </c>
      <c r="AA155" s="135" t="s">
        <v>14</v>
      </c>
      <c r="AG155" s="135" t="s">
        <v>199</v>
      </c>
      <c r="AH155" s="135" t="s">
        <v>11</v>
      </c>
      <c r="AI155" s="135" t="s">
        <v>12</v>
      </c>
      <c r="AJ155" s="135" t="s">
        <v>13</v>
      </c>
      <c r="AK155" s="135" t="s">
        <v>14</v>
      </c>
      <c r="AQ155" s="135" t="s">
        <v>199</v>
      </c>
      <c r="AR155" s="135" t="s">
        <v>11</v>
      </c>
      <c r="AS155" s="135" t="s">
        <v>12</v>
      </c>
      <c r="AT155" s="135" t="s">
        <v>13</v>
      </c>
      <c r="AU155" s="135" t="s">
        <v>14</v>
      </c>
      <c r="BA155" s="135" t="s">
        <v>199</v>
      </c>
      <c r="BB155" s="135" t="s">
        <v>11</v>
      </c>
      <c r="BC155" s="135" t="s">
        <v>12</v>
      </c>
      <c r="BD155" s="135" t="s">
        <v>13</v>
      </c>
      <c r="BE155" s="135" t="s">
        <v>14</v>
      </c>
      <c r="BK155" s="135" t="s">
        <v>199</v>
      </c>
      <c r="BL155" s="135" t="s">
        <v>11</v>
      </c>
      <c r="BM155" s="135" t="s">
        <v>12</v>
      </c>
      <c r="BN155" s="135" t="s">
        <v>13</v>
      </c>
      <c r="BO155" s="135" t="s">
        <v>14</v>
      </c>
    </row>
    <row r="156" spans="4:67" x14ac:dyDescent="0.3">
      <c r="D156" s="135" t="s">
        <v>11</v>
      </c>
      <c r="E156" s="163">
        <f t="shared" ref="E156:H159" si="183">E151*E122</f>
        <v>1315.6946229701678</v>
      </c>
      <c r="F156" s="135" t="e">
        <f t="shared" si="183"/>
        <v>#DIV/0!</v>
      </c>
      <c r="G156" s="135">
        <f t="shared" si="183"/>
        <v>4.4683514634067293E-60</v>
      </c>
      <c r="H156" s="135">
        <f t="shared" si="183"/>
        <v>4.6949866804565423E-60</v>
      </c>
      <c r="N156" s="135" t="s">
        <v>11</v>
      </c>
      <c r="O156" s="163">
        <f t="shared" ref="O156:R159" si="184">O151*P122</f>
        <v>576.70796140146194</v>
      </c>
      <c r="P156" s="135" t="e">
        <f t="shared" si="184"/>
        <v>#DIV/0!</v>
      </c>
      <c r="Q156" s="135">
        <f t="shared" si="184"/>
        <v>1.042909283677227E-59</v>
      </c>
      <c r="R156" s="135">
        <f t="shared" si="184"/>
        <v>9.527382006806638E-60</v>
      </c>
      <c r="W156" s="135" t="s">
        <v>11</v>
      </c>
      <c r="X156" s="163">
        <f t="shared" ref="X156:AA159" si="185">X151*Z122</f>
        <v>493.9986014353816</v>
      </c>
      <c r="Y156" s="135" t="e">
        <f t="shared" si="185"/>
        <v>#DIV/0!</v>
      </c>
      <c r="Z156" s="135">
        <f t="shared" si="185"/>
        <v>1.0576992040002313E-59</v>
      </c>
      <c r="AA156" s="135">
        <f t="shared" si="185"/>
        <v>9.6558640715135479E-60</v>
      </c>
      <c r="AG156" s="135" t="s">
        <v>11</v>
      </c>
      <c r="AH156" s="163">
        <f t="shared" ref="AH156:AK159" si="186">AH151*AJ122</f>
        <v>588.5669660084626</v>
      </c>
      <c r="AI156" s="135" t="e">
        <f t="shared" si="186"/>
        <v>#DIV/0!</v>
      </c>
      <c r="AJ156" s="135">
        <f t="shared" si="186"/>
        <v>1.2501017497934029E-59</v>
      </c>
      <c r="AK156" s="135">
        <f t="shared" si="186"/>
        <v>1.1423131356352399E-59</v>
      </c>
      <c r="AQ156" s="135" t="s">
        <v>11</v>
      </c>
      <c r="AR156" s="163">
        <f t="shared" ref="AR156:AU159" si="187">AR151*AT122</f>
        <v>556.68752862340773</v>
      </c>
      <c r="AS156" s="135" t="e">
        <f t="shared" si="187"/>
        <v>#DIV/0!</v>
      </c>
      <c r="AT156" s="135">
        <f t="shared" si="187"/>
        <v>1.3831817154147067E-59</v>
      </c>
      <c r="AU156" s="135">
        <f t="shared" si="187"/>
        <v>1.2636207801386048E-59</v>
      </c>
      <c r="BA156" s="135" t="s">
        <v>11</v>
      </c>
      <c r="BB156" s="163">
        <f t="shared" ref="BB156:BE159" si="188">BB151*BD122</f>
        <v>680.12544818490062</v>
      </c>
      <c r="BC156" s="135" t="e">
        <f t="shared" si="188"/>
        <v>#DIV/0!</v>
      </c>
      <c r="BD156" s="135">
        <f t="shared" si="188"/>
        <v>1.4218629887214573E-59</v>
      </c>
      <c r="BE156" s="135">
        <f t="shared" si="188"/>
        <v>1.3005369570382522E-59</v>
      </c>
      <c r="BK156" s="135" t="s">
        <v>11</v>
      </c>
      <c r="BL156" s="163">
        <f t="shared" ref="BL156:BO159" si="189">BL151*BN122</f>
        <v>731.46871828120436</v>
      </c>
      <c r="BM156" s="135" t="e">
        <f t="shared" si="189"/>
        <v>#DIV/0!</v>
      </c>
      <c r="BN156" s="135">
        <f t="shared" si="189"/>
        <v>1.5175035373333739E-59</v>
      </c>
      <c r="BO156" s="135">
        <f t="shared" si="189"/>
        <v>1.3887365675412281E-59</v>
      </c>
    </row>
    <row r="157" spans="4:67" x14ac:dyDescent="0.3">
      <c r="D157" s="135" t="s">
        <v>12</v>
      </c>
      <c r="E157" s="135" t="e">
        <f t="shared" si="183"/>
        <v>#DIV/0!</v>
      </c>
      <c r="F157" s="163">
        <f t="shared" si="183"/>
        <v>623.674418658229</v>
      </c>
      <c r="G157" s="135">
        <f t="shared" si="183"/>
        <v>3.3374440886153314E-63</v>
      </c>
      <c r="H157" s="135">
        <f t="shared" si="183"/>
        <v>3.5067195745768308E-63</v>
      </c>
      <c r="N157" s="135" t="s">
        <v>12</v>
      </c>
      <c r="O157" s="135" t="e">
        <f t="shared" si="184"/>
        <v>#DIV/0!</v>
      </c>
      <c r="P157" s="163">
        <f t="shared" si="184"/>
        <v>178.26652750974893</v>
      </c>
      <c r="Q157" s="135">
        <f t="shared" si="184"/>
        <v>5.0080069273141177E-63</v>
      </c>
      <c r="R157" s="135">
        <f t="shared" si="184"/>
        <v>4.5750091437504588E-63</v>
      </c>
      <c r="W157" s="135" t="s">
        <v>12</v>
      </c>
      <c r="X157" s="135" t="e">
        <f t="shared" si="185"/>
        <v>#DIV/0!</v>
      </c>
      <c r="Y157" s="163">
        <f t="shared" si="185"/>
        <v>135.63039844874851</v>
      </c>
      <c r="Z157" s="135">
        <f t="shared" si="185"/>
        <v>4.8676848253970771E-63</v>
      </c>
      <c r="AA157" s="135">
        <f t="shared" si="185"/>
        <v>4.4437684021357223E-63</v>
      </c>
      <c r="AG157" s="135" t="s">
        <v>12</v>
      </c>
      <c r="AH157" s="135" t="e">
        <f t="shared" si="186"/>
        <v>#DIV/0!</v>
      </c>
      <c r="AI157" s="163">
        <f t="shared" si="186"/>
        <v>166.60775791448987</v>
      </c>
      <c r="AJ157" s="135">
        <f t="shared" si="186"/>
        <v>5.8929595814988481E-63</v>
      </c>
      <c r="AK157" s="135">
        <f t="shared" si="186"/>
        <v>5.3848457846140746E-63</v>
      </c>
      <c r="AQ157" s="135" t="s">
        <v>12</v>
      </c>
      <c r="AR157" s="135" t="e">
        <f t="shared" si="187"/>
        <v>#DIV/0!</v>
      </c>
      <c r="AS157" s="163">
        <f t="shared" si="187"/>
        <v>148.50110173226042</v>
      </c>
      <c r="AT157" s="135">
        <f t="shared" si="187"/>
        <v>6.3716997763516703E-63</v>
      </c>
      <c r="AU157" s="135">
        <f t="shared" si="187"/>
        <v>5.8209360002915365E-63</v>
      </c>
      <c r="BA157" s="135" t="s">
        <v>12</v>
      </c>
      <c r="BB157" s="135" t="e">
        <f t="shared" si="188"/>
        <v>#DIV/0!</v>
      </c>
      <c r="BC157" s="163">
        <f t="shared" si="188"/>
        <v>194.77578305965471</v>
      </c>
      <c r="BD157" s="135">
        <f t="shared" si="188"/>
        <v>6.7157827449842978E-63</v>
      </c>
      <c r="BE157" s="135">
        <f t="shared" si="188"/>
        <v>6.1427322636378814E-63</v>
      </c>
      <c r="BK157" s="135" t="s">
        <v>12</v>
      </c>
      <c r="BL157" s="135" t="e">
        <f t="shared" si="189"/>
        <v>#DIV/0!</v>
      </c>
      <c r="BM157" s="163">
        <f t="shared" si="189"/>
        <v>210.63315018631548</v>
      </c>
      <c r="BN157" s="135">
        <f t="shared" si="189"/>
        <v>7.1743786125931551E-63</v>
      </c>
      <c r="BO157" s="135">
        <f t="shared" si="189"/>
        <v>6.5656004639052213E-63</v>
      </c>
    </row>
    <row r="158" spans="4:67" x14ac:dyDescent="0.3">
      <c r="D158" s="135" t="s">
        <v>13</v>
      </c>
      <c r="E158" s="135">
        <f t="shared" si="183"/>
        <v>4.4996966599115596E-60</v>
      </c>
      <c r="F158" s="135">
        <f t="shared" si="183"/>
        <v>3.3726448674765613E-63</v>
      </c>
      <c r="G158" s="163">
        <f t="shared" si="183"/>
        <v>10.153432905458516</v>
      </c>
      <c r="H158" s="135" t="e">
        <f t="shared" si="183"/>
        <v>#DIV/0!</v>
      </c>
      <c r="N158" s="135" t="s">
        <v>13</v>
      </c>
      <c r="O158" s="135">
        <f t="shared" si="184"/>
        <v>4.586876458184164E-60</v>
      </c>
      <c r="P158" s="135">
        <f t="shared" si="184"/>
        <v>3.4870946166440678E-63</v>
      </c>
      <c r="Q158" s="163">
        <f t="shared" si="184"/>
        <v>55.111860140409583</v>
      </c>
      <c r="R158" s="135" t="e">
        <f t="shared" si="184"/>
        <v>#DIV/0!</v>
      </c>
      <c r="W158" s="135" t="s">
        <v>13</v>
      </c>
      <c r="X158" s="135">
        <f t="shared" si="185"/>
        <v>5.0809781944293681E-60</v>
      </c>
      <c r="Y158" s="135">
        <f t="shared" si="185"/>
        <v>3.5798892730565286E-63</v>
      </c>
      <c r="Z158" s="163">
        <f t="shared" si="185"/>
        <v>72.280513482253255</v>
      </c>
      <c r="AA158" s="135" t="e">
        <f t="shared" si="185"/>
        <v>#DIV/0!</v>
      </c>
      <c r="AG158" s="135" t="s">
        <v>13</v>
      </c>
      <c r="AH158" s="135">
        <f t="shared" si="186"/>
        <v>5.1865551702210108E-60</v>
      </c>
      <c r="AI158" s="135">
        <f t="shared" si="186"/>
        <v>3.6782518090263173E-63</v>
      </c>
      <c r="AJ158" s="163">
        <f t="shared" si="186"/>
        <v>73.192388825824651</v>
      </c>
      <c r="AK158" s="135" t="e">
        <f t="shared" si="186"/>
        <v>#DIV/0!</v>
      </c>
      <c r="AQ158" s="135" t="s">
        <v>13</v>
      </c>
      <c r="AR158" s="135">
        <f t="shared" si="187"/>
        <v>5.5568933421631501E-60</v>
      </c>
      <c r="AS158" s="135">
        <f t="shared" si="187"/>
        <v>3.8003657678924456E-63</v>
      </c>
      <c r="AT158" s="163">
        <f t="shared" si="187"/>
        <v>91.735461113541916</v>
      </c>
      <c r="AU158" s="135" t="e">
        <f t="shared" si="187"/>
        <v>#DIV/0!</v>
      </c>
      <c r="BA158" s="135" t="s">
        <v>13</v>
      </c>
      <c r="BB158" s="135">
        <f t="shared" si="188"/>
        <v>5.7905594905714734E-60</v>
      </c>
      <c r="BC158" s="135">
        <f t="shared" si="188"/>
        <v>4.1464725134114104E-63</v>
      </c>
      <c r="BD158" s="163">
        <f t="shared" si="188"/>
        <v>80.431597066826342</v>
      </c>
      <c r="BE158" s="135" t="e">
        <f t="shared" si="188"/>
        <v>#DIV/0!</v>
      </c>
      <c r="BK158" s="135" t="s">
        <v>13</v>
      </c>
      <c r="BL158" s="135">
        <f t="shared" si="189"/>
        <v>6.1268330920055253E-60</v>
      </c>
      <c r="BM158" s="135">
        <f t="shared" si="189"/>
        <v>4.4072090625577995E-63</v>
      </c>
      <c r="BN158" s="163">
        <f t="shared" si="189"/>
        <v>84.451514710598232</v>
      </c>
      <c r="BO158" s="135" t="e">
        <f t="shared" si="189"/>
        <v>#DIV/0!</v>
      </c>
    </row>
    <row r="159" spans="4:67" x14ac:dyDescent="0.3">
      <c r="D159" s="135" t="s">
        <v>14</v>
      </c>
      <c r="E159" s="135">
        <f t="shared" si="183"/>
        <v>4.7278859630496468E-60</v>
      </c>
      <c r="F159" s="135">
        <f t="shared" si="183"/>
        <v>3.5436789482620988E-63</v>
      </c>
      <c r="G159" s="135" t="e">
        <f t="shared" si="183"/>
        <v>#DIV/0!</v>
      </c>
      <c r="H159" s="163">
        <f t="shared" si="183"/>
        <v>11.209434340387553</v>
      </c>
      <c r="N159" s="135" t="s">
        <v>14</v>
      </c>
      <c r="O159" s="135">
        <f t="shared" si="184"/>
        <v>4.85432407542851E-60</v>
      </c>
      <c r="P159" s="135">
        <f t="shared" si="184"/>
        <v>3.6904171074129258E-63</v>
      </c>
      <c r="Q159" s="135" t="e">
        <f t="shared" si="184"/>
        <v>#DIV/0!</v>
      </c>
      <c r="R159" s="163">
        <f t="shared" si="184"/>
        <v>53.282407356780233</v>
      </c>
      <c r="W159" s="135" t="s">
        <v>14</v>
      </c>
      <c r="X159" s="135">
        <f t="shared" si="185"/>
        <v>5.3995822888002258E-60</v>
      </c>
      <c r="Y159" s="135">
        <f t="shared" si="185"/>
        <v>3.8043671858018755E-63</v>
      </c>
      <c r="Z159" s="135" t="e">
        <f t="shared" si="185"/>
        <v>#DIV/0!</v>
      </c>
      <c r="AA159" s="163">
        <f t="shared" si="185"/>
        <v>70.12341017158316</v>
      </c>
      <c r="AG159" s="135" t="s">
        <v>14</v>
      </c>
      <c r="AH159" s="135">
        <f t="shared" si="186"/>
        <v>5.5182297486253719E-60</v>
      </c>
      <c r="AI159" s="135">
        <f t="shared" si="186"/>
        <v>3.913472023211737E-63</v>
      </c>
      <c r="AJ159" s="135" t="e">
        <f t="shared" si="186"/>
        <v>#DIV/0!</v>
      </c>
      <c r="AK159" s="163">
        <f t="shared" si="186"/>
        <v>71.158454290025176</v>
      </c>
      <c r="AQ159" s="135" t="s">
        <v>14</v>
      </c>
      <c r="AR159" s="135">
        <f t="shared" si="187"/>
        <v>5.9313557370699418E-60</v>
      </c>
      <c r="AS159" s="135">
        <f t="shared" si="187"/>
        <v>4.0564610317998903E-63</v>
      </c>
      <c r="AT159" s="135" t="e">
        <f t="shared" si="187"/>
        <v>#DIV/0!</v>
      </c>
      <c r="AU159" s="163">
        <f t="shared" si="187"/>
        <v>89.453364351887245</v>
      </c>
      <c r="BA159" s="135" t="s">
        <v>14</v>
      </c>
      <c r="BB159" s="135">
        <f t="shared" si="188"/>
        <v>6.1878209829627004E-60</v>
      </c>
      <c r="BC159" s="135">
        <f t="shared" si="188"/>
        <v>4.4309413737208737E-63</v>
      </c>
      <c r="BD159" s="135" t="e">
        <f t="shared" si="188"/>
        <v>#DIV/0!</v>
      </c>
      <c r="BE159" s="163">
        <f t="shared" si="188"/>
        <v>78.615621769198057</v>
      </c>
      <c r="BK159" s="135" t="s">
        <v>14</v>
      </c>
      <c r="BL159" s="135">
        <f t="shared" si="189"/>
        <v>6.5612229137579322E-60</v>
      </c>
      <c r="BM159" s="135">
        <f t="shared" si="189"/>
        <v>4.7196782828484755E-63</v>
      </c>
      <c r="BN159" s="135" t="e">
        <f t="shared" si="189"/>
        <v>#DIV/0!</v>
      </c>
      <c r="BO159" s="163">
        <f t="shared" si="189"/>
        <v>82.764928867996304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2" zoomScale="62" zoomScaleNormal="62" workbookViewId="0">
      <selection activeCell="AA33" sqref="AA33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214" customWidth="1"/>
    <col min="12" max="12" width="12" style="214" bestFit="1" customWidth="1"/>
    <col min="13" max="13" width="12" style="214" customWidth="1"/>
    <col min="14" max="14" width="12.33203125" style="214" bestFit="1" customWidth="1"/>
    <col min="15" max="15" width="11.44140625" style="214"/>
    <col min="16" max="16" width="15.5546875" style="214" customWidth="1"/>
    <col min="17" max="17" width="12" bestFit="1" customWidth="1"/>
  </cols>
  <sheetData>
    <row r="1" spans="1:24" x14ac:dyDescent="0.3">
      <c r="A1" s="276" t="s">
        <v>193</v>
      </c>
      <c r="B1" s="186" t="s">
        <v>4</v>
      </c>
      <c r="C1" s="186" t="s">
        <v>226</v>
      </c>
      <c r="D1" s="186" t="s">
        <v>28</v>
      </c>
      <c r="E1" s="277" t="s">
        <v>4</v>
      </c>
      <c r="F1" s="278"/>
      <c r="G1" s="278" t="s">
        <v>226</v>
      </c>
      <c r="H1" s="278"/>
      <c r="I1" s="189" t="s">
        <v>28</v>
      </c>
      <c r="J1" s="279" t="s">
        <v>227</v>
      </c>
      <c r="K1" s="280"/>
      <c r="L1" s="281"/>
      <c r="M1" s="279" t="s">
        <v>228</v>
      </c>
      <c r="N1" s="280"/>
      <c r="O1" s="281"/>
      <c r="P1" s="276" t="s">
        <v>229</v>
      </c>
      <c r="Q1" s="282"/>
      <c r="R1" s="277"/>
      <c r="S1" s="274" t="s">
        <v>230</v>
      </c>
    </row>
    <row r="2" spans="1:24" x14ac:dyDescent="0.3">
      <c r="A2" s="276"/>
      <c r="B2" s="190" t="s">
        <v>231</v>
      </c>
      <c r="C2" s="190" t="s">
        <v>232</v>
      </c>
      <c r="D2" s="190" t="s">
        <v>233</v>
      </c>
      <c r="E2" s="187" t="s">
        <v>2</v>
      </c>
      <c r="F2" s="188"/>
      <c r="G2" s="188" t="s">
        <v>2</v>
      </c>
      <c r="H2" s="188" t="s">
        <v>3</v>
      </c>
      <c r="I2" s="191" t="s">
        <v>2</v>
      </c>
      <c r="J2" s="192" t="s">
        <v>4</v>
      </c>
      <c r="K2" s="192" t="s">
        <v>226</v>
      </c>
      <c r="L2" s="191" t="s">
        <v>28</v>
      </c>
      <c r="M2" s="191" t="s">
        <v>4</v>
      </c>
      <c r="N2" s="191" t="s">
        <v>226</v>
      </c>
      <c r="O2" s="191" t="s">
        <v>28</v>
      </c>
      <c r="P2" s="191" t="s">
        <v>4</v>
      </c>
      <c r="Q2" s="191" t="s">
        <v>226</v>
      </c>
      <c r="R2" s="191" t="s">
        <v>28</v>
      </c>
      <c r="S2" s="275"/>
    </row>
    <row r="3" spans="1:24" x14ac:dyDescent="0.3">
      <c r="A3" s="193">
        <v>1</v>
      </c>
      <c r="B3" s="194">
        <v>1</v>
      </c>
      <c r="C3" s="195">
        <v>0</v>
      </c>
      <c r="D3" s="196">
        <v>0</v>
      </c>
      <c r="E3" s="195">
        <v>10</v>
      </c>
      <c r="F3" s="194"/>
      <c r="G3" s="197">
        <v>30</v>
      </c>
      <c r="H3" s="196">
        <v>5</v>
      </c>
      <c r="I3" s="195">
        <v>45</v>
      </c>
      <c r="J3" s="198">
        <f>$V$7+$V$8*E3</f>
        <v>-205.6267510133481</v>
      </c>
      <c r="K3" s="199">
        <f t="shared" ref="K3:K17" si="0">$V$9+$V$10*G3+$V$11*H3</f>
        <v>-382.57637263548469</v>
      </c>
      <c r="L3" s="200">
        <f t="shared" ref="L3:L17" si="1">$V$12*I3</f>
        <v>-334.36480226082915</v>
      </c>
      <c r="M3" s="198">
        <f>EXP(J3)</f>
        <v>4.9823783438385513E-90</v>
      </c>
      <c r="N3" s="198">
        <f t="shared" ref="N3:O17" si="2">EXP(K3)</f>
        <v>7.0663062865344927E-167</v>
      </c>
      <c r="O3" s="198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8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201">
        <v>2</v>
      </c>
      <c r="B4" s="194">
        <v>1</v>
      </c>
      <c r="C4" s="195">
        <v>0</v>
      </c>
      <c r="D4" s="196">
        <v>0</v>
      </c>
      <c r="E4" s="195">
        <v>10</v>
      </c>
      <c r="F4" s="194"/>
      <c r="G4" s="197">
        <v>30</v>
      </c>
      <c r="H4" s="196">
        <v>5</v>
      </c>
      <c r="I4" s="195">
        <v>45</v>
      </c>
      <c r="J4" s="198">
        <f t="shared" ref="J4:J17" si="4">$V$7+$V$8*E4</f>
        <v>-205.6267510133481</v>
      </c>
      <c r="K4" s="202">
        <f t="shared" si="0"/>
        <v>-382.57637263548469</v>
      </c>
      <c r="L4" s="203">
        <f t="shared" si="1"/>
        <v>-334.36480226082915</v>
      </c>
      <c r="M4" s="204">
        <f t="shared" ref="M4:M17" si="5">EXP(J4)</f>
        <v>4.9823783438385513E-90</v>
      </c>
      <c r="N4" s="204">
        <f t="shared" si="2"/>
        <v>7.0663062865344927E-167</v>
      </c>
      <c r="O4" s="204">
        <f t="shared" si="2"/>
        <v>6.1264858594058562E-146</v>
      </c>
      <c r="P4" s="36">
        <f t="shared" si="3"/>
        <v>1</v>
      </c>
      <c r="Q4" s="36">
        <f>IF(N4=0,0.001,N4/($M4+$N4+$O4))</f>
        <v>1.4182596741720802E-77</v>
      </c>
      <c r="R4" s="49">
        <f t="shared" si="3"/>
        <v>1.2296307981071255E-56</v>
      </c>
      <c r="S4" s="36">
        <f t="shared" ref="S4:S17" si="6">B4*LN(P4)+C4*LN(Q4)+D4*LN(R4)</f>
        <v>0</v>
      </c>
      <c r="U4" t="s">
        <v>16</v>
      </c>
      <c r="X4" s="205"/>
    </row>
    <row r="5" spans="1:24" x14ac:dyDescent="0.3">
      <c r="A5" s="201">
        <v>3</v>
      </c>
      <c r="B5" s="194">
        <v>1</v>
      </c>
      <c r="C5" s="195">
        <v>0</v>
      </c>
      <c r="D5" s="196">
        <v>0</v>
      </c>
      <c r="E5" s="195">
        <v>10</v>
      </c>
      <c r="F5" s="194"/>
      <c r="G5" s="197">
        <v>20</v>
      </c>
      <c r="H5" s="196">
        <v>10</v>
      </c>
      <c r="I5" s="195">
        <v>30</v>
      </c>
      <c r="J5" s="198">
        <f t="shared" si="4"/>
        <v>-205.6267510133481</v>
      </c>
      <c r="K5" s="202">
        <f t="shared" si="0"/>
        <v>-423.80490223945844</v>
      </c>
      <c r="L5" s="203">
        <f t="shared" si="1"/>
        <v>-222.90986817388608</v>
      </c>
      <c r="M5" s="204">
        <f t="shared" si="5"/>
        <v>4.9823783438385513E-90</v>
      </c>
      <c r="N5" s="204">
        <f t="shared" si="2"/>
        <v>8.7875853033411264E-185</v>
      </c>
      <c r="O5" s="204">
        <f t="shared" si="2"/>
        <v>1.5540832882261282E-97</v>
      </c>
      <c r="P5" s="36">
        <f t="shared" si="3"/>
        <v>0.99999996880840558</v>
      </c>
      <c r="Q5" s="36">
        <f t="shared" si="3"/>
        <v>1.7637329850932496E-95</v>
      </c>
      <c r="R5" s="49">
        <f t="shared" si="3"/>
        <v>3.119159430502998E-8</v>
      </c>
      <c r="S5" s="36">
        <f t="shared" si="6"/>
        <v>-3.119159490490267E-8</v>
      </c>
      <c r="U5" t="s">
        <v>17</v>
      </c>
    </row>
    <row r="6" spans="1:24" x14ac:dyDescent="0.3">
      <c r="A6" s="201">
        <v>4</v>
      </c>
      <c r="B6" s="194">
        <v>0</v>
      </c>
      <c r="C6" s="195">
        <v>0</v>
      </c>
      <c r="D6" s="196">
        <v>1</v>
      </c>
      <c r="E6" s="195">
        <v>10</v>
      </c>
      <c r="F6" s="194"/>
      <c r="G6" s="197">
        <v>15</v>
      </c>
      <c r="H6" s="196">
        <v>15</v>
      </c>
      <c r="I6" s="195">
        <v>20</v>
      </c>
      <c r="J6" s="198">
        <f t="shared" si="4"/>
        <v>-205.6267510133481</v>
      </c>
      <c r="K6" s="202">
        <f t="shared" si="0"/>
        <v>-507.71453095708739</v>
      </c>
      <c r="L6" s="203">
        <f t="shared" si="1"/>
        <v>-148.60657878259073</v>
      </c>
      <c r="M6" s="204">
        <f t="shared" si="5"/>
        <v>4.9823783438385513E-90</v>
      </c>
      <c r="N6" s="204">
        <f t="shared" si="2"/>
        <v>3.1796610230868547E-221</v>
      </c>
      <c r="O6" s="204">
        <f t="shared" si="2"/>
        <v>2.8905658014837384E-65</v>
      </c>
      <c r="P6" s="36">
        <f t="shared" si="3"/>
        <v>1.7236688890739237E-25</v>
      </c>
      <c r="Q6" s="36">
        <f t="shared" si="3"/>
        <v>1.100013368128386E-156</v>
      </c>
      <c r="R6" s="49">
        <f t="shared" si="3"/>
        <v>1</v>
      </c>
      <c r="S6" s="36">
        <f t="shared" si="6"/>
        <v>0</v>
      </c>
    </row>
    <row r="7" spans="1:24" x14ac:dyDescent="0.3">
      <c r="A7" s="201">
        <v>5</v>
      </c>
      <c r="B7" s="194">
        <v>1</v>
      </c>
      <c r="C7" s="195">
        <v>0</v>
      </c>
      <c r="D7" s="196">
        <v>0</v>
      </c>
      <c r="E7" s="195">
        <v>5</v>
      </c>
      <c r="F7" s="194"/>
      <c r="G7" s="197">
        <v>15</v>
      </c>
      <c r="H7" s="196">
        <v>15</v>
      </c>
      <c r="I7" s="195">
        <v>15</v>
      </c>
      <c r="J7" s="198">
        <f t="shared" si="4"/>
        <v>-97.032753040789203</v>
      </c>
      <c r="K7" s="202">
        <f t="shared" si="0"/>
        <v>-507.71453095708739</v>
      </c>
      <c r="L7" s="203">
        <f t="shared" si="1"/>
        <v>-111.45493408694304</v>
      </c>
      <c r="M7" s="204">
        <f t="shared" si="5"/>
        <v>7.2312069452288814E-43</v>
      </c>
      <c r="N7" s="204">
        <f t="shared" si="2"/>
        <v>3.1796610230868547E-221</v>
      </c>
      <c r="O7" s="204">
        <f t="shared" si="2"/>
        <v>3.942186307401171E-49</v>
      </c>
      <c r="P7" s="36">
        <f t="shared" si="3"/>
        <v>0.99999945483732</v>
      </c>
      <c r="Q7" s="36">
        <f t="shared" si="3"/>
        <v>4.3971349647962364E-179</v>
      </c>
      <c r="R7" s="49">
        <f t="shared" si="3"/>
        <v>5.4516268005154442E-7</v>
      </c>
      <c r="S7" s="36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201">
        <v>6</v>
      </c>
      <c r="B8" s="194">
        <v>1</v>
      </c>
      <c r="C8" s="195">
        <v>0</v>
      </c>
      <c r="D8" s="196">
        <v>0</v>
      </c>
      <c r="E8" s="195">
        <v>5</v>
      </c>
      <c r="F8" s="194"/>
      <c r="G8" s="197">
        <v>20</v>
      </c>
      <c r="H8" s="196">
        <v>10</v>
      </c>
      <c r="I8" s="195">
        <v>25</v>
      </c>
      <c r="J8" s="198">
        <f t="shared" si="4"/>
        <v>-97.032753040789203</v>
      </c>
      <c r="K8" s="202">
        <f t="shared" si="0"/>
        <v>-423.80490223945844</v>
      </c>
      <c r="L8" s="203">
        <f t="shared" si="1"/>
        <v>-185.75822347823839</v>
      </c>
      <c r="M8" s="204">
        <f t="shared" si="5"/>
        <v>7.2312069452288814E-43</v>
      </c>
      <c r="N8" s="204">
        <f t="shared" si="2"/>
        <v>8.7875853033411264E-185</v>
      </c>
      <c r="O8" s="204">
        <f t="shared" si="2"/>
        <v>2.1194763517444514E-81</v>
      </c>
      <c r="P8" s="36">
        <f t="shared" si="3"/>
        <v>1</v>
      </c>
      <c r="Q8" s="36">
        <f t="shared" si="3"/>
        <v>1.2152307864925836E-142</v>
      </c>
      <c r="R8" s="49">
        <f t="shared" si="3"/>
        <v>2.9310132703958537E-39</v>
      </c>
      <c r="S8" s="36">
        <f t="shared" si="6"/>
        <v>0</v>
      </c>
      <c r="U8" s="17" t="s">
        <v>24</v>
      </c>
      <c r="V8">
        <v>-21.718799594511779</v>
      </c>
    </row>
    <row r="9" spans="1:24" x14ac:dyDescent="0.3">
      <c r="A9" s="201">
        <v>7</v>
      </c>
      <c r="B9" s="194">
        <v>1</v>
      </c>
      <c r="C9" s="195">
        <v>0</v>
      </c>
      <c r="D9" s="196">
        <v>0</v>
      </c>
      <c r="E9" s="195">
        <v>5</v>
      </c>
      <c r="F9" s="194"/>
      <c r="G9" s="197">
        <v>30</v>
      </c>
      <c r="H9" s="196">
        <v>5</v>
      </c>
      <c r="I9" s="195">
        <v>40</v>
      </c>
      <c r="J9" s="198">
        <f t="shared" si="4"/>
        <v>-97.032753040789203</v>
      </c>
      <c r="K9" s="202">
        <f t="shared" si="0"/>
        <v>-382.57637263548469</v>
      </c>
      <c r="L9" s="203">
        <f t="shared" si="1"/>
        <v>-297.21315756518146</v>
      </c>
      <c r="M9" s="204">
        <f t="shared" si="5"/>
        <v>7.2312069452288814E-43</v>
      </c>
      <c r="N9" s="204">
        <f t="shared" si="2"/>
        <v>7.0663062865344927E-167</v>
      </c>
      <c r="O9" s="204">
        <f t="shared" si="2"/>
        <v>8.3553706527073274E-130</v>
      </c>
      <c r="P9" s="36">
        <f t="shared" si="3"/>
        <v>1</v>
      </c>
      <c r="Q9" s="36">
        <f t="shared" si="3"/>
        <v>9.7719597019648442E-125</v>
      </c>
      <c r="R9" s="49">
        <f t="shared" si="3"/>
        <v>1.1554600381365333E-87</v>
      </c>
      <c r="S9" s="36">
        <f t="shared" si="6"/>
        <v>0</v>
      </c>
      <c r="U9" s="16" t="s">
        <v>25</v>
      </c>
      <c r="V9">
        <v>0.1009498777310828</v>
      </c>
    </row>
    <row r="10" spans="1:24" x14ac:dyDescent="0.3">
      <c r="A10" s="201">
        <v>8</v>
      </c>
      <c r="B10" s="194">
        <v>0</v>
      </c>
      <c r="C10" s="195">
        <v>0</v>
      </c>
      <c r="D10" s="196">
        <v>1</v>
      </c>
      <c r="E10" s="195">
        <v>15</v>
      </c>
      <c r="F10" s="194"/>
      <c r="G10" s="197">
        <v>20</v>
      </c>
      <c r="H10" s="196">
        <v>5</v>
      </c>
      <c r="I10" s="195">
        <v>40</v>
      </c>
      <c r="J10" s="198">
        <f t="shared" si="4"/>
        <v>-314.22074898590699</v>
      </c>
      <c r="K10" s="202">
        <f t="shared" si="0"/>
        <v>-297.21417440817419</v>
      </c>
      <c r="L10" s="203">
        <f t="shared" si="1"/>
        <v>-297.21315756518146</v>
      </c>
      <c r="M10" s="204">
        <f t="shared" si="5"/>
        <v>3.4329115663783089E-137</v>
      </c>
      <c r="N10" s="204">
        <f t="shared" si="2"/>
        <v>8.3468788707436722E-130</v>
      </c>
      <c r="O10" s="204">
        <f t="shared" si="2"/>
        <v>8.3553706527073274E-130</v>
      </c>
      <c r="P10" s="36">
        <f t="shared" si="3"/>
        <v>2.0553587652966377E-8</v>
      </c>
      <c r="Q10" s="36">
        <f>IF(N10=0,0.001,N10/($M10+$N10+$O10))</f>
        <v>0.49974577900215345</v>
      </c>
      <c r="R10" s="49">
        <f t="shared" si="3"/>
        <v>0.50025420044425895</v>
      </c>
      <c r="S10" s="36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201">
        <v>9</v>
      </c>
      <c r="B11" s="194">
        <v>0</v>
      </c>
      <c r="C11" s="195">
        <v>1</v>
      </c>
      <c r="D11" s="196">
        <v>0</v>
      </c>
      <c r="E11" s="195">
        <v>15</v>
      </c>
      <c r="F11" s="194"/>
      <c r="G11" s="197">
        <v>30</v>
      </c>
      <c r="H11" s="196">
        <v>0</v>
      </c>
      <c r="I11" s="195">
        <v>40</v>
      </c>
      <c r="J11" s="198">
        <f t="shared" si="4"/>
        <v>-314.22074898590699</v>
      </c>
      <c r="K11" s="202">
        <f t="shared" si="0"/>
        <v>-255.98564480420046</v>
      </c>
      <c r="L11" s="203">
        <f t="shared" si="1"/>
        <v>-297.21315756518146</v>
      </c>
      <c r="M11" s="204">
        <f t="shared" si="5"/>
        <v>3.4329115663783089E-137</v>
      </c>
      <c r="N11" s="204">
        <f t="shared" si="2"/>
        <v>6.7119237653204768E-112</v>
      </c>
      <c r="O11" s="204">
        <f t="shared" si="2"/>
        <v>8.3553706527073274E-130</v>
      </c>
      <c r="P11" s="36">
        <f t="shared" si="3"/>
        <v>5.1146462421335269E-26</v>
      </c>
      <c r="Q11" s="36">
        <f t="shared" si="3"/>
        <v>1</v>
      </c>
      <c r="R11" s="49">
        <f t="shared" si="3"/>
        <v>1.2448548202943392E-18</v>
      </c>
      <c r="S11" s="36">
        <f t="shared" si="6"/>
        <v>0</v>
      </c>
      <c r="U11" s="18" t="s">
        <v>27</v>
      </c>
      <c r="V11">
        <v>-25.318145566256845</v>
      </c>
    </row>
    <row r="12" spans="1:24" x14ac:dyDescent="0.3">
      <c r="A12" s="201">
        <v>10</v>
      </c>
      <c r="B12" s="194">
        <v>1</v>
      </c>
      <c r="C12" s="195">
        <v>0</v>
      </c>
      <c r="D12" s="196">
        <v>0</v>
      </c>
      <c r="E12" s="195">
        <v>15</v>
      </c>
      <c r="F12" s="194"/>
      <c r="G12" s="197">
        <v>20</v>
      </c>
      <c r="H12" s="196">
        <v>10</v>
      </c>
      <c r="I12" s="195">
        <v>45</v>
      </c>
      <c r="J12" s="198">
        <f t="shared" si="4"/>
        <v>-314.22074898590699</v>
      </c>
      <c r="K12" s="202">
        <f t="shared" si="0"/>
        <v>-423.80490223945844</v>
      </c>
      <c r="L12" s="203">
        <f t="shared" si="1"/>
        <v>-334.36480226082915</v>
      </c>
      <c r="M12" s="204">
        <f t="shared" si="5"/>
        <v>3.4329115663783089E-137</v>
      </c>
      <c r="N12" s="204">
        <f t="shared" si="2"/>
        <v>8.7875853033411264E-185</v>
      </c>
      <c r="O12" s="204">
        <f t="shared" si="2"/>
        <v>6.1264858594058562E-146</v>
      </c>
      <c r="P12" s="36">
        <f t="shared" si="3"/>
        <v>0.99999999821536745</v>
      </c>
      <c r="Q12" s="36">
        <f t="shared" si="3"/>
        <v>2.5598053191126444E-48</v>
      </c>
      <c r="R12" s="49">
        <f t="shared" si="3"/>
        <v>1.7846325866575462E-9</v>
      </c>
      <c r="S12" s="36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201">
        <v>11</v>
      </c>
      <c r="B13" s="194">
        <v>0</v>
      </c>
      <c r="C13" s="195">
        <v>1</v>
      </c>
      <c r="D13" s="196">
        <v>0</v>
      </c>
      <c r="E13" s="195">
        <v>15</v>
      </c>
      <c r="F13" s="194"/>
      <c r="G13" s="197">
        <v>20</v>
      </c>
      <c r="H13" s="196">
        <v>0</v>
      </c>
      <c r="I13" s="195">
        <v>45</v>
      </c>
      <c r="J13" s="198">
        <f t="shared" si="4"/>
        <v>-314.22074898590699</v>
      </c>
      <c r="K13" s="202">
        <f t="shared" si="0"/>
        <v>-170.62344657688996</v>
      </c>
      <c r="L13" s="203">
        <f t="shared" si="1"/>
        <v>-334.36480226082915</v>
      </c>
      <c r="M13" s="204">
        <f t="shared" si="5"/>
        <v>3.4329115663783089E-137</v>
      </c>
      <c r="N13" s="204">
        <f t="shared" si="2"/>
        <v>7.9282743185862224E-75</v>
      </c>
      <c r="O13" s="204">
        <f t="shared" si="2"/>
        <v>6.1264858594058562E-146</v>
      </c>
      <c r="P13" s="36">
        <f t="shared" si="3"/>
        <v>4.329960630058609E-63</v>
      </c>
      <c r="Q13" s="36">
        <f t="shared" si="3"/>
        <v>1</v>
      </c>
      <c r="R13" s="49">
        <f t="shared" si="3"/>
        <v>7.7273888531373834E-72</v>
      </c>
      <c r="S13" s="36">
        <f t="shared" si="6"/>
        <v>0</v>
      </c>
    </row>
    <row r="14" spans="1:24" x14ac:dyDescent="0.3">
      <c r="A14" s="201">
        <v>12</v>
      </c>
      <c r="B14" s="194">
        <v>0</v>
      </c>
      <c r="C14" s="195">
        <v>1</v>
      </c>
      <c r="D14" s="196">
        <v>0</v>
      </c>
      <c r="E14" s="195">
        <v>15</v>
      </c>
      <c r="F14" s="194"/>
      <c r="G14" s="197">
        <v>20</v>
      </c>
      <c r="H14" s="196">
        <v>5</v>
      </c>
      <c r="I14" s="195">
        <v>40</v>
      </c>
      <c r="J14" s="198">
        <f t="shared" si="4"/>
        <v>-314.22074898590699</v>
      </c>
      <c r="K14" s="202">
        <f t="shared" si="0"/>
        <v>-297.21417440817419</v>
      </c>
      <c r="L14" s="203">
        <f t="shared" si="1"/>
        <v>-297.21315756518146</v>
      </c>
      <c r="M14" s="204">
        <f t="shared" si="5"/>
        <v>3.4329115663783089E-137</v>
      </c>
      <c r="N14" s="204">
        <f t="shared" si="2"/>
        <v>8.3468788707436722E-130</v>
      </c>
      <c r="O14" s="204">
        <f t="shared" si="2"/>
        <v>8.3553706527073274E-130</v>
      </c>
      <c r="P14" s="36">
        <f t="shared" si="3"/>
        <v>2.0553587652966377E-8</v>
      </c>
      <c r="Q14" s="36">
        <f t="shared" si="3"/>
        <v>0.49974577900215345</v>
      </c>
      <c r="R14" s="49">
        <f t="shared" si="3"/>
        <v>0.50025420044425895</v>
      </c>
      <c r="S14" s="36">
        <f t="shared" si="6"/>
        <v>-0.69365575185609962</v>
      </c>
    </row>
    <row r="15" spans="1:24" x14ac:dyDescent="0.3">
      <c r="A15" s="201">
        <v>13</v>
      </c>
      <c r="B15" s="194">
        <v>1</v>
      </c>
      <c r="C15" s="195">
        <v>0</v>
      </c>
      <c r="D15" s="196">
        <v>0</v>
      </c>
      <c r="E15" s="195">
        <v>10</v>
      </c>
      <c r="F15" s="194"/>
      <c r="G15" s="197">
        <v>30</v>
      </c>
      <c r="H15" s="196">
        <v>0</v>
      </c>
      <c r="I15" s="195">
        <v>40</v>
      </c>
      <c r="J15" s="198">
        <f t="shared" si="4"/>
        <v>-205.6267510133481</v>
      </c>
      <c r="K15" s="202">
        <f t="shared" si="0"/>
        <v>-255.98564480420046</v>
      </c>
      <c r="L15" s="203">
        <f t="shared" si="1"/>
        <v>-297.21315756518146</v>
      </c>
      <c r="M15" s="204">
        <f t="shared" si="5"/>
        <v>4.9823783438385513E-90</v>
      </c>
      <c r="N15" s="204">
        <f t="shared" si="2"/>
        <v>6.7119237653204768E-112</v>
      </c>
      <c r="O15" s="204">
        <f t="shared" si="2"/>
        <v>8.3553706527073274E-130</v>
      </c>
      <c r="P15" s="36">
        <f t="shared" si="3"/>
        <v>1</v>
      </c>
      <c r="Q15" s="36">
        <f t="shared" si="3"/>
        <v>1.3471324941873925E-22</v>
      </c>
      <c r="R15" s="49">
        <f t="shared" si="3"/>
        <v>1.6769843789643114E-40</v>
      </c>
      <c r="S15" s="36">
        <f t="shared" si="6"/>
        <v>0</v>
      </c>
    </row>
    <row r="16" spans="1:24" x14ac:dyDescent="0.3">
      <c r="A16" s="201">
        <v>14</v>
      </c>
      <c r="B16" s="194">
        <v>1</v>
      </c>
      <c r="C16" s="195">
        <v>0</v>
      </c>
      <c r="D16" s="196">
        <v>0</v>
      </c>
      <c r="E16" s="195">
        <v>10</v>
      </c>
      <c r="F16" s="194"/>
      <c r="G16" s="197">
        <v>30</v>
      </c>
      <c r="H16" s="196">
        <v>0</v>
      </c>
      <c r="I16" s="195">
        <v>40</v>
      </c>
      <c r="J16" s="198">
        <f t="shared" si="4"/>
        <v>-205.6267510133481</v>
      </c>
      <c r="K16" s="202">
        <f t="shared" si="0"/>
        <v>-255.98564480420046</v>
      </c>
      <c r="L16" s="203">
        <f t="shared" si="1"/>
        <v>-297.21315756518146</v>
      </c>
      <c r="M16" s="204">
        <f t="shared" si="5"/>
        <v>4.9823783438385513E-90</v>
      </c>
      <c r="N16" s="204">
        <f t="shared" si="2"/>
        <v>6.7119237653204768E-112</v>
      </c>
      <c r="O16" s="204">
        <f t="shared" si="2"/>
        <v>8.3553706527073274E-130</v>
      </c>
      <c r="P16" s="36">
        <f t="shared" si="3"/>
        <v>1</v>
      </c>
      <c r="Q16" s="36">
        <f t="shared" si="3"/>
        <v>1.3471324941873925E-22</v>
      </c>
      <c r="R16" s="49">
        <f t="shared" si="3"/>
        <v>1.6769843789643114E-40</v>
      </c>
      <c r="S16" s="36">
        <f t="shared" si="6"/>
        <v>0</v>
      </c>
    </row>
    <row r="17" spans="1:23" x14ac:dyDescent="0.3">
      <c r="A17" s="206">
        <v>15</v>
      </c>
      <c r="B17" s="207">
        <v>1</v>
      </c>
      <c r="C17" s="208">
        <v>0</v>
      </c>
      <c r="D17" s="209">
        <v>0</v>
      </c>
      <c r="E17" s="208">
        <v>10</v>
      </c>
      <c r="F17" s="207"/>
      <c r="G17" s="210">
        <v>30</v>
      </c>
      <c r="H17" s="209">
        <v>0</v>
      </c>
      <c r="I17" s="208">
        <v>50</v>
      </c>
      <c r="J17" s="198">
        <f t="shared" si="4"/>
        <v>-205.6267510133481</v>
      </c>
      <c r="K17" s="211">
        <f t="shared" si="0"/>
        <v>-255.98564480420046</v>
      </c>
      <c r="L17" s="212">
        <f t="shared" si="1"/>
        <v>-371.51644695647678</v>
      </c>
      <c r="M17" s="213">
        <f t="shared" si="5"/>
        <v>4.9823783438385513E-90</v>
      </c>
      <c r="N17" s="213">
        <f t="shared" si="2"/>
        <v>6.7119237653204768E-112</v>
      </c>
      <c r="O17" s="213">
        <f t="shared" si="2"/>
        <v>4.4921800056039701E-162</v>
      </c>
      <c r="P17" s="55">
        <f t="shared" si="3"/>
        <v>1</v>
      </c>
      <c r="Q17" s="55">
        <f t="shared" si="3"/>
        <v>1.3471324941873925E-22</v>
      </c>
      <c r="R17" s="57">
        <f t="shared" si="3"/>
        <v>9.0161358604153699E-73</v>
      </c>
      <c r="S17" s="55">
        <f t="shared" si="6"/>
        <v>0</v>
      </c>
    </row>
    <row r="18" spans="1:23" x14ac:dyDescent="0.3">
      <c r="J18" s="214"/>
      <c r="L18" s="215"/>
      <c r="M18" s="216"/>
      <c r="P18"/>
      <c r="R18" s="217" t="s">
        <v>234</v>
      </c>
      <c r="S18" s="217">
        <f>SUM(S3:S17)</f>
        <v>-1.386295238858529</v>
      </c>
    </row>
    <row r="19" spans="1:23" x14ac:dyDescent="0.3">
      <c r="M19" s="215"/>
    </row>
    <row r="20" spans="1:23" x14ac:dyDescent="0.3">
      <c r="M20" s="215"/>
    </row>
    <row r="21" spans="1:23" x14ac:dyDescent="0.3">
      <c r="M21" s="215"/>
      <c r="U21" s="218"/>
      <c r="V21" s="218"/>
    </row>
    <row r="22" spans="1:23" ht="42" x14ac:dyDescent="0.9">
      <c r="M22" s="215"/>
      <c r="O22" s="219"/>
      <c r="P22" s="220" t="s">
        <v>235</v>
      </c>
      <c r="Q22" s="220"/>
      <c r="R22" s="220"/>
      <c r="S22" s="218"/>
      <c r="T22" s="218"/>
      <c r="U22" s="218"/>
      <c r="V22" s="218"/>
      <c r="W22" s="218"/>
    </row>
    <row r="23" spans="1:23" ht="42" x14ac:dyDescent="0.9">
      <c r="O23" s="219"/>
      <c r="P23" s="220" t="s">
        <v>236</v>
      </c>
      <c r="Q23" s="220"/>
      <c r="R23" s="220"/>
      <c r="S23" s="218"/>
      <c r="T23" s="218"/>
      <c r="U23" s="218"/>
      <c r="V23" s="218"/>
      <c r="W23" s="218"/>
    </row>
    <row r="24" spans="1:23" ht="42" x14ac:dyDescent="0.9">
      <c r="O24" s="219"/>
      <c r="P24" s="220" t="s">
        <v>237</v>
      </c>
      <c r="Q24" s="220"/>
      <c r="R24" s="220"/>
      <c r="S24" s="218"/>
      <c r="T24" s="218"/>
      <c r="W24" s="218"/>
    </row>
    <row r="27" spans="1:23" x14ac:dyDescent="0.3">
      <c r="F27" s="4" t="s">
        <v>238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239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240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21">
        <f>11.561-21.719*G46</f>
        <v>-314.22400000000005</v>
      </c>
      <c r="H28" s="221">
        <f t="shared" ref="H28:J28" si="7">11.561-21.719*H46</f>
        <v>-2171866.7199999997</v>
      </c>
      <c r="I28" s="221">
        <f t="shared" si="7"/>
        <v>-259.92650000000003</v>
      </c>
      <c r="J28" s="221">
        <f t="shared" si="7"/>
        <v>-259.92650000000003</v>
      </c>
      <c r="K28" s="4" t="s">
        <v>11</v>
      </c>
      <c r="L28" s="221">
        <f>0.1-8.536*L46-25.318*L53</f>
        <v>-127.94</v>
      </c>
      <c r="M28" s="221">
        <f t="shared" ref="M28:O28" si="8">0.1-8.536*M46-25.318*M53</f>
        <v>-853844.54399999999</v>
      </c>
      <c r="N28" s="221">
        <f t="shared" si="8"/>
        <v>-459.12499999999994</v>
      </c>
      <c r="O28" s="221">
        <f t="shared" si="8"/>
        <v>-459.12499999999994</v>
      </c>
      <c r="P28" s="4" t="s">
        <v>11</v>
      </c>
      <c r="Q28" s="221">
        <f>-7.43*Q46</f>
        <v>-111.44999999999999</v>
      </c>
      <c r="R28" s="221">
        <f t="shared" ref="R28:T28" si="9">-7.43*R46</f>
        <v>-742992.57</v>
      </c>
      <c r="S28" s="221">
        <f t="shared" si="9"/>
        <v>-402.45833333333326</v>
      </c>
      <c r="T28" s="221">
        <f t="shared" si="9"/>
        <v>-402.45833333333326</v>
      </c>
    </row>
    <row r="29" spans="1:23" x14ac:dyDescent="0.3">
      <c r="F29" s="4" t="s">
        <v>12</v>
      </c>
      <c r="G29" s="221">
        <f t="shared" ref="G29:J31" si="10">11.561-21.719*G47</f>
        <v>-2171866.7199999997</v>
      </c>
      <c r="H29" s="221">
        <f t="shared" si="10"/>
        <v>-314.22400000000005</v>
      </c>
      <c r="I29" s="221">
        <f t="shared" si="10"/>
        <v>-205.62899999999999</v>
      </c>
      <c r="J29" s="221">
        <f t="shared" si="10"/>
        <v>-205.62899999999999</v>
      </c>
      <c r="K29" s="4" t="s">
        <v>12</v>
      </c>
      <c r="L29" s="221">
        <f t="shared" ref="L29:O31" si="11">0.1-8.536*L47-25.318*L54</f>
        <v>-853844.54399999999</v>
      </c>
      <c r="M29" s="221">
        <f t="shared" si="11"/>
        <v>-127.94</v>
      </c>
      <c r="N29" s="221">
        <f t="shared" si="11"/>
        <v>-406.13749999999993</v>
      </c>
      <c r="O29" s="221">
        <f t="shared" si="11"/>
        <v>-406.13749999999993</v>
      </c>
      <c r="P29" s="4" t="s">
        <v>12</v>
      </c>
      <c r="Q29" s="221">
        <f t="shared" ref="Q29:T31" si="12">-7.43*Q47</f>
        <v>-742992.57</v>
      </c>
      <c r="R29" s="221">
        <f t="shared" si="12"/>
        <v>-111.44999999999999</v>
      </c>
      <c r="S29" s="221">
        <f t="shared" si="12"/>
        <v>-356.02083333333331</v>
      </c>
      <c r="T29" s="221">
        <f t="shared" si="12"/>
        <v>-356.02083333333331</v>
      </c>
    </row>
    <row r="30" spans="1:23" x14ac:dyDescent="0.3">
      <c r="F30" s="4" t="s">
        <v>13</v>
      </c>
      <c r="G30" s="221">
        <f t="shared" si="10"/>
        <v>-259.92650000000003</v>
      </c>
      <c r="H30" s="221">
        <f t="shared" si="10"/>
        <v>-205.62899999999999</v>
      </c>
      <c r="I30" s="221">
        <f t="shared" si="10"/>
        <v>-314.22400000000005</v>
      </c>
      <c r="J30" s="221">
        <f t="shared" si="10"/>
        <v>-2171866.7199999997</v>
      </c>
      <c r="K30" s="4" t="s">
        <v>13</v>
      </c>
      <c r="L30" s="221">
        <f t="shared" si="11"/>
        <v>-459.12499999999994</v>
      </c>
      <c r="M30" s="221">
        <f t="shared" si="11"/>
        <v>-406.13749999999993</v>
      </c>
      <c r="N30" s="221">
        <f t="shared" si="11"/>
        <v>-127.94</v>
      </c>
      <c r="O30" s="221">
        <f t="shared" si="11"/>
        <v>-853717.95399999991</v>
      </c>
      <c r="P30" s="4" t="s">
        <v>13</v>
      </c>
      <c r="Q30" s="221">
        <f t="shared" si="12"/>
        <v>-402.45833333333326</v>
      </c>
      <c r="R30" s="221">
        <f t="shared" si="12"/>
        <v>-356.02083333333331</v>
      </c>
      <c r="S30" s="221">
        <f t="shared" si="12"/>
        <v>-111.44999999999999</v>
      </c>
      <c r="T30" s="221">
        <f t="shared" si="12"/>
        <v>-742992.57</v>
      </c>
    </row>
    <row r="31" spans="1:23" x14ac:dyDescent="0.3">
      <c r="F31" s="4" t="s">
        <v>14</v>
      </c>
      <c r="G31" s="221">
        <f t="shared" si="10"/>
        <v>-259.92650000000003</v>
      </c>
      <c r="H31" s="221">
        <f t="shared" si="10"/>
        <v>-205.62899999999999</v>
      </c>
      <c r="I31" s="221">
        <f t="shared" si="10"/>
        <v>-2171866.7199999997</v>
      </c>
      <c r="J31" s="221">
        <f t="shared" si="10"/>
        <v>-314.22400000000005</v>
      </c>
      <c r="K31" s="4" t="s">
        <v>14</v>
      </c>
      <c r="L31" s="221">
        <f t="shared" si="11"/>
        <v>-459.12499999999994</v>
      </c>
      <c r="M31" s="221">
        <f t="shared" si="11"/>
        <v>-406.13749999999993</v>
      </c>
      <c r="N31" s="221">
        <f t="shared" si="11"/>
        <v>-853717.95399999991</v>
      </c>
      <c r="O31" s="221">
        <f t="shared" si="11"/>
        <v>-127.94</v>
      </c>
      <c r="P31" s="4" t="s">
        <v>14</v>
      </c>
      <c r="Q31" s="221">
        <f t="shared" si="12"/>
        <v>-402.45833333333326</v>
      </c>
      <c r="R31" s="221">
        <f t="shared" si="12"/>
        <v>-356.02083333333331</v>
      </c>
      <c r="S31" s="221">
        <f t="shared" si="12"/>
        <v>-742992.57</v>
      </c>
      <c r="T31" s="221">
        <f t="shared" si="12"/>
        <v>-111.44999999999999</v>
      </c>
    </row>
    <row r="32" spans="1:23" x14ac:dyDescent="0.3">
      <c r="F32" s="4" t="s">
        <v>241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242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243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21">
        <f>EXP(G28)</f>
        <v>3.4217692442326566E-137</v>
      </c>
      <c r="H33" s="221">
        <f t="shared" ref="H33:J33" si="13">EXP(H28)</f>
        <v>0</v>
      </c>
      <c r="I33" s="221">
        <f t="shared" si="13"/>
        <v>1.3042334953512026E-113</v>
      </c>
      <c r="J33" s="221">
        <f t="shared" si="13"/>
        <v>1.3042334953512026E-113</v>
      </c>
      <c r="K33" s="4" t="s">
        <v>11</v>
      </c>
      <c r="L33" s="221">
        <f>EXP(L28)</f>
        <v>2.7312659172382339E-56</v>
      </c>
      <c r="M33" s="221">
        <f t="shared" ref="M33:O33" si="14">EXP(M28)</f>
        <v>0</v>
      </c>
      <c r="N33" s="221">
        <f t="shared" si="14"/>
        <v>4.0229626097742808E-200</v>
      </c>
      <c r="O33" s="221">
        <f t="shared" si="14"/>
        <v>4.0229626097742808E-200</v>
      </c>
      <c r="P33" s="4" t="s">
        <v>11</v>
      </c>
      <c r="Q33" s="221">
        <f>EXP(Q28)</f>
        <v>3.9616854630931054E-49</v>
      </c>
      <c r="R33" s="221">
        <f t="shared" ref="R33:T33" si="15">EXP(R28)</f>
        <v>0</v>
      </c>
      <c r="S33" s="221">
        <f t="shared" si="15"/>
        <v>1.6389535200335989E-175</v>
      </c>
      <c r="T33" s="221">
        <f t="shared" si="15"/>
        <v>1.6389535200335989E-175</v>
      </c>
    </row>
    <row r="34" spans="6:20" x14ac:dyDescent="0.3">
      <c r="F34" s="4" t="s">
        <v>12</v>
      </c>
      <c r="G34" s="221">
        <f t="shared" ref="G34:J36" si="16">EXP(G29)</f>
        <v>0</v>
      </c>
      <c r="H34" s="221">
        <f t="shared" si="16"/>
        <v>3.4217692442326566E-137</v>
      </c>
      <c r="I34" s="221">
        <f t="shared" si="16"/>
        <v>4.9711856322956823E-90</v>
      </c>
      <c r="J34" s="221">
        <f t="shared" si="16"/>
        <v>4.9711856322956823E-90</v>
      </c>
      <c r="K34" s="4" t="s">
        <v>12</v>
      </c>
      <c r="L34" s="221">
        <f t="shared" ref="L34:O36" si="17">EXP(L29)</f>
        <v>0</v>
      </c>
      <c r="M34" s="221">
        <f t="shared" si="17"/>
        <v>2.7312659172382339E-56</v>
      </c>
      <c r="N34" s="221">
        <f t="shared" si="17"/>
        <v>4.1373747152646684E-177</v>
      </c>
      <c r="O34" s="221">
        <f t="shared" si="17"/>
        <v>4.1373747152646684E-177</v>
      </c>
      <c r="P34" s="4" t="s">
        <v>12</v>
      </c>
      <c r="Q34" s="221">
        <f t="shared" ref="Q34:T36" si="18">EXP(Q29)</f>
        <v>0</v>
      </c>
      <c r="R34" s="221">
        <f t="shared" si="18"/>
        <v>3.9616854630931054E-49</v>
      </c>
      <c r="S34" s="221">
        <f t="shared" si="18"/>
        <v>2.4105527564915954E-155</v>
      </c>
      <c r="T34" s="221">
        <f t="shared" si="18"/>
        <v>2.4105527564915954E-155</v>
      </c>
    </row>
    <row r="35" spans="6:20" x14ac:dyDescent="0.3">
      <c r="F35" s="4" t="s">
        <v>13</v>
      </c>
      <c r="G35" s="221">
        <f t="shared" si="16"/>
        <v>1.3042334953512026E-113</v>
      </c>
      <c r="H35" s="221">
        <f t="shared" si="16"/>
        <v>4.9711856322956823E-90</v>
      </c>
      <c r="I35" s="221">
        <f t="shared" si="16"/>
        <v>3.4217692442326566E-137</v>
      </c>
      <c r="J35" s="221">
        <f t="shared" si="16"/>
        <v>0</v>
      </c>
      <c r="K35" s="4" t="s">
        <v>13</v>
      </c>
      <c r="L35" s="221">
        <f t="shared" si="17"/>
        <v>4.0229626097742808E-200</v>
      </c>
      <c r="M35" s="221">
        <f t="shared" si="17"/>
        <v>4.1373747152646684E-177</v>
      </c>
      <c r="N35" s="221">
        <f t="shared" si="17"/>
        <v>2.7312659172382339E-56</v>
      </c>
      <c r="O35" s="221">
        <f t="shared" si="17"/>
        <v>0</v>
      </c>
      <c r="P35" s="4" t="s">
        <v>13</v>
      </c>
      <c r="Q35" s="221">
        <f t="shared" si="18"/>
        <v>1.6389535200335989E-175</v>
      </c>
      <c r="R35" s="221">
        <f t="shared" si="18"/>
        <v>2.4105527564915954E-155</v>
      </c>
      <c r="S35" s="221">
        <f t="shared" si="18"/>
        <v>3.9616854630931054E-49</v>
      </c>
      <c r="T35" s="221">
        <f t="shared" si="18"/>
        <v>0</v>
      </c>
    </row>
    <row r="36" spans="6:20" x14ac:dyDescent="0.3">
      <c r="F36" s="4" t="s">
        <v>14</v>
      </c>
      <c r="G36" s="221">
        <f t="shared" si="16"/>
        <v>1.3042334953512026E-113</v>
      </c>
      <c r="H36" s="221">
        <f t="shared" si="16"/>
        <v>4.9711856322956823E-90</v>
      </c>
      <c r="I36" s="221">
        <f t="shared" si="16"/>
        <v>0</v>
      </c>
      <c r="J36" s="221">
        <f t="shared" si="16"/>
        <v>3.4217692442326566E-137</v>
      </c>
      <c r="K36" s="4" t="s">
        <v>14</v>
      </c>
      <c r="L36" s="221">
        <f t="shared" si="17"/>
        <v>4.0229626097742808E-200</v>
      </c>
      <c r="M36" s="221">
        <f t="shared" si="17"/>
        <v>4.1373747152646684E-177</v>
      </c>
      <c r="N36" s="221">
        <f t="shared" si="17"/>
        <v>0</v>
      </c>
      <c r="O36" s="221">
        <f t="shared" si="17"/>
        <v>2.7312659172382339E-56</v>
      </c>
      <c r="P36" s="4" t="s">
        <v>14</v>
      </c>
      <c r="Q36" s="221">
        <f t="shared" si="18"/>
        <v>1.6389535200335989E-175</v>
      </c>
      <c r="R36" s="221">
        <f t="shared" si="18"/>
        <v>2.4105527564915954E-155</v>
      </c>
      <c r="S36" s="221">
        <f t="shared" si="18"/>
        <v>0</v>
      </c>
      <c r="T36" s="221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21">
        <f>G33/(G33+L33+Q33)</f>
        <v>8.6371546661289762E-89</v>
      </c>
      <c r="H38" s="221" t="e">
        <f t="shared" ref="H38:J41" si="19">H33/(H33+M33+R33)</f>
        <v>#DIV/0!</v>
      </c>
      <c r="I38" s="221">
        <f>I33/(I33+N33+S33)</f>
        <v>1</v>
      </c>
      <c r="J38" s="221">
        <f t="shared" si="19"/>
        <v>1</v>
      </c>
      <c r="K38" s="4" t="s">
        <v>11</v>
      </c>
      <c r="L38" s="221">
        <f>L33/(G33+L33+Q33)</f>
        <v>6.894201355417078E-8</v>
      </c>
      <c r="M38" s="221" t="e">
        <f t="shared" ref="M38:O41" si="20">M33/(H33+M33+R33)</f>
        <v>#DIV/0!</v>
      </c>
      <c r="N38" s="221">
        <f t="shared" si="20"/>
        <v>3.0845417052342929E-87</v>
      </c>
      <c r="O38" s="221">
        <f t="shared" si="20"/>
        <v>3.0845417052342929E-87</v>
      </c>
      <c r="P38" s="4" t="s">
        <v>11</v>
      </c>
      <c r="Q38" s="221">
        <f>Q33/(G33+L33+Q33)</f>
        <v>0.99999993105798646</v>
      </c>
      <c r="R38" s="221" t="e">
        <f t="shared" ref="R38:T41" si="21">R33/(H33+M33+R33)</f>
        <v>#DIV/0!</v>
      </c>
      <c r="S38" s="221">
        <f t="shared" si="21"/>
        <v>1.2566411811040502E-62</v>
      </c>
      <c r="T38" s="221">
        <f t="shared" si="21"/>
        <v>1.2566411811040502E-62</v>
      </c>
    </row>
    <row r="39" spans="6:20" x14ac:dyDescent="0.3">
      <c r="F39" s="4" t="s">
        <v>12</v>
      </c>
      <c r="G39" s="221" t="e">
        <f t="shared" ref="G39:G41" si="22">G34/(G34+L34+Q34)</f>
        <v>#DIV/0!</v>
      </c>
      <c r="H39" s="221">
        <f t="shared" si="19"/>
        <v>8.6371546661289762E-89</v>
      </c>
      <c r="I39" s="221">
        <f t="shared" si="19"/>
        <v>1</v>
      </c>
      <c r="J39" s="221">
        <f t="shared" si="19"/>
        <v>1</v>
      </c>
      <c r="K39" s="4" t="s">
        <v>12</v>
      </c>
      <c r="L39" s="221" t="e">
        <f t="shared" ref="L39:L41" si="23">L34/(G34+L34+Q34)</f>
        <v>#DIV/0!</v>
      </c>
      <c r="M39" s="221">
        <f t="shared" si="20"/>
        <v>6.894201355417078E-8</v>
      </c>
      <c r="N39" s="221">
        <f t="shared" si="20"/>
        <v>8.3227121682720951E-88</v>
      </c>
      <c r="O39" s="221">
        <f t="shared" si="20"/>
        <v>8.3227121682720951E-88</v>
      </c>
      <c r="P39" s="4" t="s">
        <v>12</v>
      </c>
      <c r="Q39" s="221" t="e">
        <f t="shared" ref="Q39:Q41" si="24">Q34/(G34+L34+Q34)</f>
        <v>#DIV/0!</v>
      </c>
      <c r="R39" s="221">
        <f t="shared" si="21"/>
        <v>0.99999993105798646</v>
      </c>
      <c r="S39" s="221">
        <f t="shared" si="21"/>
        <v>4.8490499747811821E-66</v>
      </c>
      <c r="T39" s="221">
        <f t="shared" si="21"/>
        <v>4.8490499747811821E-66</v>
      </c>
    </row>
    <row r="40" spans="6:20" x14ac:dyDescent="0.3">
      <c r="F40" s="4" t="s">
        <v>13</v>
      </c>
      <c r="G40" s="221">
        <f t="shared" si="22"/>
        <v>1</v>
      </c>
      <c r="H40" s="221">
        <f t="shared" si="19"/>
        <v>1</v>
      </c>
      <c r="I40" s="221">
        <f t="shared" si="19"/>
        <v>8.6371546661289762E-89</v>
      </c>
      <c r="J40" s="221" t="e">
        <f t="shared" si="19"/>
        <v>#DIV/0!</v>
      </c>
      <c r="K40" s="4" t="s">
        <v>13</v>
      </c>
      <c r="L40" s="221">
        <f t="shared" si="23"/>
        <v>3.0845417052342929E-87</v>
      </c>
      <c r="M40" s="221">
        <f t="shared" si="20"/>
        <v>8.3227121682720951E-88</v>
      </c>
      <c r="N40" s="221">
        <f t="shared" si="20"/>
        <v>6.894201355417078E-8</v>
      </c>
      <c r="O40" s="221" t="e">
        <f t="shared" si="20"/>
        <v>#DIV/0!</v>
      </c>
      <c r="P40" s="4" t="s">
        <v>13</v>
      </c>
      <c r="Q40" s="221">
        <f t="shared" si="24"/>
        <v>1.2566411811040502E-62</v>
      </c>
      <c r="R40" s="221">
        <f t="shared" si="21"/>
        <v>4.8490499747811821E-66</v>
      </c>
      <c r="S40" s="221">
        <f t="shared" si="21"/>
        <v>0.99999993105798646</v>
      </c>
      <c r="T40" s="221" t="e">
        <f t="shared" si="21"/>
        <v>#DIV/0!</v>
      </c>
    </row>
    <row r="41" spans="6:20" x14ac:dyDescent="0.3">
      <c r="F41" s="4" t="s">
        <v>14</v>
      </c>
      <c r="G41" s="221">
        <f t="shared" si="22"/>
        <v>1</v>
      </c>
      <c r="H41" s="221">
        <f t="shared" si="19"/>
        <v>1</v>
      </c>
      <c r="I41" s="221" t="e">
        <f t="shared" si="19"/>
        <v>#DIV/0!</v>
      </c>
      <c r="J41" s="221">
        <f t="shared" si="19"/>
        <v>8.6371546661289762E-89</v>
      </c>
      <c r="K41" s="4" t="s">
        <v>14</v>
      </c>
      <c r="L41" s="221">
        <f t="shared" si="23"/>
        <v>3.0845417052342929E-87</v>
      </c>
      <c r="M41" s="221">
        <f t="shared" si="20"/>
        <v>8.3227121682720951E-88</v>
      </c>
      <c r="N41" s="221" t="e">
        <f t="shared" si="20"/>
        <v>#DIV/0!</v>
      </c>
      <c r="O41" s="221">
        <f t="shared" si="20"/>
        <v>6.894201355417078E-8</v>
      </c>
      <c r="P41" s="4" t="s">
        <v>14</v>
      </c>
      <c r="Q41" s="221">
        <f t="shared" si="24"/>
        <v>1.2566411811040502E-62</v>
      </c>
      <c r="R41" s="221">
        <f t="shared" si="21"/>
        <v>4.8490499747811821E-66</v>
      </c>
      <c r="S41" s="221" t="e">
        <f t="shared" si="21"/>
        <v>#DIV/0!</v>
      </c>
      <c r="T41" s="221">
        <f t="shared" si="21"/>
        <v>0.99999993105798646</v>
      </c>
    </row>
    <row r="44" spans="6:20" x14ac:dyDescent="0.3">
      <c r="F44" t="s">
        <v>2</v>
      </c>
      <c r="K44" s="214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214" t="s">
        <v>10</v>
      </c>
      <c r="L45" s="214" t="s">
        <v>11</v>
      </c>
      <c r="M45" s="214" t="s">
        <v>12</v>
      </c>
      <c r="N45" s="214" t="s">
        <v>13</v>
      </c>
      <c r="O45" s="214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12.5</v>
      </c>
      <c r="J46">
        <f>'Trip Length Frequency'!L28</f>
        <v>12.5</v>
      </c>
      <c r="K46" s="214" t="s">
        <v>11</v>
      </c>
      <c r="L46" s="214">
        <v>15</v>
      </c>
      <c r="M46" s="214">
        <v>99999</v>
      </c>
      <c r="N46" s="214">
        <v>21.666666666666664</v>
      </c>
      <c r="O46" s="214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10</v>
      </c>
      <c r="J47">
        <f>'Trip Length Frequency'!L29</f>
        <v>10</v>
      </c>
      <c r="K47" s="214" t="s">
        <v>12</v>
      </c>
      <c r="L47" s="214">
        <v>99999</v>
      </c>
      <c r="M47" s="214">
        <v>15</v>
      </c>
      <c r="N47" s="214">
        <v>19.166666666666664</v>
      </c>
      <c r="O47" s="214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12.5</v>
      </c>
      <c r="H48">
        <f>'Trip Length Frequency'!J30</f>
        <v>10</v>
      </c>
      <c r="I48">
        <f>'Trip Length Frequency'!K30</f>
        <v>15</v>
      </c>
      <c r="J48">
        <f>'Trip Length Frequency'!L30</f>
        <v>99999</v>
      </c>
      <c r="K48" s="214" t="s">
        <v>13</v>
      </c>
      <c r="L48" s="214">
        <v>21.666666666666664</v>
      </c>
      <c r="M48" s="214">
        <v>19.166666666666664</v>
      </c>
      <c r="N48" s="214">
        <v>15</v>
      </c>
      <c r="O48" s="214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12.5</v>
      </c>
      <c r="H49">
        <f>'Trip Length Frequency'!J31</f>
        <v>10</v>
      </c>
      <c r="I49">
        <f>'Trip Length Frequency'!K31</f>
        <v>99999</v>
      </c>
      <c r="J49">
        <f>'Trip Length Frequency'!L31</f>
        <v>15</v>
      </c>
      <c r="K49" s="214" t="s">
        <v>14</v>
      </c>
      <c r="L49" s="214">
        <v>21.666666666666664</v>
      </c>
      <c r="M49" s="214">
        <v>19.166666666666664</v>
      </c>
      <c r="N49" s="214">
        <v>99999</v>
      </c>
      <c r="O49" s="214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214" t="s">
        <v>3</v>
      </c>
      <c r="G51" s="214"/>
      <c r="H51" s="214"/>
      <c r="I51" s="214"/>
      <c r="J51" s="214"/>
      <c r="K51" t="s">
        <v>3</v>
      </c>
      <c r="M51"/>
      <c r="N51"/>
      <c r="O51"/>
      <c r="P51" t="s">
        <v>3</v>
      </c>
    </row>
    <row r="52" spans="6:20" x14ac:dyDescent="0.3">
      <c r="F52" s="214" t="s">
        <v>244</v>
      </c>
      <c r="G52" s="214" t="s">
        <v>11</v>
      </c>
      <c r="H52" s="214" t="s">
        <v>12</v>
      </c>
      <c r="I52" s="214" t="s">
        <v>13</v>
      </c>
      <c r="J52" s="214" t="s">
        <v>14</v>
      </c>
      <c r="K52" t="s">
        <v>244</v>
      </c>
      <c r="L52" t="s">
        <v>11</v>
      </c>
      <c r="M52" t="s">
        <v>12</v>
      </c>
      <c r="N52" t="s">
        <v>13</v>
      </c>
      <c r="O52" t="s">
        <v>14</v>
      </c>
      <c r="P52" t="s">
        <v>244</v>
      </c>
      <c r="Q52" t="s">
        <v>11</v>
      </c>
      <c r="R52" t="s">
        <v>12</v>
      </c>
      <c r="S52" t="s">
        <v>13</v>
      </c>
      <c r="T52" t="s">
        <v>14</v>
      </c>
    </row>
    <row r="53" spans="6:20" x14ac:dyDescent="0.3">
      <c r="F53" s="214" t="s">
        <v>11</v>
      </c>
      <c r="G53" s="214">
        <v>0</v>
      </c>
      <c r="H53" s="214">
        <v>10</v>
      </c>
      <c r="I53" s="214">
        <v>10.833333333333332</v>
      </c>
      <c r="J53" s="214">
        <v>10.833333333333332</v>
      </c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 t="s">
        <v>11</v>
      </c>
      <c r="Q53">
        <v>0</v>
      </c>
      <c r="R53">
        <v>10</v>
      </c>
      <c r="S53">
        <v>10.833333333333332</v>
      </c>
      <c r="T53">
        <v>10.833333333333332</v>
      </c>
    </row>
    <row r="54" spans="6:20" x14ac:dyDescent="0.3">
      <c r="F54" s="214" t="s">
        <v>12</v>
      </c>
      <c r="G54" s="214">
        <v>10</v>
      </c>
      <c r="H54" s="214">
        <v>0</v>
      </c>
      <c r="I54" s="214">
        <v>9.5833333333333321</v>
      </c>
      <c r="J54" s="214">
        <v>9.5833333333333321</v>
      </c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 t="s">
        <v>12</v>
      </c>
      <c r="Q54">
        <v>10</v>
      </c>
      <c r="R54">
        <v>0</v>
      </c>
      <c r="S54">
        <v>9.5833333333333321</v>
      </c>
      <c r="T54">
        <v>9.5833333333333321</v>
      </c>
    </row>
    <row r="55" spans="6:20" x14ac:dyDescent="0.3">
      <c r="F55" s="214" t="s">
        <v>13</v>
      </c>
      <c r="G55" s="214">
        <v>10.833333333333332</v>
      </c>
      <c r="H55" s="214">
        <v>9.5833333333333321</v>
      </c>
      <c r="I55" s="214">
        <v>0</v>
      </c>
      <c r="J55" s="214">
        <v>5</v>
      </c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 t="s">
        <v>13</v>
      </c>
      <c r="Q55">
        <v>10.833333333333332</v>
      </c>
      <c r="R55">
        <v>9.5833333333333321</v>
      </c>
      <c r="S55">
        <v>0</v>
      </c>
      <c r="T55">
        <v>5</v>
      </c>
    </row>
    <row r="56" spans="6:20" x14ac:dyDescent="0.3">
      <c r="F56" s="214" t="s">
        <v>14</v>
      </c>
      <c r="G56" s="214">
        <v>10.833333333333332</v>
      </c>
      <c r="H56" s="214">
        <v>9.5833333333333321</v>
      </c>
      <c r="I56" s="214">
        <v>5</v>
      </c>
      <c r="J56" s="214">
        <v>0</v>
      </c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 t="s">
        <v>14</v>
      </c>
      <c r="Q56">
        <v>10.833333333333332</v>
      </c>
      <c r="R56">
        <v>9.5833333333333321</v>
      </c>
      <c r="S56">
        <v>5</v>
      </c>
      <c r="T56">
        <v>0</v>
      </c>
    </row>
    <row r="60" spans="6:20" ht="15.6" x14ac:dyDescent="0.3">
      <c r="F60" s="179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523-D3A7-4318-9B2E-78513F92ECE7}">
  <dimension ref="A2:AS115"/>
  <sheetViews>
    <sheetView tabSelected="1" topLeftCell="D85" zoomScale="76" zoomScaleNormal="76" workbookViewId="0">
      <selection activeCell="N110" sqref="N11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B23" t="s">
        <v>15</v>
      </c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B24" t="s">
        <v>16</v>
      </c>
      <c r="E24" s="4" t="str">
        <f>Gravity!D133</f>
        <v>O/D</v>
      </c>
      <c r="F24" s="4" t="str">
        <f>Gravity!E133</f>
        <v>A</v>
      </c>
      <c r="G24" s="4" t="str">
        <f>Gravity!F133</f>
        <v>B</v>
      </c>
      <c r="H24" s="4" t="str">
        <f>Gravity!G133</f>
        <v>C</v>
      </c>
      <c r="I24" s="4" t="str">
        <f>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B25" t="s">
        <v>17</v>
      </c>
      <c r="E25" s="4" t="str">
        <f>Gravity!D134</f>
        <v>A</v>
      </c>
      <c r="F25" s="4">
        <f>Gravity!AH134</f>
        <v>5.0835442672591452E-86</v>
      </c>
      <c r="G25" s="4" t="e">
        <f>Gravity!AI134</f>
        <v>#DIV/0!</v>
      </c>
      <c r="H25" s="4">
        <f>Gravity!AJ134</f>
        <v>994.79610296958276</v>
      </c>
      <c r="I25" s="4">
        <f>Gravity!AK134</f>
        <v>909.02093040722673</v>
      </c>
      <c r="L25" t="s">
        <v>18</v>
      </c>
    </row>
    <row r="26" spans="2:36" ht="16.2" x14ac:dyDescent="0.3">
      <c r="E26" s="4" t="str">
        <f>Gravity!D135</f>
        <v>B</v>
      </c>
      <c r="F26" s="4" t="e">
        <f>Gravity!AH135</f>
        <v>#DIV/0!</v>
      </c>
      <c r="G26" s="4">
        <f>Gravity!AI135</f>
        <v>1.4390170728931575E-86</v>
      </c>
      <c r="H26" s="4">
        <f>Gravity!AJ135</f>
        <v>1215.2812637829688</v>
      </c>
      <c r="I26" s="4">
        <f>Gravity!AK135</f>
        <v>1110.495006778533</v>
      </c>
      <c r="L26" t="s">
        <v>19</v>
      </c>
    </row>
    <row r="27" spans="2:36" x14ac:dyDescent="0.3">
      <c r="B27" s="16" t="s">
        <v>20</v>
      </c>
      <c r="C27" s="4">
        <v>11.5612449317697</v>
      </c>
      <c r="E27" s="4" t="str">
        <f>Gravity!D136</f>
        <v>C</v>
      </c>
      <c r="F27" s="4">
        <f>Gravity!AH136</f>
        <v>412.73159341031993</v>
      </c>
      <c r="G27" s="4">
        <f>Gravity!AI136</f>
        <v>758.55102095381108</v>
      </c>
      <c r="H27" s="4">
        <f>Gravity!AJ136</f>
        <v>6.32174026255448E-87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 s="4">
        <v>-21.718799594511779</v>
      </c>
      <c r="E28" s="4" t="str">
        <f>Gravity!D137</f>
        <v>D</v>
      </c>
      <c r="F28" s="4">
        <f>Gravity!AH137</f>
        <v>439.12533120848451</v>
      </c>
      <c r="G28" s="4">
        <f>Gravity!AI137</f>
        <v>807.0595361080675</v>
      </c>
      <c r="H28" s="4" t="e">
        <f>Gravity!AJ137</f>
        <v>#DIV/0!</v>
      </c>
      <c r="I28" s="4">
        <f>Gravity!AK137</f>
        <v>6.146066178778342E-87</v>
      </c>
    </row>
    <row r="29" spans="2:36" x14ac:dyDescent="0.3">
      <c r="B29" s="16" t="s">
        <v>25</v>
      </c>
      <c r="C29" s="4">
        <v>0.1009498777310828</v>
      </c>
    </row>
    <row r="30" spans="2:36" x14ac:dyDescent="0.3">
      <c r="B30" s="17" t="s">
        <v>26</v>
      </c>
      <c r="C30" s="4">
        <v>-8.5362198227310522</v>
      </c>
    </row>
    <row r="31" spans="2:36" x14ac:dyDescent="0.3">
      <c r="B31" s="18" t="s">
        <v>27</v>
      </c>
      <c r="C31" s="4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 s="4">
        <v>-7.4303289391295362</v>
      </c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994.79610296958276</v>
      </c>
      <c r="D36" s="31">
        <f>E36-H36</f>
        <v>0</v>
      </c>
      <c r="E36">
        <f>W6*G66+(W6*0.17/X6^3.8)*(G66^4.8/4.8)</f>
        <v>2970.7956171686578</v>
      </c>
      <c r="F36" s="284"/>
      <c r="G36" s="32" t="s">
        <v>62</v>
      </c>
      <c r="H36" s="33">
        <f>W6*G66+0.17*W6/X6^3.8*G66^4.8/4.8</f>
        <v>2970.7956171686578</v>
      </c>
      <c r="I36" s="32" t="s">
        <v>63</v>
      </c>
      <c r="J36" s="33">
        <f>W6*(1+0.17*(G66/X6)^3.8)</f>
        <v>2.5125414798907291</v>
      </c>
      <c r="K36" s="36">
        <v>1</v>
      </c>
      <c r="L36" s="37" t="s">
        <v>61</v>
      </c>
      <c r="M36" s="38" t="s">
        <v>64</v>
      </c>
      <c r="N36" s="39">
        <f>J36+J54+J51</f>
        <v>15.036271857858988</v>
      </c>
      <c r="O36" s="40" t="s">
        <v>65</v>
      </c>
      <c r="P36" s="41">
        <v>0</v>
      </c>
      <c r="Q36" s="41">
        <f t="shared" ref="Q36:Q60" si="1">IF(P36&lt;=0,0,P36)</f>
        <v>0</v>
      </c>
      <c r="R36" s="42">
        <f>G58</f>
        <v>994.79610296958276</v>
      </c>
      <c r="S36" s="42" t="s">
        <v>39</v>
      </c>
      <c r="T36" s="42">
        <f>I58</f>
        <v>994.79610296958276</v>
      </c>
      <c r="U36" s="43" t="s">
        <v>65</v>
      </c>
      <c r="V36" s="44">
        <v>1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1</v>
      </c>
      <c r="AL36" s="44">
        <v>0</v>
      </c>
      <c r="AM36" s="44">
        <v>0</v>
      </c>
      <c r="AN36" s="45">
        <v>1</v>
      </c>
    </row>
    <row r="37" spans="1:40" x14ac:dyDescent="0.3">
      <c r="B37" s="36" t="s">
        <v>66</v>
      </c>
      <c r="C37" s="30">
        <f>I25</f>
        <v>909.02093040722673</v>
      </c>
      <c r="D37" s="31">
        <f t="shared" ref="D37:D54" si="2">E37-H37</f>
        <v>0</v>
      </c>
      <c r="E37">
        <f t="shared" ref="E37:E54" si="3">W7*G67+(W7*0.17/X7^3.8)*(G67^4.8/4.8)</f>
        <v>437.98135956190265</v>
      </c>
      <c r="F37" s="284"/>
      <c r="G37" s="46" t="s">
        <v>67</v>
      </c>
      <c r="H37" s="33">
        <f t="shared" ref="H37:H53" si="4">W7*G67+0.17*W7/X7^3.8*G67^4.8/4.8</f>
        <v>437.98135956190265</v>
      </c>
      <c r="I37" s="46" t="s">
        <v>68</v>
      </c>
      <c r="J37" s="33">
        <f t="shared" ref="J37:J54" si="5">W7*(1+0.17*(G67/X7)^3.8)</f>
        <v>2.5001215023805479</v>
      </c>
      <c r="K37" s="36">
        <v>2</v>
      </c>
      <c r="L37" s="48"/>
      <c r="M37" s="49" t="s">
        <v>69</v>
      </c>
      <c r="N37" s="50">
        <f>J36+J47+J39+J40+J51</f>
        <v>14.030489535795919</v>
      </c>
      <c r="O37" s="51" t="s">
        <v>70</v>
      </c>
      <c r="P37" s="41">
        <v>599.65461987004653</v>
      </c>
      <c r="Q37" s="252">
        <f t="shared" si="1"/>
        <v>599.65461987004653</v>
      </c>
      <c r="R37" s="52"/>
      <c r="S37" s="52"/>
      <c r="T37" s="52"/>
      <c r="U37" s="43" t="s">
        <v>70</v>
      </c>
      <c r="V37" s="53">
        <v>1</v>
      </c>
      <c r="W37" s="53">
        <v>0</v>
      </c>
      <c r="X37" s="53">
        <v>0</v>
      </c>
      <c r="Y37" s="53">
        <v>1</v>
      </c>
      <c r="Z37" s="53">
        <v>1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1</v>
      </c>
      <c r="AH37" s="53">
        <v>0</v>
      </c>
      <c r="AI37" s="53">
        <v>0</v>
      </c>
      <c r="AJ37" s="53">
        <v>0</v>
      </c>
      <c r="AK37" s="53">
        <v>1</v>
      </c>
      <c r="AL37" s="53">
        <v>0</v>
      </c>
      <c r="AM37" s="53">
        <v>0</v>
      </c>
      <c r="AN37" s="54">
        <v>0</v>
      </c>
    </row>
    <row r="38" spans="1:40" x14ac:dyDescent="0.3">
      <c r="B38" s="36" t="s">
        <v>71</v>
      </c>
      <c r="C38" s="30">
        <f>H26</f>
        <v>1215.2812637829688</v>
      </c>
      <c r="D38" s="31">
        <f t="shared" si="2"/>
        <v>0</v>
      </c>
      <c r="E38">
        <f t="shared" si="3"/>
        <v>2233.4968144008285</v>
      </c>
      <c r="F38" s="284"/>
      <c r="G38" s="46" t="s">
        <v>72</v>
      </c>
      <c r="H38" s="33">
        <f t="shared" si="4"/>
        <v>2233.4968144008285</v>
      </c>
      <c r="I38" s="46" t="s">
        <v>73</v>
      </c>
      <c r="J38" s="33">
        <f t="shared" si="5"/>
        <v>2.5197575116599227</v>
      </c>
      <c r="K38" s="36">
        <v>3</v>
      </c>
      <c r="L38" s="48"/>
      <c r="M38" s="49" t="s">
        <v>74</v>
      </c>
      <c r="N38" s="50">
        <f>J36+J47+J39+J49+J43</f>
        <v>14.458222011907591</v>
      </c>
      <c r="O38" s="51" t="s">
        <v>75</v>
      </c>
      <c r="P38" s="41">
        <v>0</v>
      </c>
      <c r="Q38" s="41">
        <f t="shared" si="1"/>
        <v>0</v>
      </c>
      <c r="R38" s="52"/>
      <c r="S38" s="52"/>
      <c r="T38" s="52"/>
      <c r="U38" s="43" t="s">
        <v>75</v>
      </c>
      <c r="V38" s="53">
        <v>1</v>
      </c>
      <c r="W38" s="53">
        <v>0</v>
      </c>
      <c r="X38" s="53">
        <v>0</v>
      </c>
      <c r="Y38" s="53">
        <v>1</v>
      </c>
      <c r="Z38" s="53">
        <v>0</v>
      </c>
      <c r="AA38" s="53">
        <v>0</v>
      </c>
      <c r="AB38" s="53">
        <v>0</v>
      </c>
      <c r="AC38" s="53">
        <v>1</v>
      </c>
      <c r="AD38" s="53">
        <v>0</v>
      </c>
      <c r="AE38" s="53">
        <v>0</v>
      </c>
      <c r="AF38" s="53">
        <v>0</v>
      </c>
      <c r="AG38" s="53">
        <v>1</v>
      </c>
      <c r="AH38" s="53">
        <v>0</v>
      </c>
      <c r="AI38" s="53">
        <v>1</v>
      </c>
      <c r="AJ38" s="53">
        <v>0</v>
      </c>
      <c r="AK38" s="53">
        <v>0</v>
      </c>
      <c r="AL38" s="53">
        <v>0</v>
      </c>
      <c r="AM38" s="53">
        <v>0</v>
      </c>
      <c r="AN38" s="54">
        <v>0</v>
      </c>
    </row>
    <row r="39" spans="1:40" x14ac:dyDescent="0.3">
      <c r="B39" s="55" t="s">
        <v>76</v>
      </c>
      <c r="C39" s="20">
        <f>I26</f>
        <v>1110.495006778533</v>
      </c>
      <c r="D39" s="31">
        <f t="shared" si="2"/>
        <v>0</v>
      </c>
      <c r="E39">
        <f t="shared" si="3"/>
        <v>7460.9961678430818</v>
      </c>
      <c r="F39" s="284"/>
      <c r="G39" s="46" t="s">
        <v>77</v>
      </c>
      <c r="H39" s="33">
        <f t="shared" si="4"/>
        <v>7460.9961678430818</v>
      </c>
      <c r="I39" s="46" t="s">
        <v>78</v>
      </c>
      <c r="J39" s="33">
        <f t="shared" si="5"/>
        <v>3.8802651477880588</v>
      </c>
      <c r="K39" s="36">
        <v>4</v>
      </c>
      <c r="L39" s="48"/>
      <c r="M39" s="49" t="s">
        <v>79</v>
      </c>
      <c r="N39" s="50">
        <f>J36+J47+J48+J42+J43</f>
        <v>14.458035115465936</v>
      </c>
      <c r="O39" s="51" t="s">
        <v>80</v>
      </c>
      <c r="P39" s="41">
        <v>0</v>
      </c>
      <c r="Q39" s="41">
        <f t="shared" si="1"/>
        <v>0</v>
      </c>
      <c r="R39" s="52"/>
      <c r="S39" s="52"/>
      <c r="T39" s="52"/>
      <c r="U39" s="43" t="s">
        <v>80</v>
      </c>
      <c r="V39" s="53">
        <v>1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1</v>
      </c>
      <c r="AC39" s="53">
        <v>1</v>
      </c>
      <c r="AD39" s="53">
        <v>0</v>
      </c>
      <c r="AE39" s="53">
        <v>0</v>
      </c>
      <c r="AF39" s="53">
        <v>0</v>
      </c>
      <c r="AG39" s="53">
        <v>1</v>
      </c>
      <c r="AH39" s="53">
        <v>1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4">
        <v>0</v>
      </c>
    </row>
    <row r="40" spans="1:40" x14ac:dyDescent="0.3">
      <c r="D40" s="31">
        <f t="shared" si="2"/>
        <v>0</v>
      </c>
      <c r="E40">
        <f t="shared" si="3"/>
        <v>2938.4724270558672</v>
      </c>
      <c r="F40" s="284"/>
      <c r="G40" s="46" t="s">
        <v>81</v>
      </c>
      <c r="H40" s="33">
        <f t="shared" si="4"/>
        <v>2938.4724270558672</v>
      </c>
      <c r="I40" s="46" t="s">
        <v>82</v>
      </c>
      <c r="J40" s="33">
        <f t="shared" si="5"/>
        <v>2.5554067536399119</v>
      </c>
      <c r="K40" s="36">
        <v>5</v>
      </c>
      <c r="L40" s="48"/>
      <c r="M40" s="49" t="s">
        <v>83</v>
      </c>
      <c r="N40" s="50">
        <f>J45+J38+J39+J40+J51</f>
        <v>14.030505458878014</v>
      </c>
      <c r="O40" s="51" t="s">
        <v>84</v>
      </c>
      <c r="P40" s="41">
        <v>395.14148309953617</v>
      </c>
      <c r="Q40" s="41">
        <f t="shared" si="1"/>
        <v>395.14148309953617</v>
      </c>
      <c r="R40" s="52"/>
      <c r="S40" s="52"/>
      <c r="T40" s="52"/>
      <c r="U40" s="43" t="s">
        <v>84</v>
      </c>
      <c r="V40" s="53">
        <v>0</v>
      </c>
      <c r="W40" s="53">
        <v>0</v>
      </c>
      <c r="X40" s="53">
        <v>1</v>
      </c>
      <c r="Y40" s="53">
        <v>1</v>
      </c>
      <c r="Z40" s="53">
        <v>1</v>
      </c>
      <c r="AA40" s="53">
        <v>0</v>
      </c>
      <c r="AB40" s="53">
        <v>0</v>
      </c>
      <c r="AC40" s="53">
        <v>0</v>
      </c>
      <c r="AD40" s="53">
        <v>0</v>
      </c>
      <c r="AE40" s="53">
        <v>1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1</v>
      </c>
      <c r="AL40" s="53">
        <v>0</v>
      </c>
      <c r="AM40" s="53">
        <v>0</v>
      </c>
      <c r="AN40" s="54">
        <v>0</v>
      </c>
    </row>
    <row r="41" spans="1:40" x14ac:dyDescent="0.3">
      <c r="D41" s="31">
        <f t="shared" si="2"/>
        <v>0</v>
      </c>
      <c r="E41">
        <f t="shared" si="3"/>
        <v>6125.1039322250781</v>
      </c>
      <c r="F41" s="284"/>
      <c r="G41" s="46" t="s">
        <v>85</v>
      </c>
      <c r="H41" s="33">
        <f t="shared" si="4"/>
        <v>6125.1039322250781</v>
      </c>
      <c r="I41" s="46" t="s">
        <v>86</v>
      </c>
      <c r="J41" s="33">
        <f t="shared" si="5"/>
        <v>4.17092769237866</v>
      </c>
      <c r="K41" s="36">
        <v>6</v>
      </c>
      <c r="L41" s="48"/>
      <c r="M41" s="49" t="s">
        <v>87</v>
      </c>
      <c r="N41" s="50">
        <f>J45+J38+J39+J49+J43</f>
        <v>14.458237934989686</v>
      </c>
      <c r="O41" s="51" t="s">
        <v>88</v>
      </c>
      <c r="P41" s="41">
        <v>0</v>
      </c>
      <c r="Q41" s="41">
        <f t="shared" si="1"/>
        <v>0</v>
      </c>
      <c r="R41" s="52"/>
      <c r="S41" s="52"/>
      <c r="T41" s="52"/>
      <c r="U41" s="43" t="s">
        <v>88</v>
      </c>
      <c r="V41" s="53">
        <v>0</v>
      </c>
      <c r="W41" s="53">
        <v>0</v>
      </c>
      <c r="X41" s="53">
        <v>1</v>
      </c>
      <c r="Y41" s="53">
        <v>1</v>
      </c>
      <c r="Z41" s="53">
        <v>0</v>
      </c>
      <c r="AA41" s="53">
        <v>0</v>
      </c>
      <c r="AB41" s="53">
        <v>0</v>
      </c>
      <c r="AC41" s="53">
        <v>1</v>
      </c>
      <c r="AD41" s="53">
        <v>0</v>
      </c>
      <c r="AE41" s="53">
        <v>1</v>
      </c>
      <c r="AF41" s="53">
        <v>0</v>
      </c>
      <c r="AG41" s="53">
        <v>0</v>
      </c>
      <c r="AH41" s="53">
        <v>0</v>
      </c>
      <c r="AI41" s="53">
        <v>1</v>
      </c>
      <c r="AJ41" s="53">
        <v>0</v>
      </c>
      <c r="AK41" s="53">
        <v>0</v>
      </c>
      <c r="AL41" s="53">
        <v>0</v>
      </c>
      <c r="AM41" s="53">
        <v>0</v>
      </c>
      <c r="AN41" s="54">
        <v>0</v>
      </c>
    </row>
    <row r="42" spans="1:40" x14ac:dyDescent="0.3">
      <c r="C42" s="6"/>
      <c r="D42" s="31">
        <f t="shared" si="2"/>
        <v>0</v>
      </c>
      <c r="E42">
        <f t="shared" si="3"/>
        <v>5703.1041413043667</v>
      </c>
      <c r="F42" s="284"/>
      <c r="G42" s="46" t="s">
        <v>89</v>
      </c>
      <c r="H42" s="33">
        <f t="shared" si="4"/>
        <v>5703.1041413043667</v>
      </c>
      <c r="I42" s="46" t="s">
        <v>90</v>
      </c>
      <c r="J42" s="33">
        <f t="shared" si="5"/>
        <v>2.6434712828439855</v>
      </c>
      <c r="K42" s="36">
        <v>7</v>
      </c>
      <c r="L42" s="48"/>
      <c r="M42" s="49" t="s">
        <v>91</v>
      </c>
      <c r="N42" s="50">
        <f>J45+J38+J48+J42+J43</f>
        <v>14.458051038548032</v>
      </c>
      <c r="O42" s="51" t="s">
        <v>92</v>
      </c>
      <c r="P42" s="41">
        <v>3.5527136788005009E-15</v>
      </c>
      <c r="Q42" s="41">
        <f t="shared" si="1"/>
        <v>3.5527136788005009E-15</v>
      </c>
      <c r="R42" s="52"/>
      <c r="S42" s="52"/>
      <c r="T42" s="52"/>
      <c r="U42" s="43" t="s">
        <v>92</v>
      </c>
      <c r="V42" s="53">
        <v>0</v>
      </c>
      <c r="W42" s="53">
        <v>0</v>
      </c>
      <c r="X42" s="53">
        <v>1</v>
      </c>
      <c r="Y42" s="53">
        <v>0</v>
      </c>
      <c r="Z42" s="53">
        <v>0</v>
      </c>
      <c r="AA42" s="53">
        <v>0</v>
      </c>
      <c r="AB42" s="53">
        <v>1</v>
      </c>
      <c r="AC42" s="53">
        <v>1</v>
      </c>
      <c r="AD42" s="53">
        <v>0</v>
      </c>
      <c r="AE42" s="53">
        <v>1</v>
      </c>
      <c r="AF42" s="53">
        <v>0</v>
      </c>
      <c r="AG42" s="53">
        <v>0</v>
      </c>
      <c r="AH42" s="53">
        <v>1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4">
        <v>0</v>
      </c>
    </row>
    <row r="43" spans="1:40" x14ac:dyDescent="0.3">
      <c r="C43" s="6"/>
      <c r="D43" s="31">
        <f t="shared" si="2"/>
        <v>0</v>
      </c>
      <c r="E43">
        <f t="shared" si="3"/>
        <v>2707.1536580405232</v>
      </c>
      <c r="F43" s="284"/>
      <c r="G43" s="46" t="s">
        <v>93</v>
      </c>
      <c r="H43" s="33">
        <f t="shared" si="4"/>
        <v>2707.1536580405232</v>
      </c>
      <c r="I43" s="46" t="s">
        <v>94</v>
      </c>
      <c r="J43" s="33">
        <f t="shared" si="5"/>
        <v>2.9934682472920922</v>
      </c>
      <c r="K43" s="36">
        <v>8</v>
      </c>
      <c r="L43" s="56"/>
      <c r="M43" s="57" t="s">
        <v>95</v>
      </c>
      <c r="N43" s="58">
        <f>J45+J46+J41+J42+J43</f>
        <v>14.8592128903366</v>
      </c>
      <c r="O43" s="59" t="s">
        <v>96</v>
      </c>
      <c r="P43" s="41">
        <v>0</v>
      </c>
      <c r="Q43" s="41">
        <f t="shared" si="1"/>
        <v>0</v>
      </c>
      <c r="R43" s="60"/>
      <c r="S43" s="60"/>
      <c r="T43" s="60"/>
      <c r="U43" s="43" t="s">
        <v>96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1</v>
      </c>
      <c r="AB43" s="61">
        <v>1</v>
      </c>
      <c r="AC43" s="61">
        <v>1</v>
      </c>
      <c r="AD43" s="61">
        <v>0</v>
      </c>
      <c r="AE43" s="61">
        <v>1</v>
      </c>
      <c r="AF43" s="61">
        <v>1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2">
        <v>0</v>
      </c>
    </row>
    <row r="44" spans="1:40" x14ac:dyDescent="0.3">
      <c r="C44" s="6"/>
      <c r="D44" s="31">
        <f t="shared" si="2"/>
        <v>0</v>
      </c>
      <c r="E44">
        <f t="shared" si="3"/>
        <v>0</v>
      </c>
      <c r="F44" s="284"/>
      <c r="G44" s="46" t="s">
        <v>97</v>
      </c>
      <c r="H44" s="33">
        <f t="shared" si="4"/>
        <v>0</v>
      </c>
      <c r="I44" s="46" t="s">
        <v>98</v>
      </c>
      <c r="J44" s="33">
        <f t="shared" si="5"/>
        <v>2.5</v>
      </c>
      <c r="K44" s="36">
        <v>9</v>
      </c>
      <c r="L44" s="37" t="s">
        <v>66</v>
      </c>
      <c r="M44" s="38" t="s">
        <v>99</v>
      </c>
      <c r="N44" s="39">
        <f>J36+J47+J39+J49+J50</f>
        <v>14.246614800331439</v>
      </c>
      <c r="O44" s="40" t="s">
        <v>100</v>
      </c>
      <c r="P44" s="41">
        <v>574.98482622811389</v>
      </c>
      <c r="Q44" s="41">
        <f t="shared" si="1"/>
        <v>574.98482622811389</v>
      </c>
      <c r="R44" s="42">
        <f>G59</f>
        <v>909.02093040722684</v>
      </c>
      <c r="S44" s="42" t="s">
        <v>39</v>
      </c>
      <c r="T44" s="42">
        <f>I59</f>
        <v>909.02093040722673</v>
      </c>
      <c r="U44" s="43" t="s">
        <v>100</v>
      </c>
      <c r="V44" s="44">
        <v>1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1</v>
      </c>
      <c r="AH44" s="44">
        <v>0</v>
      </c>
      <c r="AI44" s="44">
        <v>1</v>
      </c>
      <c r="AJ44" s="44">
        <v>1</v>
      </c>
      <c r="AK44" s="44">
        <v>0</v>
      </c>
      <c r="AL44" s="44">
        <v>0</v>
      </c>
      <c r="AM44" s="44">
        <v>0</v>
      </c>
      <c r="AN44" s="45">
        <v>0</v>
      </c>
    </row>
    <row r="45" spans="1:40" x14ac:dyDescent="0.3">
      <c r="C45" s="6"/>
      <c r="D45" s="31">
        <f t="shared" si="2"/>
        <v>0</v>
      </c>
      <c r="E45">
        <f t="shared" si="3"/>
        <v>1799.5155443026047</v>
      </c>
      <c r="F45" s="284"/>
      <c r="G45" s="46" t="s">
        <v>101</v>
      </c>
      <c r="H45" s="33">
        <f t="shared" si="4"/>
        <v>1799.5155443026047</v>
      </c>
      <c r="I45" s="46" t="s">
        <v>102</v>
      </c>
      <c r="J45" s="33">
        <f t="shared" si="5"/>
        <v>2.5513456678218627</v>
      </c>
      <c r="K45" s="36">
        <v>10</v>
      </c>
      <c r="L45" s="48"/>
      <c r="M45" s="49" t="s">
        <v>103</v>
      </c>
      <c r="N45" s="50">
        <f>J36+J47+J48+J42+J50</f>
        <v>14.246427903889785</v>
      </c>
      <c r="O45" s="51" t="s">
        <v>104</v>
      </c>
      <c r="P45" s="41">
        <v>12.438158277301717</v>
      </c>
      <c r="Q45" s="41">
        <f t="shared" si="1"/>
        <v>12.438158277301717</v>
      </c>
      <c r="R45" s="52"/>
      <c r="S45" s="52"/>
      <c r="T45" s="52"/>
      <c r="U45" s="43" t="s">
        <v>104</v>
      </c>
      <c r="V45" s="53">
        <v>1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1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1</v>
      </c>
      <c r="AI45" s="53">
        <v>0</v>
      </c>
      <c r="AJ45" s="53">
        <v>1</v>
      </c>
      <c r="AK45" s="53">
        <v>0</v>
      </c>
      <c r="AL45" s="53">
        <v>0</v>
      </c>
      <c r="AM45" s="53">
        <v>0</v>
      </c>
      <c r="AN45" s="54">
        <v>0</v>
      </c>
    </row>
    <row r="46" spans="1:40" x14ac:dyDescent="0.3">
      <c r="C46" s="6"/>
      <c r="D46" s="31">
        <f t="shared" si="2"/>
        <v>0</v>
      </c>
      <c r="E46">
        <f t="shared" si="3"/>
        <v>0</v>
      </c>
      <c r="F46" s="284"/>
      <c r="G46" s="46" t="s">
        <v>105</v>
      </c>
      <c r="H46" s="33">
        <f t="shared" si="4"/>
        <v>0</v>
      </c>
      <c r="I46" s="46" t="s">
        <v>106</v>
      </c>
      <c r="J46" s="33">
        <f t="shared" si="5"/>
        <v>2.5</v>
      </c>
      <c r="K46" s="36">
        <v>11</v>
      </c>
      <c r="L46" s="48"/>
      <c r="M46" s="49" t="s">
        <v>107</v>
      </c>
      <c r="N46" s="50">
        <f>J45+J38+J39+J49+J50</f>
        <v>14.246630723413535</v>
      </c>
      <c r="O46" s="51" t="s">
        <v>108</v>
      </c>
      <c r="P46" s="41">
        <v>230.33209884498714</v>
      </c>
      <c r="Q46" s="41">
        <f t="shared" si="1"/>
        <v>230.33209884498714</v>
      </c>
      <c r="R46" s="52"/>
      <c r="S46" s="52"/>
      <c r="T46" s="52"/>
      <c r="U46" s="43" t="s">
        <v>108</v>
      </c>
      <c r="V46" s="53">
        <v>0</v>
      </c>
      <c r="W46" s="53">
        <v>0</v>
      </c>
      <c r="X46" s="53">
        <v>1</v>
      </c>
      <c r="Y46" s="53">
        <v>1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1</v>
      </c>
      <c r="AF46" s="53">
        <v>0</v>
      </c>
      <c r="AG46" s="53">
        <v>0</v>
      </c>
      <c r="AH46" s="53">
        <v>0</v>
      </c>
      <c r="AI46" s="53">
        <v>1</v>
      </c>
      <c r="AJ46" s="53">
        <v>1</v>
      </c>
      <c r="AK46" s="53">
        <v>0</v>
      </c>
      <c r="AL46" s="53">
        <v>0</v>
      </c>
      <c r="AM46" s="53">
        <v>0</v>
      </c>
      <c r="AN46" s="54">
        <v>0</v>
      </c>
    </row>
    <row r="47" spans="1:40" x14ac:dyDescent="0.3">
      <c r="C47" s="6"/>
      <c r="D47" s="31">
        <f t="shared" si="2"/>
        <v>0</v>
      </c>
      <c r="E47">
        <f t="shared" si="3"/>
        <v>2982.1728401312721</v>
      </c>
      <c r="F47" s="284"/>
      <c r="G47" s="46" t="s">
        <v>109</v>
      </c>
      <c r="H47" s="33">
        <f t="shared" si="4"/>
        <v>2982.1728401312721</v>
      </c>
      <c r="I47" s="46" t="s">
        <v>110</v>
      </c>
      <c r="J47" s="33">
        <f t="shared" si="5"/>
        <v>2.5585457765089608</v>
      </c>
      <c r="K47" s="36">
        <v>12</v>
      </c>
      <c r="L47" s="48"/>
      <c r="M47" s="49" t="s">
        <v>111</v>
      </c>
      <c r="N47" s="50">
        <f>J45+J38+J48+J42+J50</f>
        <v>14.24644382697188</v>
      </c>
      <c r="O47" s="51" t="s">
        <v>112</v>
      </c>
      <c r="P47" s="41">
        <v>91.265847056824072</v>
      </c>
      <c r="Q47" s="41">
        <f t="shared" si="1"/>
        <v>91.265847056824072</v>
      </c>
      <c r="R47" s="52"/>
      <c r="S47" s="52"/>
      <c r="T47" s="52"/>
      <c r="U47" s="43" t="s">
        <v>112</v>
      </c>
      <c r="V47" s="53">
        <v>0</v>
      </c>
      <c r="W47" s="53">
        <v>0</v>
      </c>
      <c r="X47" s="53">
        <v>1</v>
      </c>
      <c r="Y47" s="53">
        <v>0</v>
      </c>
      <c r="Z47" s="53">
        <v>0</v>
      </c>
      <c r="AA47" s="53">
        <v>0</v>
      </c>
      <c r="AB47" s="53">
        <v>1</v>
      </c>
      <c r="AC47" s="53">
        <v>0</v>
      </c>
      <c r="AD47" s="53">
        <v>0</v>
      </c>
      <c r="AE47" s="53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4">
        <v>0</v>
      </c>
    </row>
    <row r="48" spans="1:40" x14ac:dyDescent="0.3">
      <c r="C48" s="6"/>
      <c r="D48" s="31">
        <f t="shared" si="2"/>
        <v>0</v>
      </c>
      <c r="E48">
        <f t="shared" si="3"/>
        <v>388.8901999495173</v>
      </c>
      <c r="F48" s="284"/>
      <c r="G48" s="46" t="s">
        <v>113</v>
      </c>
      <c r="H48" s="33">
        <f t="shared" si="4"/>
        <v>388.8901999495173</v>
      </c>
      <c r="I48" s="46" t="s">
        <v>114</v>
      </c>
      <c r="J48" s="33">
        <f t="shared" si="5"/>
        <v>3.7500083289301696</v>
      </c>
      <c r="K48" s="36">
        <v>13</v>
      </c>
      <c r="L48" s="48"/>
      <c r="M48" s="49" t="s">
        <v>115</v>
      </c>
      <c r="N48" s="50">
        <f>J45+J46+J41+J42+J50</f>
        <v>14.647605678760449</v>
      </c>
      <c r="O48" s="51" t="s">
        <v>116</v>
      </c>
      <c r="P48" s="41">
        <v>0</v>
      </c>
      <c r="Q48" s="41">
        <f t="shared" si="1"/>
        <v>0</v>
      </c>
      <c r="R48" s="52"/>
      <c r="S48" s="52"/>
      <c r="T48" s="52"/>
      <c r="U48" s="43" t="s">
        <v>116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1</v>
      </c>
      <c r="AB48" s="53">
        <v>1</v>
      </c>
      <c r="AC48" s="53">
        <v>0</v>
      </c>
      <c r="AD48" s="53">
        <v>0</v>
      </c>
      <c r="AE48" s="53">
        <v>1</v>
      </c>
      <c r="AF48" s="53">
        <v>1</v>
      </c>
      <c r="AG48" s="53">
        <v>0</v>
      </c>
      <c r="AH48" s="53">
        <v>0</v>
      </c>
      <c r="AI48" s="53">
        <v>0</v>
      </c>
      <c r="AJ48" s="53">
        <v>1</v>
      </c>
      <c r="AK48" s="53">
        <v>0</v>
      </c>
      <c r="AL48" s="53">
        <v>0</v>
      </c>
      <c r="AM48" s="53">
        <v>0</v>
      </c>
      <c r="AN48" s="54">
        <v>0</v>
      </c>
    </row>
    <row r="49" spans="3:40" x14ac:dyDescent="0.3">
      <c r="C49" s="6"/>
      <c r="D49" s="31">
        <f t="shared" si="2"/>
        <v>0</v>
      </c>
      <c r="E49">
        <f t="shared" si="3"/>
        <v>2015.5407173434762</v>
      </c>
      <c r="F49" s="284"/>
      <c r="G49" s="46" t="s">
        <v>117</v>
      </c>
      <c r="H49" s="33">
        <f t="shared" si="4"/>
        <v>2015.5407173434762</v>
      </c>
      <c r="I49" s="46" t="s">
        <v>118</v>
      </c>
      <c r="J49" s="33">
        <f t="shared" si="5"/>
        <v>2.5134013604277508</v>
      </c>
      <c r="K49" s="36">
        <v>14</v>
      </c>
      <c r="L49" s="56"/>
      <c r="M49" s="57" t="s">
        <v>119</v>
      </c>
      <c r="N49" s="58">
        <f>J45+J46+J53+J44</f>
        <v>15.051345667821863</v>
      </c>
      <c r="O49" s="59" t="s">
        <v>120</v>
      </c>
      <c r="P49" s="41">
        <v>0</v>
      </c>
      <c r="Q49" s="41">
        <f t="shared" si="1"/>
        <v>0</v>
      </c>
      <c r="R49" s="60"/>
      <c r="S49" s="60"/>
      <c r="T49" s="60"/>
      <c r="U49" s="43" t="s">
        <v>120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</v>
      </c>
      <c r="AE49" s="61">
        <v>1</v>
      </c>
      <c r="AF49" s="61">
        <v>1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1</v>
      </c>
      <c r="AN49" s="62">
        <v>0</v>
      </c>
    </row>
    <row r="50" spans="3:40" x14ac:dyDescent="0.3">
      <c r="C50" s="6"/>
      <c r="D50" s="31">
        <f t="shared" si="2"/>
        <v>0</v>
      </c>
      <c r="E50">
        <f t="shared" si="3"/>
        <v>5167.3779374852393</v>
      </c>
      <c r="F50" s="284"/>
      <c r="G50" s="46" t="s">
        <v>121</v>
      </c>
      <c r="H50" s="33">
        <f t="shared" si="4"/>
        <v>5167.3779374852393</v>
      </c>
      <c r="I50" s="46" t="s">
        <v>122</v>
      </c>
      <c r="J50" s="33">
        <f t="shared" si="5"/>
        <v>2.7818610357159406</v>
      </c>
      <c r="K50" s="36">
        <v>15</v>
      </c>
      <c r="L50" s="37" t="s">
        <v>71</v>
      </c>
      <c r="M50" s="38" t="s">
        <v>123</v>
      </c>
      <c r="N50" s="39">
        <f>J37+J46+J41+J42+J43</f>
        <v>14.807988724895285</v>
      </c>
      <c r="O50" s="40" t="s">
        <v>124</v>
      </c>
      <c r="P50" s="41">
        <v>0</v>
      </c>
      <c r="Q50" s="41">
        <f t="shared" si="1"/>
        <v>0</v>
      </c>
      <c r="R50" s="42">
        <f>G60</f>
        <v>1215.2812637829693</v>
      </c>
      <c r="S50" s="42" t="s">
        <v>39</v>
      </c>
      <c r="T50" s="42">
        <f>I60</f>
        <v>1215.2812637829688</v>
      </c>
      <c r="U50" s="43" t="s">
        <v>124</v>
      </c>
      <c r="V50" s="44">
        <v>0</v>
      </c>
      <c r="W50" s="44">
        <v>1</v>
      </c>
      <c r="X50" s="44">
        <v>0</v>
      </c>
      <c r="Y50" s="44">
        <v>0</v>
      </c>
      <c r="Z50" s="44">
        <v>0</v>
      </c>
      <c r="AA50" s="44">
        <v>1</v>
      </c>
      <c r="AB50" s="44">
        <v>1</v>
      </c>
      <c r="AC50" s="44">
        <v>1</v>
      </c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5">
        <v>0</v>
      </c>
    </row>
    <row r="51" spans="3:40" x14ac:dyDescent="0.3">
      <c r="D51" s="31">
        <f t="shared" si="2"/>
        <v>0</v>
      </c>
      <c r="E51">
        <f t="shared" si="3"/>
        <v>2930.7513971145004</v>
      </c>
      <c r="F51" s="284"/>
      <c r="G51" s="46" t="s">
        <v>125</v>
      </c>
      <c r="H51" s="33">
        <f t="shared" si="4"/>
        <v>2930.7513971145004</v>
      </c>
      <c r="I51" s="46" t="s">
        <v>126</v>
      </c>
      <c r="J51" s="33">
        <f t="shared" si="5"/>
        <v>2.5237303779682603</v>
      </c>
      <c r="K51" s="36">
        <v>16</v>
      </c>
      <c r="L51" s="48"/>
      <c r="M51" s="49" t="s">
        <v>127</v>
      </c>
      <c r="N51" s="50">
        <f>J37+J38+J39+J40+J51</f>
        <v>13.979281293436699</v>
      </c>
      <c r="O51" s="51" t="s">
        <v>128</v>
      </c>
      <c r="P51" s="41">
        <v>175.19076998346083</v>
      </c>
      <c r="Q51" s="41">
        <f t="shared" si="1"/>
        <v>175.19076998346083</v>
      </c>
      <c r="R51" s="52"/>
      <c r="S51" s="52"/>
      <c r="T51" s="52"/>
      <c r="U51" s="43" t="s">
        <v>128</v>
      </c>
      <c r="V51" s="53">
        <v>0</v>
      </c>
      <c r="W51" s="53">
        <v>1</v>
      </c>
      <c r="X51" s="53">
        <v>1</v>
      </c>
      <c r="Y51" s="53">
        <v>1</v>
      </c>
      <c r="Z51" s="53">
        <v>1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1</v>
      </c>
      <c r="AL51" s="53">
        <v>0</v>
      </c>
      <c r="AM51" s="53">
        <v>0</v>
      </c>
      <c r="AN51" s="54">
        <v>0</v>
      </c>
    </row>
    <row r="52" spans="3:40" x14ac:dyDescent="0.3">
      <c r="D52" s="31">
        <f t="shared" si="2"/>
        <v>0</v>
      </c>
      <c r="E52">
        <f t="shared" si="3"/>
        <v>6125.1039322250781</v>
      </c>
      <c r="F52" s="284"/>
      <c r="G52" s="46" t="s">
        <v>129</v>
      </c>
      <c r="H52" s="33">
        <f t="shared" si="4"/>
        <v>6125.1039322250781</v>
      </c>
      <c r="I52" s="46" t="s">
        <v>130</v>
      </c>
      <c r="J52" s="33">
        <f t="shared" si="5"/>
        <v>4.17092769237866</v>
      </c>
      <c r="K52" s="36">
        <v>17</v>
      </c>
      <c r="L52" s="48"/>
      <c r="M52" s="49" t="s">
        <v>131</v>
      </c>
      <c r="N52" s="50">
        <f>J37+J38+J39+J49+J43</f>
        <v>14.407013769548371</v>
      </c>
      <c r="O52" s="51" t="s">
        <v>132</v>
      </c>
      <c r="P52" s="41">
        <v>0</v>
      </c>
      <c r="Q52" s="41">
        <f t="shared" si="1"/>
        <v>0</v>
      </c>
      <c r="R52" s="52"/>
      <c r="S52" s="52"/>
      <c r="T52" s="52"/>
      <c r="U52" s="43" t="s">
        <v>132</v>
      </c>
      <c r="V52" s="53">
        <v>0</v>
      </c>
      <c r="W52" s="53">
        <v>1</v>
      </c>
      <c r="X52" s="53">
        <v>1</v>
      </c>
      <c r="Y52" s="53">
        <v>1</v>
      </c>
      <c r="Z52" s="53">
        <v>0</v>
      </c>
      <c r="AA52" s="53">
        <v>0</v>
      </c>
      <c r="AB52" s="53">
        <v>0</v>
      </c>
      <c r="AC52" s="53">
        <v>1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1</v>
      </c>
      <c r="AJ52" s="53">
        <v>0</v>
      </c>
      <c r="AK52" s="53">
        <v>0</v>
      </c>
      <c r="AL52" s="53">
        <v>0</v>
      </c>
      <c r="AM52" s="53">
        <v>0</v>
      </c>
      <c r="AN52" s="54">
        <v>0</v>
      </c>
    </row>
    <row r="53" spans="3:40" x14ac:dyDescent="0.3">
      <c r="D53" s="31">
        <f t="shared" si="2"/>
        <v>0</v>
      </c>
      <c r="E53">
        <f t="shared" si="3"/>
        <v>0</v>
      </c>
      <c r="F53" s="284"/>
      <c r="G53" s="46" t="s">
        <v>133</v>
      </c>
      <c r="H53" s="33">
        <f t="shared" si="4"/>
        <v>0</v>
      </c>
      <c r="I53" s="46" t="s">
        <v>134</v>
      </c>
      <c r="J53" s="33">
        <f t="shared" si="5"/>
        <v>7.5</v>
      </c>
      <c r="K53" s="36">
        <v>18</v>
      </c>
      <c r="L53" s="48"/>
      <c r="M53" s="49" t="s">
        <v>135</v>
      </c>
      <c r="N53" s="50">
        <f>J37+J38+J48+J42+J43</f>
        <v>14.40682687310672</v>
      </c>
      <c r="O53" s="51" t="s">
        <v>136</v>
      </c>
      <c r="P53" s="41">
        <v>0</v>
      </c>
      <c r="Q53" s="41">
        <f t="shared" si="1"/>
        <v>0</v>
      </c>
      <c r="R53" s="52"/>
      <c r="S53" s="52"/>
      <c r="T53" s="52"/>
      <c r="U53" s="43" t="s">
        <v>136</v>
      </c>
      <c r="V53" s="53">
        <v>0</v>
      </c>
      <c r="W53" s="53">
        <v>1</v>
      </c>
      <c r="X53" s="53">
        <v>1</v>
      </c>
      <c r="Y53" s="53">
        <v>0</v>
      </c>
      <c r="Z53" s="53">
        <v>0</v>
      </c>
      <c r="AA53" s="53">
        <v>0</v>
      </c>
      <c r="AB53" s="53">
        <v>1</v>
      </c>
      <c r="AC53" s="53">
        <v>1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4">
        <v>0</v>
      </c>
    </row>
    <row r="54" spans="3:40" x14ac:dyDescent="0.3">
      <c r="D54" s="31">
        <f t="shared" si="2"/>
        <v>0</v>
      </c>
      <c r="E54">
        <f t="shared" si="3"/>
        <v>0</v>
      </c>
      <c r="F54" s="285"/>
      <c r="G54" s="63" t="s">
        <v>137</v>
      </c>
      <c r="H54" s="33">
        <f>W24*G84+0.17*W24/X24^3.8*G84^4.8/4.8</f>
        <v>0</v>
      </c>
      <c r="I54" s="63" t="s">
        <v>138</v>
      </c>
      <c r="J54" s="241">
        <f t="shared" si="5"/>
        <v>10</v>
      </c>
      <c r="K54" s="36">
        <v>19</v>
      </c>
      <c r="L54" s="56"/>
      <c r="M54" s="57" t="s">
        <v>139</v>
      </c>
      <c r="N54" s="58">
        <f>J52+J41+J42+J43</f>
        <v>13.978794914893399</v>
      </c>
      <c r="O54" s="59" t="s">
        <v>140</v>
      </c>
      <c r="P54" s="41">
        <v>1040.0904937995085</v>
      </c>
      <c r="Q54" s="41">
        <f t="shared" si="1"/>
        <v>1040.0904937995085</v>
      </c>
      <c r="R54" s="60"/>
      <c r="S54" s="60"/>
      <c r="T54" s="60"/>
      <c r="U54" s="43" t="s">
        <v>140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1</v>
      </c>
      <c r="AB54" s="61">
        <v>1</v>
      </c>
      <c r="AC54" s="61">
        <v>1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1</v>
      </c>
      <c r="AM54" s="61">
        <v>0</v>
      </c>
      <c r="AN54" s="62">
        <v>0</v>
      </c>
    </row>
    <row r="55" spans="3:40" x14ac:dyDescent="0.3">
      <c r="G55" s="65" t="s">
        <v>141</v>
      </c>
      <c r="H55" s="66">
        <f>SUM(H36:H54)</f>
        <v>51986.456686151992</v>
      </c>
      <c r="K55" s="36">
        <v>20</v>
      </c>
      <c r="L55" s="37" t="s">
        <v>76</v>
      </c>
      <c r="M55" s="38" t="s">
        <v>142</v>
      </c>
      <c r="N55" s="39">
        <f>J37+J38+J39+J49+J50</f>
        <v>14.19540655797222</v>
      </c>
      <c r="O55" s="40" t="s">
        <v>143</v>
      </c>
      <c r="P55" s="41">
        <v>0</v>
      </c>
      <c r="Q55" s="41">
        <f t="shared" si="1"/>
        <v>0</v>
      </c>
      <c r="R55" s="42">
        <f>G61</f>
        <v>1110.4950067785333</v>
      </c>
      <c r="S55" s="42" t="s">
        <v>39</v>
      </c>
      <c r="T55" s="42">
        <f>I61</f>
        <v>1110.495006778533</v>
      </c>
      <c r="U55" s="43" t="s">
        <v>143</v>
      </c>
      <c r="V55" s="44">
        <v>0</v>
      </c>
      <c r="W55" s="44">
        <v>1</v>
      </c>
      <c r="X55" s="44">
        <v>1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1</v>
      </c>
      <c r="AJ55" s="44">
        <v>1</v>
      </c>
      <c r="AK55" s="44">
        <v>0</v>
      </c>
      <c r="AL55" s="44">
        <v>0</v>
      </c>
      <c r="AM55" s="44">
        <v>0</v>
      </c>
      <c r="AN55" s="45">
        <v>0</v>
      </c>
    </row>
    <row r="56" spans="3:40" x14ac:dyDescent="0.3">
      <c r="K56" s="36">
        <v>21</v>
      </c>
      <c r="L56" s="48"/>
      <c r="M56" s="49" t="s">
        <v>144</v>
      </c>
      <c r="N56" s="50">
        <f>J37+J38+J48+J42+J50</f>
        <v>14.195219661530569</v>
      </c>
      <c r="O56" s="51" t="s">
        <v>145</v>
      </c>
      <c r="P56" s="41">
        <v>0</v>
      </c>
      <c r="Q56" s="41">
        <f t="shared" si="1"/>
        <v>0</v>
      </c>
      <c r="R56" s="52"/>
      <c r="S56" s="52"/>
      <c r="T56" s="52"/>
      <c r="U56" s="43" t="s">
        <v>145</v>
      </c>
      <c r="V56" s="53">
        <v>0</v>
      </c>
      <c r="W56" s="53">
        <v>1</v>
      </c>
      <c r="X56" s="53">
        <v>1</v>
      </c>
      <c r="Y56" s="53">
        <v>0</v>
      </c>
      <c r="Z56" s="53">
        <v>0</v>
      </c>
      <c r="AA56" s="53">
        <v>0</v>
      </c>
      <c r="AB56" s="53">
        <v>1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</v>
      </c>
      <c r="AI56" s="53">
        <v>0</v>
      </c>
      <c r="AJ56" s="53">
        <v>1</v>
      </c>
      <c r="AK56" s="53">
        <v>0</v>
      </c>
      <c r="AL56" s="53">
        <v>0</v>
      </c>
      <c r="AM56" s="53">
        <v>0</v>
      </c>
      <c r="AN56" s="54">
        <v>0</v>
      </c>
    </row>
    <row r="57" spans="3:40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14.596381513319134</v>
      </c>
      <c r="O57" s="51" t="s">
        <v>148</v>
      </c>
      <c r="P57" s="41">
        <v>0</v>
      </c>
      <c r="Q57" s="41">
        <f t="shared" si="1"/>
        <v>0</v>
      </c>
      <c r="R57" s="52"/>
      <c r="S57" s="52"/>
      <c r="T57" s="52"/>
      <c r="U57" s="43" t="s">
        <v>148</v>
      </c>
      <c r="V57" s="53">
        <v>0</v>
      </c>
      <c r="W57" s="53">
        <v>1</v>
      </c>
      <c r="X57" s="53">
        <v>0</v>
      </c>
      <c r="Y57" s="53">
        <v>0</v>
      </c>
      <c r="Z57" s="53">
        <v>0</v>
      </c>
      <c r="AA57" s="53">
        <v>1</v>
      </c>
      <c r="AB57" s="53">
        <v>1</v>
      </c>
      <c r="AC57" s="53">
        <v>0</v>
      </c>
      <c r="AD57" s="53">
        <v>0</v>
      </c>
      <c r="AE57" s="53">
        <v>0</v>
      </c>
      <c r="AF57" s="53">
        <v>1</v>
      </c>
      <c r="AG57" s="53">
        <v>0</v>
      </c>
      <c r="AH57" s="53">
        <v>0</v>
      </c>
      <c r="AI57" s="53">
        <v>0</v>
      </c>
      <c r="AJ57" s="53">
        <v>1</v>
      </c>
      <c r="AK57" s="53">
        <v>0</v>
      </c>
      <c r="AL57" s="53">
        <v>0</v>
      </c>
      <c r="AM57" s="53">
        <v>0</v>
      </c>
      <c r="AN57" s="54">
        <v>0</v>
      </c>
    </row>
    <row r="58" spans="3:40" x14ac:dyDescent="0.3">
      <c r="F58" s="70" t="s">
        <v>61</v>
      </c>
      <c r="G58" s="71">
        <f>SUM(P36:P43)</f>
        <v>994.79610296958276</v>
      </c>
      <c r="H58" s="72" t="s">
        <v>39</v>
      </c>
      <c r="I58" s="73">
        <f>C36</f>
        <v>994.79610296958276</v>
      </c>
      <c r="K58" s="36">
        <v>23</v>
      </c>
      <c r="L58" s="48"/>
      <c r="M58" s="49" t="s">
        <v>149</v>
      </c>
      <c r="N58" s="50">
        <f>J37+J46+J53+J44</f>
        <v>15.000121502380548</v>
      </c>
      <c r="O58" s="51" t="s">
        <v>150</v>
      </c>
      <c r="P58" s="41">
        <v>0</v>
      </c>
      <c r="Q58" s="41">
        <f t="shared" si="1"/>
        <v>0</v>
      </c>
      <c r="R58" s="52"/>
      <c r="S58" s="52"/>
      <c r="T58" s="52"/>
      <c r="U58" s="43" t="s">
        <v>150</v>
      </c>
      <c r="V58" s="53">
        <v>0</v>
      </c>
      <c r="W58" s="53">
        <v>1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1</v>
      </c>
      <c r="AE58" s="53">
        <v>0</v>
      </c>
      <c r="AF58" s="53">
        <v>1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1</v>
      </c>
      <c r="AN58" s="54">
        <v>0</v>
      </c>
    </row>
    <row r="59" spans="3:40" x14ac:dyDescent="0.3">
      <c r="F59" s="74" t="s">
        <v>66</v>
      </c>
      <c r="G59" s="71">
        <f>SUM(P44:P49)</f>
        <v>909.02093040722684</v>
      </c>
      <c r="H59" s="72" t="s">
        <v>39</v>
      </c>
      <c r="I59" s="73">
        <f t="shared" ref="I59:I61" si="6">C37</f>
        <v>909.02093040722673</v>
      </c>
      <c r="K59" s="36">
        <v>24</v>
      </c>
      <c r="L59" s="48"/>
      <c r="M59" s="49" t="s">
        <v>151</v>
      </c>
      <c r="N59" s="50">
        <f>J52+J53+J44</f>
        <v>14.17092769237866</v>
      </c>
      <c r="O59" s="51" t="s">
        <v>152</v>
      </c>
      <c r="P59" s="41">
        <v>0</v>
      </c>
      <c r="Q59" s="41">
        <f t="shared" si="1"/>
        <v>0</v>
      </c>
      <c r="R59" s="52"/>
      <c r="S59" s="52"/>
      <c r="T59" s="52"/>
      <c r="U59" s="43" t="s">
        <v>152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1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1</v>
      </c>
      <c r="AM59" s="53">
        <v>1</v>
      </c>
      <c r="AN59" s="54">
        <v>0</v>
      </c>
    </row>
    <row r="60" spans="3:40" x14ac:dyDescent="0.3">
      <c r="F60" s="74" t="s">
        <v>71</v>
      </c>
      <c r="G60" s="71">
        <f>SUM(P50:P54)</f>
        <v>1215.2812637829693</v>
      </c>
      <c r="H60" s="72" t="s">
        <v>39</v>
      </c>
      <c r="I60" s="73">
        <f t="shared" si="6"/>
        <v>1215.2812637829688</v>
      </c>
      <c r="K60" s="36">
        <v>25</v>
      </c>
      <c r="L60" s="56"/>
      <c r="M60" s="57" t="s">
        <v>153</v>
      </c>
      <c r="N60" s="58">
        <f>J52+J41+J42+J50</f>
        <v>13.767187703317248</v>
      </c>
      <c r="O60" s="59" t="s">
        <v>154</v>
      </c>
      <c r="P60" s="41">
        <v>1110.4950067785333</v>
      </c>
      <c r="Q60" s="75">
        <f t="shared" si="1"/>
        <v>1110.4950067785333</v>
      </c>
      <c r="R60" s="60"/>
      <c r="S60" s="60"/>
      <c r="T60" s="60"/>
      <c r="U60" s="43" t="s">
        <v>154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1</v>
      </c>
      <c r="AB60" s="61">
        <v>1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1</v>
      </c>
      <c r="AK60" s="61">
        <v>0</v>
      </c>
      <c r="AL60" s="61">
        <v>1</v>
      </c>
      <c r="AM60" s="61">
        <v>0</v>
      </c>
      <c r="AN60" s="62">
        <v>0</v>
      </c>
    </row>
    <row r="61" spans="3:40" x14ac:dyDescent="0.3">
      <c r="F61" s="76" t="s">
        <v>76</v>
      </c>
      <c r="G61" s="77">
        <f>SUM(P55:P60)</f>
        <v>1110.4950067785333</v>
      </c>
      <c r="H61" s="78" t="s">
        <v>39</v>
      </c>
      <c r="I61" s="73">
        <f t="shared" si="6"/>
        <v>1110.495006778533</v>
      </c>
      <c r="K61" s="290" t="s">
        <v>155</v>
      </c>
      <c r="L61" s="290"/>
      <c r="M61" s="290"/>
      <c r="N61" s="80">
        <f>SUM(N36:N60)</f>
        <v>359.9792446517485</v>
      </c>
      <c r="U61" s="81" t="s">
        <v>156</v>
      </c>
      <c r="V61" s="82">
        <f>SUMPRODUCT($Q$36:$Q$60,V36:V60)</f>
        <v>1187.0776043754622</v>
      </c>
      <c r="W61" s="82">
        <f>SUMPRODUCT($Q$36:$Q$60,W36:W60)</f>
        <v>175.19076998346083</v>
      </c>
      <c r="X61" s="82">
        <f t="shared" ref="X61:AN61" si="7">SUMPRODUCT($Q$36:$Q$60,X36:X60)</f>
        <v>891.93019898480816</v>
      </c>
      <c r="Y61" s="82">
        <f t="shared" si="7"/>
        <v>1975.3037980261445</v>
      </c>
      <c r="Z61" s="82">
        <f t="shared" si="7"/>
        <v>1169.9868729530435</v>
      </c>
      <c r="AA61" s="82">
        <f t="shared" si="7"/>
        <v>2150.5855005780418</v>
      </c>
      <c r="AB61" s="82">
        <f t="shared" si="7"/>
        <v>2254.2895059121674</v>
      </c>
      <c r="AC61" s="82">
        <f t="shared" si="7"/>
        <v>1040.0904937995085</v>
      </c>
      <c r="AD61" s="82">
        <f t="shared" si="7"/>
        <v>0</v>
      </c>
      <c r="AE61" s="82">
        <f t="shared" si="7"/>
        <v>716.73942900134739</v>
      </c>
      <c r="AF61" s="82">
        <f t="shared" si="7"/>
        <v>0</v>
      </c>
      <c r="AG61" s="82">
        <f t="shared" si="7"/>
        <v>1187.0776043754622</v>
      </c>
      <c r="AH61" s="82">
        <f t="shared" si="7"/>
        <v>103.7040053341258</v>
      </c>
      <c r="AI61" s="82">
        <f t="shared" si="7"/>
        <v>805.31692507310106</v>
      </c>
      <c r="AJ61" s="82">
        <f t="shared" si="7"/>
        <v>2019.5159371857601</v>
      </c>
      <c r="AK61" s="82">
        <f t="shared" si="7"/>
        <v>1169.9868729530435</v>
      </c>
      <c r="AL61" s="82">
        <f t="shared" si="7"/>
        <v>2150.5855005780418</v>
      </c>
      <c r="AM61" s="82">
        <f t="shared" si="7"/>
        <v>0</v>
      </c>
      <c r="AN61" s="82">
        <f t="shared" si="7"/>
        <v>0</v>
      </c>
    </row>
    <row r="62" spans="3:40" x14ac:dyDescent="0.3">
      <c r="H62" s="6"/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  <c r="AN62" s="83" t="s">
        <v>157</v>
      </c>
    </row>
    <row r="63" spans="3:40" x14ac:dyDescent="0.3">
      <c r="H63" s="6"/>
      <c r="U63" s="83" t="s">
        <v>158</v>
      </c>
      <c r="V63" s="84">
        <v>3000</v>
      </c>
      <c r="W63" s="84">
        <v>1500</v>
      </c>
      <c r="X63" s="84">
        <v>2000</v>
      </c>
      <c r="Y63" s="84">
        <v>3000</v>
      </c>
      <c r="Z63" s="84">
        <v>2000</v>
      </c>
      <c r="AA63" s="84">
        <v>1500</v>
      </c>
      <c r="AB63" s="84">
        <v>3000</v>
      </c>
      <c r="AC63" s="84">
        <v>1000</v>
      </c>
      <c r="AD63" s="84">
        <v>1000</v>
      </c>
      <c r="AE63" s="84">
        <v>1250</v>
      </c>
      <c r="AF63" s="84">
        <v>2000</v>
      </c>
      <c r="AG63" s="84">
        <v>2000</v>
      </c>
      <c r="AH63" s="84">
        <v>2000</v>
      </c>
      <c r="AI63" s="84">
        <v>2000</v>
      </c>
      <c r="AJ63" s="84">
        <v>2250</v>
      </c>
      <c r="AK63" s="84">
        <v>2500</v>
      </c>
      <c r="AL63" s="84">
        <v>1500</v>
      </c>
      <c r="AM63" s="84">
        <v>1500</v>
      </c>
      <c r="AN63" s="84">
        <v>2250</v>
      </c>
    </row>
    <row r="64" spans="3:40" x14ac:dyDescent="0.3">
      <c r="H64" s="6"/>
      <c r="U64" t="s">
        <v>159</v>
      </c>
      <c r="V64">
        <f>V61/V63</f>
        <v>0.39569253479182076</v>
      </c>
      <c r="W64">
        <f t="shared" ref="W64:AN64" si="8">W61/W63</f>
        <v>0.11679384665564055</v>
      </c>
      <c r="X64">
        <f t="shared" si="8"/>
        <v>0.44596509949240409</v>
      </c>
      <c r="Y64">
        <f t="shared" si="8"/>
        <v>0.65843459934204818</v>
      </c>
      <c r="Z64">
        <f t="shared" si="8"/>
        <v>0.5849934364765218</v>
      </c>
      <c r="AA64">
        <f t="shared" si="8"/>
        <v>1.4337236670520279</v>
      </c>
      <c r="AB64">
        <f t="shared" si="8"/>
        <v>0.75142983530405583</v>
      </c>
      <c r="AC64">
        <f t="shared" si="8"/>
        <v>1.0400904937995086</v>
      </c>
      <c r="AD64">
        <f t="shared" si="8"/>
        <v>0</v>
      </c>
      <c r="AE64">
        <f t="shared" si="8"/>
        <v>0.57339154320107788</v>
      </c>
      <c r="AF64">
        <f t="shared" si="8"/>
        <v>0</v>
      </c>
      <c r="AG64">
        <f t="shared" si="8"/>
        <v>0.59353880218773114</v>
      </c>
      <c r="AH64">
        <f t="shared" si="8"/>
        <v>5.1852002667062899E-2</v>
      </c>
      <c r="AI64">
        <f t="shared" si="8"/>
        <v>0.40265846253655052</v>
      </c>
      <c r="AJ64">
        <f t="shared" si="8"/>
        <v>0.8975626387492267</v>
      </c>
      <c r="AK64">
        <f t="shared" si="8"/>
        <v>0.46799474918121742</v>
      </c>
      <c r="AL64">
        <f t="shared" si="8"/>
        <v>1.4337236670520279</v>
      </c>
      <c r="AM64">
        <f t="shared" si="8"/>
        <v>0</v>
      </c>
      <c r="AN64">
        <f t="shared" si="8"/>
        <v>0</v>
      </c>
    </row>
    <row r="65" spans="6:40" x14ac:dyDescent="0.3">
      <c r="F65" s="85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1187.0776043754622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175.19076998346083</v>
      </c>
      <c r="H67" s="6"/>
      <c r="U67" t="s">
        <v>162</v>
      </c>
      <c r="V67" s="86">
        <f>AA15*(1+0.17*(V61/AA16)^3.8)</f>
        <v>2.5125414798907291</v>
      </c>
      <c r="W67" s="86">
        <f t="shared" ref="W67:AN67" si="9">AB15*(1+0.17*(W61/AB16)^3.8)</f>
        <v>2.5001215023805479</v>
      </c>
      <c r="X67" s="86">
        <f t="shared" si="9"/>
        <v>2.5197575116599227</v>
      </c>
      <c r="Y67" s="86">
        <f t="shared" si="9"/>
        <v>3.8802651477880588</v>
      </c>
      <c r="Z67" s="86">
        <f t="shared" si="9"/>
        <v>2.5554067536399119</v>
      </c>
      <c r="AA67" s="86">
        <f t="shared" si="9"/>
        <v>4.17092769237866</v>
      </c>
      <c r="AB67" s="86">
        <f t="shared" si="9"/>
        <v>2.6434712828439855</v>
      </c>
      <c r="AC67" s="86">
        <f t="shared" si="9"/>
        <v>2.9934682472920922</v>
      </c>
      <c r="AD67" s="86">
        <f t="shared" si="9"/>
        <v>2.5</v>
      </c>
      <c r="AE67" s="86">
        <f t="shared" si="9"/>
        <v>2.5513456678218627</v>
      </c>
      <c r="AF67" s="86">
        <f t="shared" si="9"/>
        <v>2.5</v>
      </c>
      <c r="AG67" s="86">
        <f t="shared" si="9"/>
        <v>2.5585457765089608</v>
      </c>
      <c r="AH67" s="86">
        <f t="shared" si="9"/>
        <v>3.7500083289301696</v>
      </c>
      <c r="AI67" s="86">
        <f t="shared" si="9"/>
        <v>2.5134013604277508</v>
      </c>
      <c r="AJ67" s="86">
        <f t="shared" si="9"/>
        <v>2.7818610357159406</v>
      </c>
      <c r="AK67" s="86">
        <f t="shared" si="9"/>
        <v>2.5237303779682603</v>
      </c>
      <c r="AL67" s="86">
        <f t="shared" si="9"/>
        <v>4.17092769237866</v>
      </c>
      <c r="AM67" s="86">
        <f t="shared" si="9"/>
        <v>7.5</v>
      </c>
      <c r="AN67" s="86">
        <f t="shared" si="9"/>
        <v>10</v>
      </c>
    </row>
    <row r="68" spans="6:40" x14ac:dyDescent="0.3">
      <c r="F68" s="4" t="s">
        <v>44</v>
      </c>
      <c r="G68" s="4">
        <f>X61</f>
        <v>891.93019898480816</v>
      </c>
      <c r="H68" s="6"/>
    </row>
    <row r="69" spans="6:40" x14ac:dyDescent="0.3">
      <c r="F69" s="4" t="s">
        <v>45</v>
      </c>
      <c r="G69" s="4">
        <f>Y61</f>
        <v>1975.3037980261445</v>
      </c>
      <c r="H69" s="6"/>
    </row>
    <row r="70" spans="6:40" x14ac:dyDescent="0.3">
      <c r="F70" s="4" t="s">
        <v>46</v>
      </c>
      <c r="G70" s="4">
        <f>Z61</f>
        <v>1169.9868729530435</v>
      </c>
      <c r="U70" s="43" t="s">
        <v>65</v>
      </c>
      <c r="V70">
        <f t="shared" ref="V70:V94" si="10">SUMPRODUCT($V$67:$AN$67,V36:AN36)</f>
        <v>15.036271857858988</v>
      </c>
      <c r="X70">
        <v>15.000195603366421</v>
      </c>
    </row>
    <row r="71" spans="6:40" x14ac:dyDescent="0.3">
      <c r="F71" s="4" t="s">
        <v>47</v>
      </c>
      <c r="G71" s="4">
        <f>AA61</f>
        <v>2150.5855005780418</v>
      </c>
      <c r="U71" s="43" t="s">
        <v>70</v>
      </c>
      <c r="V71">
        <f t="shared" si="10"/>
        <v>14.030489535795919</v>
      </c>
      <c r="X71">
        <v>13.75090229828113</v>
      </c>
    </row>
    <row r="72" spans="6:40" x14ac:dyDescent="0.3">
      <c r="F72" s="4" t="s">
        <v>48</v>
      </c>
      <c r="G72" s="4">
        <f>AB61</f>
        <v>2254.2895059121674</v>
      </c>
      <c r="U72" s="43" t="s">
        <v>75</v>
      </c>
      <c r="V72">
        <f t="shared" si="10"/>
        <v>14.458222011907591</v>
      </c>
      <c r="X72">
        <v>14.225219683523857</v>
      </c>
    </row>
    <row r="73" spans="6:40" x14ac:dyDescent="0.3">
      <c r="F73" s="4" t="s">
        <v>49</v>
      </c>
      <c r="G73" s="4">
        <f>AC61</f>
        <v>1040.0904937995085</v>
      </c>
      <c r="U73" s="43" t="s">
        <v>80</v>
      </c>
      <c r="V73">
        <f t="shared" si="10"/>
        <v>14.458035115465938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3" t="s">
        <v>84</v>
      </c>
      <c r="V74">
        <f t="shared" si="10"/>
        <v>14.030505458878016</v>
      </c>
      <c r="X74">
        <v>13.805151472614</v>
      </c>
    </row>
    <row r="75" spans="6:40" x14ac:dyDescent="0.3">
      <c r="F75" s="4" t="s">
        <v>51</v>
      </c>
      <c r="G75" s="4">
        <f>AE61</f>
        <v>716.73942900134739</v>
      </c>
      <c r="U75" s="43" t="s">
        <v>88</v>
      </c>
      <c r="V75">
        <f t="shared" si="10"/>
        <v>14.458237934989686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3" t="s">
        <v>92</v>
      </c>
      <c r="V76">
        <f t="shared" si="10"/>
        <v>14.458051038548033</v>
      </c>
      <c r="X76">
        <v>14.326575531725375</v>
      </c>
    </row>
    <row r="77" spans="6:40" x14ac:dyDescent="0.3">
      <c r="F77" s="4" t="s">
        <v>53</v>
      </c>
      <c r="G77" s="4">
        <f>AG61</f>
        <v>1187.0776043754622</v>
      </c>
      <c r="U77" s="43" t="s">
        <v>96</v>
      </c>
      <c r="V77">
        <f t="shared" si="10"/>
        <v>14.8592128903366</v>
      </c>
      <c r="X77">
        <v>13.750902037729439</v>
      </c>
    </row>
    <row r="78" spans="6:40" x14ac:dyDescent="0.3">
      <c r="F78" s="4" t="s">
        <v>54</v>
      </c>
      <c r="G78" s="4">
        <f>AH61</f>
        <v>103.7040053341258</v>
      </c>
      <c r="U78" s="43" t="s">
        <v>100</v>
      </c>
      <c r="V78">
        <f t="shared" si="10"/>
        <v>14.246614800331439</v>
      </c>
      <c r="X78">
        <v>13.750771910176033</v>
      </c>
    </row>
    <row r="79" spans="6:40" x14ac:dyDescent="0.3">
      <c r="F79" s="4" t="s">
        <v>55</v>
      </c>
      <c r="G79" s="4">
        <f>AI61</f>
        <v>805.31692507310106</v>
      </c>
      <c r="U79" s="43" t="s">
        <v>104</v>
      </c>
      <c r="V79">
        <f t="shared" si="10"/>
        <v>14.246427903889785</v>
      </c>
      <c r="X79">
        <v>13.801434953032715</v>
      </c>
    </row>
    <row r="80" spans="6:40" x14ac:dyDescent="0.3">
      <c r="F80" s="4" t="s">
        <v>56</v>
      </c>
      <c r="G80" s="4">
        <f>AJ61</f>
        <v>2019.5159371857601</v>
      </c>
      <c r="U80" s="43" t="s">
        <v>108</v>
      </c>
      <c r="V80">
        <f t="shared" si="10"/>
        <v>14.246630723413535</v>
      </c>
      <c r="X80">
        <v>13.808577453496937</v>
      </c>
    </row>
    <row r="81" spans="6:24" x14ac:dyDescent="0.3">
      <c r="F81" s="4" t="s">
        <v>57</v>
      </c>
      <c r="G81" s="4">
        <f>AK61</f>
        <v>1169.9868729530435</v>
      </c>
      <c r="U81" s="43" t="s">
        <v>112</v>
      </c>
      <c r="V81">
        <f t="shared" si="10"/>
        <v>14.24644382697188</v>
      </c>
      <c r="X81">
        <v>13.855684127365585</v>
      </c>
    </row>
    <row r="82" spans="6:24" x14ac:dyDescent="0.3">
      <c r="F82" s="4" t="s">
        <v>58</v>
      </c>
      <c r="G82" s="4">
        <f>AL61</f>
        <v>2150.5855005780418</v>
      </c>
      <c r="U82" s="43" t="s">
        <v>116</v>
      </c>
      <c r="V82">
        <f t="shared" si="10"/>
        <v>14.647605678760449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3" t="s">
        <v>120</v>
      </c>
      <c r="V83">
        <f t="shared" si="10"/>
        <v>15.051345667821863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3" t="s">
        <v>124</v>
      </c>
      <c r="V84">
        <f t="shared" si="10"/>
        <v>14.807988724895285</v>
      </c>
      <c r="X84">
        <v>13.696318465991869</v>
      </c>
    </row>
    <row r="85" spans="6:24" x14ac:dyDescent="0.3">
      <c r="U85" s="43" t="s">
        <v>128</v>
      </c>
      <c r="V85">
        <f t="shared" si="10"/>
        <v>13.979281293436699</v>
      </c>
      <c r="X85">
        <v>13.75056790087643</v>
      </c>
    </row>
    <row r="86" spans="6:24" x14ac:dyDescent="0.3">
      <c r="U86" s="43" t="s">
        <v>132</v>
      </c>
      <c r="V86">
        <f t="shared" si="10"/>
        <v>14.407013769548371</v>
      </c>
      <c r="X86">
        <v>14.224885286119157</v>
      </c>
    </row>
    <row r="87" spans="6:24" x14ac:dyDescent="0.3">
      <c r="U87" s="43" t="s">
        <v>136</v>
      </c>
      <c r="V87">
        <f t="shared" si="10"/>
        <v>14.406826873106718</v>
      </c>
      <c r="X87">
        <v>14.271991959987805</v>
      </c>
    </row>
    <row r="88" spans="6:24" x14ac:dyDescent="0.3">
      <c r="U88" s="43" t="s">
        <v>140</v>
      </c>
      <c r="V88">
        <f t="shared" si="10"/>
        <v>13.978794914893397</v>
      </c>
      <c r="X88">
        <v>11.68222407686552</v>
      </c>
    </row>
    <row r="89" spans="6:24" x14ac:dyDescent="0.3">
      <c r="U89" s="43" t="s">
        <v>143</v>
      </c>
      <c r="V89">
        <f t="shared" si="10"/>
        <v>14.19540655797222</v>
      </c>
      <c r="X89">
        <v>13.753993881759367</v>
      </c>
    </row>
    <row r="90" spans="6:24" x14ac:dyDescent="0.3">
      <c r="U90" s="43" t="s">
        <v>145</v>
      </c>
      <c r="V90">
        <f t="shared" si="10"/>
        <v>14.195219661530565</v>
      </c>
      <c r="X90">
        <v>13.801100555628015</v>
      </c>
    </row>
    <row r="91" spans="6:24" x14ac:dyDescent="0.3">
      <c r="U91" s="43" t="s">
        <v>148</v>
      </c>
      <c r="V91">
        <f t="shared" si="10"/>
        <v>14.596381513319134</v>
      </c>
      <c r="X91">
        <v>13.225427061632079</v>
      </c>
    </row>
    <row r="92" spans="6:24" x14ac:dyDescent="0.3">
      <c r="U92" s="43" t="s">
        <v>150</v>
      </c>
      <c r="V92">
        <f t="shared" si="10"/>
        <v>15.000121502380548</v>
      </c>
      <c r="X92">
        <v>15.239521451121469</v>
      </c>
    </row>
    <row r="93" spans="6:24" x14ac:dyDescent="0.3">
      <c r="U93" s="43" t="s">
        <v>152</v>
      </c>
      <c r="V93">
        <f t="shared" si="10"/>
        <v>14.17092769237866</v>
      </c>
      <c r="X93">
        <v>13.22542706199512</v>
      </c>
    </row>
    <row r="94" spans="6:24" ht="15" thickBot="1" x14ac:dyDescent="0.35">
      <c r="U94" s="43" t="s">
        <v>154</v>
      </c>
      <c r="V94">
        <f t="shared" si="10"/>
        <v>13.767187703317246</v>
      </c>
      <c r="X94">
        <v>11.21133267250573</v>
      </c>
    </row>
    <row r="95" spans="6:24" x14ac:dyDescent="0.3">
      <c r="H95" s="242" t="s">
        <v>274</v>
      </c>
      <c r="I95" s="243"/>
      <c r="J95" s="243"/>
      <c r="K95" s="243"/>
      <c r="L95" s="243"/>
      <c r="M95" s="243"/>
      <c r="N95" s="243"/>
      <c r="O95" s="243"/>
      <c r="P95" s="243"/>
      <c r="Q95" s="243"/>
      <c r="R95" s="244"/>
    </row>
    <row r="96" spans="6:24" x14ac:dyDescent="0.3">
      <c r="H96" s="245"/>
      <c r="I96" s="4" t="str">
        <f t="shared" ref="I96:I115" si="11">I35</f>
        <v>Time</v>
      </c>
      <c r="J96" s="4"/>
      <c r="K96" s="4" t="s">
        <v>161</v>
      </c>
      <c r="L96" s="4" t="s">
        <v>32</v>
      </c>
      <c r="M96" s="4" t="s">
        <v>2</v>
      </c>
      <c r="N96" s="143" t="s">
        <v>161</v>
      </c>
      <c r="O96" s="4" t="s">
        <v>11</v>
      </c>
      <c r="P96" s="4" t="s">
        <v>12</v>
      </c>
      <c r="Q96" s="4" t="s">
        <v>13</v>
      </c>
      <c r="R96" s="246" t="s">
        <v>14</v>
      </c>
    </row>
    <row r="97" spans="8:18" x14ac:dyDescent="0.3">
      <c r="H97" s="245"/>
      <c r="I97" s="4" t="str">
        <f t="shared" si="11"/>
        <v>t1</v>
      </c>
      <c r="J97" s="4">
        <f t="shared" ref="J97:J115" si="12">J36</f>
        <v>2.5125414798907291</v>
      </c>
      <c r="K97" s="4" t="s">
        <v>61</v>
      </c>
      <c r="L97" s="4" t="s">
        <v>95</v>
      </c>
      <c r="M97" s="80">
        <f>MIN(N36:N43)</f>
        <v>14.030489535795919</v>
      </c>
      <c r="N97" s="143" t="s">
        <v>11</v>
      </c>
      <c r="O97" s="4">
        <v>15</v>
      </c>
      <c r="P97" s="4">
        <v>99999</v>
      </c>
      <c r="Q97" s="80">
        <f>M97</f>
        <v>14.030489535795919</v>
      </c>
      <c r="R97" s="253">
        <f>M98</f>
        <v>14.246427903889785</v>
      </c>
    </row>
    <row r="98" spans="8:18" x14ac:dyDescent="0.3">
      <c r="H98" s="245"/>
      <c r="I98" s="4" t="str">
        <f t="shared" si="11"/>
        <v>t2</v>
      </c>
      <c r="J98" s="4">
        <f t="shared" si="12"/>
        <v>2.5001215023805479</v>
      </c>
      <c r="K98" s="4" t="s">
        <v>66</v>
      </c>
      <c r="L98" s="4" t="s">
        <v>115</v>
      </c>
      <c r="M98" s="80">
        <f>MIN(N44:N49)</f>
        <v>14.246427903889785</v>
      </c>
      <c r="N98" s="143" t="s">
        <v>12</v>
      </c>
      <c r="O98" s="4">
        <v>99999</v>
      </c>
      <c r="P98" s="4">
        <v>15</v>
      </c>
      <c r="Q98" s="80">
        <f>M99</f>
        <v>13.978794914893399</v>
      </c>
      <c r="R98" s="253">
        <f>M100</f>
        <v>13.767187703317248</v>
      </c>
    </row>
    <row r="99" spans="8:18" x14ac:dyDescent="0.3">
      <c r="H99" s="245"/>
      <c r="I99" s="4" t="str">
        <f t="shared" si="11"/>
        <v>t3</v>
      </c>
      <c r="J99" s="4">
        <f t="shared" si="12"/>
        <v>2.5197575116599227</v>
      </c>
      <c r="K99" s="4" t="s">
        <v>71</v>
      </c>
      <c r="L99" s="4" t="s">
        <v>139</v>
      </c>
      <c r="M99" s="80">
        <f>MIN(N50:N54)</f>
        <v>13.978794914893399</v>
      </c>
      <c r="N99" s="143" t="s">
        <v>13</v>
      </c>
      <c r="O99" s="80">
        <f>M101</f>
        <v>14.030489535795919</v>
      </c>
      <c r="P99" s="80">
        <f>M102</f>
        <v>13.978794914893399</v>
      </c>
      <c r="Q99" s="80">
        <v>15</v>
      </c>
      <c r="R99" s="246">
        <v>99999</v>
      </c>
    </row>
    <row r="100" spans="8:18" x14ac:dyDescent="0.3">
      <c r="H100" s="245"/>
      <c r="I100" s="4" t="str">
        <f t="shared" si="11"/>
        <v>t4</v>
      </c>
      <c r="J100" s="4">
        <f t="shared" si="12"/>
        <v>3.8802651477880588</v>
      </c>
      <c r="K100" s="4" t="s">
        <v>76</v>
      </c>
      <c r="L100" s="4" t="s">
        <v>153</v>
      </c>
      <c r="M100" s="80">
        <f>MIN(N55:N60)</f>
        <v>13.767187703317248</v>
      </c>
      <c r="N100" s="143" t="s">
        <v>14</v>
      </c>
      <c r="O100" s="80">
        <f>M104</f>
        <v>14.246427903889785</v>
      </c>
      <c r="P100" s="80">
        <f>M105</f>
        <v>13.767187703317248</v>
      </c>
      <c r="Q100" s="4">
        <v>99999</v>
      </c>
      <c r="R100" s="246">
        <v>15</v>
      </c>
    </row>
    <row r="101" spans="8:18" x14ac:dyDescent="0.3">
      <c r="H101" s="245"/>
      <c r="I101" s="4" t="str">
        <f t="shared" si="11"/>
        <v>t5</v>
      </c>
      <c r="J101" s="4">
        <f t="shared" si="12"/>
        <v>2.5554067536399119</v>
      </c>
      <c r="K101" s="4" t="s">
        <v>262</v>
      </c>
      <c r="L101" s="4" t="s">
        <v>261</v>
      </c>
      <c r="M101" s="80">
        <f>M97</f>
        <v>14.030489535795919</v>
      </c>
      <c r="R101" s="247"/>
    </row>
    <row r="102" spans="8:18" x14ac:dyDescent="0.3">
      <c r="H102" s="245"/>
      <c r="I102" s="4" t="str">
        <f t="shared" si="11"/>
        <v>t6</v>
      </c>
      <c r="J102" s="4">
        <f t="shared" si="12"/>
        <v>4.17092769237866</v>
      </c>
      <c r="K102" s="4" t="s">
        <v>260</v>
      </c>
      <c r="L102" s="4" t="s">
        <v>259</v>
      </c>
      <c r="M102" s="80">
        <f>M99</f>
        <v>13.978794914893399</v>
      </c>
      <c r="R102" s="247"/>
    </row>
    <row r="103" spans="8:18" x14ac:dyDescent="0.3">
      <c r="H103" s="245"/>
      <c r="I103" s="4" t="str">
        <f t="shared" si="11"/>
        <v>t7</v>
      </c>
      <c r="J103" s="4">
        <f t="shared" si="12"/>
        <v>2.6434712828439855</v>
      </c>
      <c r="K103" s="4" t="s">
        <v>258</v>
      </c>
      <c r="L103" s="4" t="s">
        <v>257</v>
      </c>
      <c r="M103" s="4">
        <f>99999</f>
        <v>99999</v>
      </c>
      <c r="R103" s="247"/>
    </row>
    <row r="104" spans="8:18" x14ac:dyDescent="0.3">
      <c r="H104" s="245"/>
      <c r="I104" s="4" t="str">
        <f t="shared" si="11"/>
        <v>t8</v>
      </c>
      <c r="J104" s="4">
        <f t="shared" si="12"/>
        <v>2.9934682472920922</v>
      </c>
      <c r="K104" s="4" t="s">
        <v>256</v>
      </c>
      <c r="L104" s="4" t="s">
        <v>255</v>
      </c>
      <c r="M104" s="80">
        <f>M98</f>
        <v>14.246427903889785</v>
      </c>
      <c r="R104" s="247"/>
    </row>
    <row r="105" spans="8:18" x14ac:dyDescent="0.3">
      <c r="H105" s="245"/>
      <c r="I105" s="4" t="str">
        <f t="shared" si="11"/>
        <v>t9</v>
      </c>
      <c r="J105" s="4">
        <f t="shared" si="12"/>
        <v>2.5</v>
      </c>
      <c r="K105" s="4" t="s">
        <v>254</v>
      </c>
      <c r="L105" s="4" t="s">
        <v>253</v>
      </c>
      <c r="M105" s="80">
        <f>M100</f>
        <v>13.767187703317248</v>
      </c>
      <c r="O105" s="1" t="s">
        <v>275</v>
      </c>
      <c r="P105" s="1"/>
      <c r="R105" s="247"/>
    </row>
    <row r="106" spans="8:18" x14ac:dyDescent="0.3">
      <c r="H106" s="245"/>
      <c r="I106" s="4" t="str">
        <f t="shared" si="11"/>
        <v>t10</v>
      </c>
      <c r="J106" s="4">
        <f t="shared" si="12"/>
        <v>2.5513456678218627</v>
      </c>
      <c r="K106" s="4" t="s">
        <v>252</v>
      </c>
      <c r="L106" s="4" t="s">
        <v>251</v>
      </c>
      <c r="M106" s="4">
        <f>M103</f>
        <v>99999</v>
      </c>
      <c r="R106" s="247"/>
    </row>
    <row r="107" spans="8:18" x14ac:dyDescent="0.3">
      <c r="H107" s="245"/>
      <c r="I107" s="4" t="str">
        <f t="shared" si="11"/>
        <v>t11</v>
      </c>
      <c r="J107" s="4">
        <f t="shared" si="12"/>
        <v>2.5</v>
      </c>
      <c r="R107" s="247"/>
    </row>
    <row r="108" spans="8:18" x14ac:dyDescent="0.3">
      <c r="H108" s="245"/>
      <c r="I108" s="4" t="str">
        <f t="shared" si="11"/>
        <v>t12</v>
      </c>
      <c r="J108" s="4">
        <f t="shared" si="12"/>
        <v>2.5585457765089608</v>
      </c>
      <c r="R108" s="247"/>
    </row>
    <row r="109" spans="8:18" x14ac:dyDescent="0.3">
      <c r="H109" s="245"/>
      <c r="I109" s="4" t="str">
        <f t="shared" si="11"/>
        <v>t13</v>
      </c>
      <c r="J109" s="4">
        <f t="shared" si="12"/>
        <v>3.7500083289301696</v>
      </c>
      <c r="R109" s="247"/>
    </row>
    <row r="110" spans="8:18" x14ac:dyDescent="0.3">
      <c r="H110" s="245"/>
      <c r="I110" s="4" t="str">
        <f t="shared" si="11"/>
        <v>t14</v>
      </c>
      <c r="J110" s="4">
        <f t="shared" si="12"/>
        <v>2.5134013604277508</v>
      </c>
      <c r="R110" s="247"/>
    </row>
    <row r="111" spans="8:18" x14ac:dyDescent="0.3">
      <c r="H111" s="245"/>
      <c r="I111" s="4" t="str">
        <f t="shared" si="11"/>
        <v>t15</v>
      </c>
      <c r="J111" s="4">
        <f t="shared" si="12"/>
        <v>2.7818610357159406</v>
      </c>
      <c r="R111" s="247"/>
    </row>
    <row r="112" spans="8:18" x14ac:dyDescent="0.3">
      <c r="H112" s="245"/>
      <c r="I112" s="4" t="str">
        <f t="shared" si="11"/>
        <v>t16</v>
      </c>
      <c r="J112" s="4">
        <f t="shared" si="12"/>
        <v>2.5237303779682603</v>
      </c>
      <c r="R112" s="247"/>
    </row>
    <row r="113" spans="8:18" x14ac:dyDescent="0.3">
      <c r="H113" s="245"/>
      <c r="I113" s="4" t="str">
        <f t="shared" si="11"/>
        <v>t17</v>
      </c>
      <c r="J113" s="4">
        <f t="shared" si="12"/>
        <v>4.17092769237866</v>
      </c>
      <c r="R113" s="247"/>
    </row>
    <row r="114" spans="8:18" x14ac:dyDescent="0.3">
      <c r="H114" s="245"/>
      <c r="I114" s="4" t="str">
        <f t="shared" si="11"/>
        <v>t18</v>
      </c>
      <c r="J114" s="4">
        <f t="shared" si="12"/>
        <v>7.5</v>
      </c>
      <c r="R114" s="247"/>
    </row>
    <row r="115" spans="8:18" ht="15" thickBot="1" x14ac:dyDescent="0.35">
      <c r="H115" s="248"/>
      <c r="I115" s="249" t="str">
        <f t="shared" si="11"/>
        <v>t19</v>
      </c>
      <c r="J115" s="249">
        <f t="shared" si="12"/>
        <v>10</v>
      </c>
      <c r="K115" s="250"/>
      <c r="L115" s="250"/>
      <c r="M115" s="250"/>
      <c r="N115" s="250"/>
      <c r="O115" s="250"/>
      <c r="P115" s="250"/>
      <c r="Q115" s="250"/>
      <c r="R115" s="251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F500-A2D8-4617-B246-81762041121E}">
  <dimension ref="A2:AJ57"/>
  <sheetViews>
    <sheetView topLeftCell="A27" zoomScale="85" zoomScaleNormal="85" workbookViewId="0">
      <selection activeCell="B54" sqref="B54:E5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1.44140625" customWidth="1"/>
    <col min="6" max="6" width="10" customWidth="1"/>
    <col min="7" max="7" width="13.88671875" customWidth="1"/>
    <col min="8" max="8" width="11.109375" customWidth="1"/>
    <col min="9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10.109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0.77734375" customWidth="1"/>
    <col min="28" max="28" width="11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123" t="s">
        <v>2</v>
      </c>
      <c r="AF4" s="123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237" t="s">
        <v>244</v>
      </c>
      <c r="AG5" s="9" t="s">
        <v>11</v>
      </c>
      <c r="AH5" s="9" t="s">
        <v>12</v>
      </c>
      <c r="AI5" s="9" t="s">
        <v>13</v>
      </c>
      <c r="AJ5" s="9" t="s">
        <v>14</v>
      </c>
    </row>
    <row r="6" spans="2:36" x14ac:dyDescent="0.3">
      <c r="T6" s="5">
        <v>1</v>
      </c>
      <c r="U6" s="6">
        <v>30</v>
      </c>
      <c r="V6" s="7">
        <v>2.5</v>
      </c>
      <c r="W6" s="6">
        <f t="shared" ref="W6:W24" si="0">V6*60/U6</f>
        <v>5</v>
      </c>
      <c r="X6" s="8">
        <v>3000</v>
      </c>
      <c r="Z6" s="4" t="s">
        <v>11</v>
      </c>
      <c r="AA6" s="4">
        <v>15</v>
      </c>
      <c r="AB6" s="4">
        <v>99999</v>
      </c>
      <c r="AC6" s="162">
        <f>W15+W16+W11+W12+W13</f>
        <v>21.666666666666664</v>
      </c>
      <c r="AD6" s="162">
        <f>W15+W16+W11+W12+W20</f>
        <v>21.666666666666664</v>
      </c>
      <c r="AF6" s="237" t="s">
        <v>11</v>
      </c>
      <c r="AG6" s="9">
        <v>0</v>
      </c>
      <c r="AH6" s="9">
        <f>W7+W15</f>
        <v>10</v>
      </c>
      <c r="AI6" s="10">
        <f>V15+V16+V11+V12+V13</f>
        <v>10.833333333333332</v>
      </c>
      <c r="AJ6" s="10">
        <f>V15+V16+V11+V12+V20</f>
        <v>10.833333333333332</v>
      </c>
    </row>
    <row r="7" spans="2:36" x14ac:dyDescent="0.3">
      <c r="T7" s="5">
        <v>2</v>
      </c>
      <c r="U7" s="6">
        <v>30</v>
      </c>
      <c r="V7" s="7">
        <v>2.5</v>
      </c>
      <c r="W7" s="6">
        <f t="shared" si="0"/>
        <v>5</v>
      </c>
      <c r="X7" s="8">
        <v>1500</v>
      </c>
      <c r="Z7" s="4" t="s">
        <v>12</v>
      </c>
      <c r="AA7" s="4">
        <v>99999</v>
      </c>
      <c r="AB7" s="4">
        <v>15</v>
      </c>
      <c r="AC7" s="162">
        <f>W22+W11+W12+W13</f>
        <v>19.166666666666664</v>
      </c>
      <c r="AD7" s="162">
        <f>W22+W11+W12+W20</f>
        <v>19.166666666666664</v>
      </c>
      <c r="AF7" s="237" t="s">
        <v>12</v>
      </c>
      <c r="AG7" s="9">
        <f>AH6</f>
        <v>10</v>
      </c>
      <c r="AH7" s="9">
        <v>0</v>
      </c>
      <c r="AI7" s="10">
        <f>V22+V11+V12+V13</f>
        <v>9.5833333333333321</v>
      </c>
      <c r="AJ7" s="10">
        <f>V20+V12+V11+V22</f>
        <v>9.5833333333333321</v>
      </c>
    </row>
    <row r="8" spans="2:36" x14ac:dyDescent="0.3">
      <c r="T8" s="5">
        <v>3</v>
      </c>
      <c r="U8" s="6">
        <v>30</v>
      </c>
      <c r="V8" s="7">
        <v>1.6666666666666665</v>
      </c>
      <c r="W8" s="6">
        <f t="shared" si="0"/>
        <v>3.333333333333333</v>
      </c>
      <c r="X8" s="8">
        <v>2000</v>
      </c>
      <c r="Z8" s="4" t="s">
        <v>13</v>
      </c>
      <c r="AA8" s="4">
        <f>AC6</f>
        <v>21.666666666666664</v>
      </c>
      <c r="AB8" s="4">
        <f>AC7</f>
        <v>19.166666666666664</v>
      </c>
      <c r="AC8" s="4">
        <v>15</v>
      </c>
      <c r="AD8" s="4">
        <f>AC9</f>
        <v>99999</v>
      </c>
      <c r="AF8" s="237" t="s">
        <v>13</v>
      </c>
      <c r="AG8" s="10">
        <f>AI6</f>
        <v>10.833333333333332</v>
      </c>
      <c r="AH8" s="10">
        <f>AI7</f>
        <v>9.5833333333333321</v>
      </c>
      <c r="AI8" s="9">
        <v>0</v>
      </c>
      <c r="AJ8" s="10">
        <f>V13+V20</f>
        <v>5</v>
      </c>
    </row>
    <row r="9" spans="2:36" x14ac:dyDescent="0.3">
      <c r="T9" s="5">
        <v>4</v>
      </c>
      <c r="U9" s="6">
        <v>30</v>
      </c>
      <c r="V9" s="7">
        <v>2.5</v>
      </c>
      <c r="W9" s="6">
        <f t="shared" si="0"/>
        <v>5</v>
      </c>
      <c r="X9" s="8">
        <v>3000</v>
      </c>
      <c r="Z9" s="4" t="s">
        <v>14</v>
      </c>
      <c r="AA9" s="4">
        <f>AD6</f>
        <v>21.666666666666664</v>
      </c>
      <c r="AB9" s="4">
        <f>AD7</f>
        <v>19.166666666666664</v>
      </c>
      <c r="AC9" s="4">
        <v>99999</v>
      </c>
      <c r="AD9" s="4">
        <v>15</v>
      </c>
      <c r="AF9" s="237" t="s">
        <v>14</v>
      </c>
      <c r="AG9" s="10">
        <f>AJ6</f>
        <v>10.833333333333332</v>
      </c>
      <c r="AH9" s="10">
        <f>AJ7</f>
        <v>9.5833333333333321</v>
      </c>
      <c r="AI9" s="10">
        <f>AJ8</f>
        <v>5</v>
      </c>
      <c r="AJ9" s="9">
        <v>0</v>
      </c>
    </row>
    <row r="10" spans="2:36" x14ac:dyDescent="0.3">
      <c r="T10" s="5">
        <v>5</v>
      </c>
      <c r="U10" s="6">
        <v>30</v>
      </c>
      <c r="V10" s="7">
        <v>2.5</v>
      </c>
      <c r="W10" s="6">
        <f t="shared" si="0"/>
        <v>5</v>
      </c>
      <c r="X10" s="8">
        <v>2000</v>
      </c>
    </row>
    <row r="11" spans="2:36" x14ac:dyDescent="0.3">
      <c r="T11" s="5">
        <v>6</v>
      </c>
      <c r="U11" s="6">
        <v>30</v>
      </c>
      <c r="V11" s="7">
        <v>1.6666666666666665</v>
      </c>
      <c r="W11" s="6">
        <f t="shared" si="0"/>
        <v>3.333333333333333</v>
      </c>
      <c r="X11" s="8">
        <v>1500</v>
      </c>
      <c r="Z11" t="s">
        <v>61</v>
      </c>
      <c r="AA11" t="s">
        <v>95</v>
      </c>
      <c r="AB11">
        <f>2.5*5</f>
        <v>12.5</v>
      </c>
    </row>
    <row r="12" spans="2:36" x14ac:dyDescent="0.3">
      <c r="T12" s="5">
        <v>7</v>
      </c>
      <c r="U12" s="6">
        <v>30</v>
      </c>
      <c r="V12" s="7">
        <v>1.6666666666666665</v>
      </c>
      <c r="W12" s="6">
        <f t="shared" si="0"/>
        <v>3.333333333333333</v>
      </c>
      <c r="X12" s="8">
        <v>3000</v>
      </c>
      <c r="Z12" t="s">
        <v>66</v>
      </c>
      <c r="AA12" t="s">
        <v>115</v>
      </c>
      <c r="AB12">
        <f>2.5*5</f>
        <v>12.5</v>
      </c>
      <c r="AF12" s="11"/>
    </row>
    <row r="13" spans="2:36" x14ac:dyDescent="0.3">
      <c r="T13" s="5">
        <v>8</v>
      </c>
      <c r="U13" s="6">
        <v>30</v>
      </c>
      <c r="V13" s="7">
        <v>2.5</v>
      </c>
      <c r="W13" s="6">
        <f t="shared" si="0"/>
        <v>5</v>
      </c>
      <c r="X13" s="8">
        <v>1000</v>
      </c>
      <c r="Z13" t="s">
        <v>264</v>
      </c>
      <c r="AA13" t="s">
        <v>267</v>
      </c>
      <c r="AB13">
        <f>2.5*2</f>
        <v>5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30</v>
      </c>
      <c r="V14" s="7">
        <v>2.5</v>
      </c>
      <c r="W14" s="6">
        <f t="shared" si="0"/>
        <v>5</v>
      </c>
      <c r="X14" s="8">
        <v>1000</v>
      </c>
      <c r="Z14" t="s">
        <v>71</v>
      </c>
      <c r="AA14" t="s">
        <v>139</v>
      </c>
      <c r="AB14">
        <f>2.5*4</f>
        <v>10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30</v>
      </c>
      <c r="V15" s="7">
        <v>2.5</v>
      </c>
      <c r="W15" s="6">
        <f t="shared" si="0"/>
        <v>5</v>
      </c>
      <c r="X15" s="8">
        <v>1250</v>
      </c>
      <c r="Z15" t="s">
        <v>76</v>
      </c>
      <c r="AA15" t="s">
        <v>153</v>
      </c>
      <c r="AB15">
        <f>2.5*4</f>
        <v>10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30</v>
      </c>
      <c r="V16" s="7">
        <v>2.5</v>
      </c>
      <c r="W16" s="6">
        <f t="shared" si="0"/>
        <v>5</v>
      </c>
      <c r="X16" s="8">
        <v>2000</v>
      </c>
      <c r="Z16" t="s">
        <v>262</v>
      </c>
      <c r="AA16" t="s">
        <v>261</v>
      </c>
      <c r="AB16">
        <f>2.5*5</f>
        <v>12.5</v>
      </c>
      <c r="AF16" s="6"/>
      <c r="AG16" s="6"/>
      <c r="AH16" s="6"/>
      <c r="AI16" s="6"/>
      <c r="AJ16" s="6"/>
    </row>
    <row r="17" spans="7:36" x14ac:dyDescent="0.3">
      <c r="T17" s="5">
        <v>12</v>
      </c>
      <c r="U17" s="6">
        <v>30</v>
      </c>
      <c r="V17" s="7">
        <v>2.5</v>
      </c>
      <c r="W17" s="6">
        <f t="shared" si="0"/>
        <v>5</v>
      </c>
      <c r="X17" s="8">
        <v>2000</v>
      </c>
      <c r="Z17" t="s">
        <v>260</v>
      </c>
      <c r="AA17" t="s">
        <v>259</v>
      </c>
      <c r="AB17">
        <f>2.5*4</f>
        <v>10</v>
      </c>
      <c r="AF17" s="6"/>
      <c r="AG17" s="6"/>
      <c r="AH17" s="6"/>
      <c r="AI17" s="6"/>
      <c r="AJ17" s="6"/>
    </row>
    <row r="18" spans="7:36" x14ac:dyDescent="0.3">
      <c r="T18" s="5">
        <v>13</v>
      </c>
      <c r="U18" s="6">
        <v>30</v>
      </c>
      <c r="V18" s="7">
        <v>2.5</v>
      </c>
      <c r="W18" s="6">
        <f t="shared" si="0"/>
        <v>5</v>
      </c>
      <c r="X18" s="8">
        <v>2000</v>
      </c>
      <c r="Z18" t="s">
        <v>258</v>
      </c>
      <c r="AA18" t="s">
        <v>257</v>
      </c>
      <c r="AB18">
        <f>2.5*2</f>
        <v>5</v>
      </c>
    </row>
    <row r="19" spans="7:36" x14ac:dyDescent="0.3">
      <c r="T19" s="5">
        <v>14</v>
      </c>
      <c r="U19" s="6">
        <v>30</v>
      </c>
      <c r="V19" s="7">
        <v>1.6666666666666665</v>
      </c>
      <c r="W19" s="6">
        <f t="shared" si="0"/>
        <v>3.333333333333333</v>
      </c>
      <c r="X19" s="8">
        <v>2000</v>
      </c>
      <c r="Z19" t="s">
        <v>256</v>
      </c>
      <c r="AA19" t="s">
        <v>255</v>
      </c>
      <c r="AB19">
        <f>2.5*5</f>
        <v>12.5</v>
      </c>
    </row>
    <row r="20" spans="7:36" x14ac:dyDescent="0.3">
      <c r="T20" s="5">
        <v>15</v>
      </c>
      <c r="U20" s="6">
        <v>30</v>
      </c>
      <c r="V20" s="7">
        <v>2.5</v>
      </c>
      <c r="W20" s="6">
        <f t="shared" si="0"/>
        <v>5</v>
      </c>
      <c r="X20" s="8">
        <v>2250</v>
      </c>
      <c r="Z20" t="s">
        <v>254</v>
      </c>
      <c r="AA20" t="s">
        <v>253</v>
      </c>
      <c r="AB20">
        <f>10</f>
        <v>10</v>
      </c>
    </row>
    <row r="21" spans="7:36" x14ac:dyDescent="0.3">
      <c r="T21" s="5">
        <v>16</v>
      </c>
      <c r="U21" s="6">
        <v>30</v>
      </c>
      <c r="V21" s="7">
        <v>2.5</v>
      </c>
      <c r="W21" s="6">
        <f t="shared" si="0"/>
        <v>5</v>
      </c>
      <c r="X21" s="8">
        <v>2500</v>
      </c>
      <c r="Z21" t="s">
        <v>252</v>
      </c>
      <c r="AA21" t="s">
        <v>251</v>
      </c>
      <c r="AB21">
        <f>5</f>
        <v>5</v>
      </c>
    </row>
    <row r="22" spans="7:36" x14ac:dyDescent="0.3">
      <c r="G22" t="s">
        <v>266</v>
      </c>
      <c r="H22" t="s">
        <v>265</v>
      </c>
      <c r="T22" s="5">
        <v>17</v>
      </c>
      <c r="U22" s="6">
        <v>30</v>
      </c>
      <c r="V22" s="7">
        <v>3.75</v>
      </c>
      <c r="W22" s="6">
        <f t="shared" si="0"/>
        <v>7.5</v>
      </c>
      <c r="X22" s="8">
        <v>1500</v>
      </c>
    </row>
    <row r="23" spans="7:36" x14ac:dyDescent="0.3">
      <c r="G23" t="s">
        <v>61</v>
      </c>
      <c r="H23" t="s">
        <v>95</v>
      </c>
      <c r="T23" s="5">
        <v>18</v>
      </c>
      <c r="U23" s="6">
        <v>30</v>
      </c>
      <c r="V23" s="7">
        <v>11.25</v>
      </c>
      <c r="W23" s="6">
        <f t="shared" si="0"/>
        <v>22.5</v>
      </c>
      <c r="X23" s="8">
        <v>1500</v>
      </c>
    </row>
    <row r="24" spans="7:36" x14ac:dyDescent="0.3">
      <c r="G24" t="s">
        <v>66</v>
      </c>
      <c r="H24" t="s">
        <v>115</v>
      </c>
      <c r="T24" s="14">
        <v>19</v>
      </c>
      <c r="U24" s="6">
        <v>30</v>
      </c>
      <c r="V24" s="15">
        <v>15</v>
      </c>
      <c r="W24" s="6">
        <f t="shared" si="0"/>
        <v>30</v>
      </c>
      <c r="X24" s="13">
        <v>2250</v>
      </c>
    </row>
    <row r="25" spans="7:36" x14ac:dyDescent="0.3">
      <c r="G25" t="s">
        <v>264</v>
      </c>
      <c r="H25" t="s">
        <v>263</v>
      </c>
    </row>
    <row r="26" spans="7:36" x14ac:dyDescent="0.3">
      <c r="G26" t="s">
        <v>71</v>
      </c>
      <c r="H26" t="s">
        <v>139</v>
      </c>
    </row>
    <row r="27" spans="7:36" x14ac:dyDescent="0.3">
      <c r="G27" t="s">
        <v>76</v>
      </c>
      <c r="H27" t="s">
        <v>153</v>
      </c>
      <c r="W27" t="s">
        <v>21</v>
      </c>
      <c r="X27" t="s">
        <v>22</v>
      </c>
      <c r="Y27" t="s">
        <v>23</v>
      </c>
    </row>
    <row r="28" spans="7:36" x14ac:dyDescent="0.3">
      <c r="G28" t="s">
        <v>262</v>
      </c>
      <c r="H28" t="s">
        <v>261</v>
      </c>
    </row>
    <row r="29" spans="7:36" x14ac:dyDescent="0.3">
      <c r="G29" t="s">
        <v>260</v>
      </c>
      <c r="H29" t="s">
        <v>259</v>
      </c>
      <c r="AE29" s="6"/>
    </row>
    <row r="30" spans="7:36" x14ac:dyDescent="0.3">
      <c r="G30" t="s">
        <v>258</v>
      </c>
      <c r="H30" t="s">
        <v>257</v>
      </c>
      <c r="AE30" s="6"/>
    </row>
    <row r="31" spans="7:36" x14ac:dyDescent="0.3">
      <c r="G31" t="s">
        <v>256</v>
      </c>
      <c r="H31" t="s">
        <v>255</v>
      </c>
      <c r="W31" t="s">
        <v>28</v>
      </c>
      <c r="X31" t="s">
        <v>22</v>
      </c>
      <c r="Y31" t="s">
        <v>29</v>
      </c>
      <c r="AE31" s="6"/>
    </row>
    <row r="32" spans="7:36" x14ac:dyDescent="0.3">
      <c r="G32" t="s">
        <v>254</v>
      </c>
      <c r="H32" t="s">
        <v>253</v>
      </c>
    </row>
    <row r="33" spans="1:27" x14ac:dyDescent="0.3">
      <c r="G33" t="s">
        <v>252</v>
      </c>
      <c r="H33" t="s">
        <v>251</v>
      </c>
      <c r="W33" s="19" t="s">
        <v>31</v>
      </c>
      <c r="X33" s="19"/>
      <c r="Y33" s="19"/>
      <c r="Z33" s="19"/>
    </row>
    <row r="35" spans="1:27" ht="16.8" x14ac:dyDescent="0.35">
      <c r="F35" s="296" t="s">
        <v>2</v>
      </c>
      <c r="G35" s="286" t="s">
        <v>33</v>
      </c>
      <c r="H35" s="287"/>
      <c r="I35" s="291" t="s">
        <v>2</v>
      </c>
      <c r="J35" s="287"/>
      <c r="K35" s="21" t="s">
        <v>34</v>
      </c>
      <c r="L35" s="288" t="s">
        <v>32</v>
      </c>
      <c r="M35" s="292"/>
      <c r="N35" s="22" t="s">
        <v>35</v>
      </c>
      <c r="O35" s="24" t="s">
        <v>32</v>
      </c>
      <c r="P35" s="24" t="s">
        <v>36</v>
      </c>
      <c r="Q35" s="236" t="s">
        <v>38</v>
      </c>
      <c r="R35" s="236" t="s">
        <v>39</v>
      </c>
      <c r="S35" s="235" t="s">
        <v>40</v>
      </c>
      <c r="T35" s="28" t="s">
        <v>41</v>
      </c>
      <c r="U35" s="29" t="s">
        <v>47</v>
      </c>
      <c r="V35" s="29" t="s">
        <v>48</v>
      </c>
      <c r="W35" s="29" t="s">
        <v>49</v>
      </c>
      <c r="X35" s="29" t="s">
        <v>51</v>
      </c>
      <c r="Y35" s="29" t="s">
        <v>52</v>
      </c>
      <c r="Z35" s="29" t="s">
        <v>56</v>
      </c>
      <c r="AA35" s="29" t="s">
        <v>58</v>
      </c>
    </row>
    <row r="36" spans="1:27" x14ac:dyDescent="0.3">
      <c r="F36" s="284"/>
      <c r="G36" s="32" t="s">
        <v>85</v>
      </c>
      <c r="H36" s="33">
        <f>(W11*U40)+W11*0.17*((U40^4.8)/((X11^3.8)*4.8))</f>
        <v>0</v>
      </c>
      <c r="I36" s="34" t="s">
        <v>86</v>
      </c>
      <c r="J36" s="33">
        <f>W11*(1+0.17*(U40/X11)^3.8)</f>
        <v>3.333333333333333</v>
      </c>
      <c r="K36" s="20">
        <v>1</v>
      </c>
      <c r="L36" s="20" t="s">
        <v>61</v>
      </c>
      <c r="M36" s="20" t="s">
        <v>95</v>
      </c>
      <c r="N36" s="234">
        <f>J39+J40+J36+J37+J38</f>
        <v>21.666666666666664</v>
      </c>
      <c r="O36" s="233" t="s">
        <v>65</v>
      </c>
      <c r="P36" s="75">
        <v>0</v>
      </c>
      <c r="Q36" s="232">
        <f>G46</f>
        <v>0</v>
      </c>
      <c r="R36" s="232" t="s">
        <v>39</v>
      </c>
      <c r="S36" s="232">
        <f>I46</f>
        <v>3.0684900678142259E-84</v>
      </c>
      <c r="T36" s="79" t="s">
        <v>65</v>
      </c>
      <c r="U36" s="231">
        <v>1</v>
      </c>
      <c r="V36" s="231">
        <v>1</v>
      </c>
      <c r="W36" s="231">
        <v>1</v>
      </c>
      <c r="X36" s="231">
        <v>1</v>
      </c>
      <c r="Y36" s="231">
        <v>1</v>
      </c>
      <c r="Z36" s="231">
        <v>0</v>
      </c>
      <c r="AA36" s="231">
        <v>0</v>
      </c>
    </row>
    <row r="37" spans="1:27" x14ac:dyDescent="0.3">
      <c r="F37" s="284"/>
      <c r="G37" s="46" t="s">
        <v>89</v>
      </c>
      <c r="H37" s="228">
        <f>(W12*V40)+W12*0.17*((V40^4.8)/((X12^3.8)*4.8))</f>
        <v>0</v>
      </c>
      <c r="I37" s="47" t="s">
        <v>90</v>
      </c>
      <c r="J37" s="228">
        <f>W12*(1+0.17*(V40/X12)^3.8)</f>
        <v>3.333333333333333</v>
      </c>
      <c r="K37" s="20">
        <v>2</v>
      </c>
      <c r="L37" s="20" t="s">
        <v>66</v>
      </c>
      <c r="M37" s="20" t="s">
        <v>115</v>
      </c>
      <c r="N37" s="234">
        <f>J39+J40+J36+J37+J41</f>
        <v>21.666666666666664</v>
      </c>
      <c r="O37" s="233" t="s">
        <v>70</v>
      </c>
      <c r="P37" s="75">
        <v>0</v>
      </c>
      <c r="Q37" s="232">
        <f>G47</f>
        <v>0</v>
      </c>
      <c r="R37" s="232" t="s">
        <v>39</v>
      </c>
      <c r="S37" s="232">
        <f>I47</f>
        <v>2.8039129707719707E-84</v>
      </c>
      <c r="T37" s="79" t="s">
        <v>70</v>
      </c>
      <c r="U37" s="231">
        <v>1</v>
      </c>
      <c r="V37" s="231">
        <v>1</v>
      </c>
      <c r="W37" s="231">
        <v>0</v>
      </c>
      <c r="X37" s="231">
        <v>1</v>
      </c>
      <c r="Y37" s="231">
        <v>1</v>
      </c>
      <c r="Z37" s="231">
        <v>1</v>
      </c>
      <c r="AA37" s="231">
        <v>0</v>
      </c>
    </row>
    <row r="38" spans="1:27" x14ac:dyDescent="0.3">
      <c r="F38" s="284"/>
      <c r="G38" s="46" t="s">
        <v>93</v>
      </c>
      <c r="H38" s="228">
        <f>(W13*W40)+W13*0.17*((W40^4.8)/((X13^3.8)*4.8))</f>
        <v>0</v>
      </c>
      <c r="I38" s="47" t="s">
        <v>94</v>
      </c>
      <c r="J38" s="228">
        <f>W13*(1+0.17*(W40/X13)^3.8)</f>
        <v>5</v>
      </c>
      <c r="K38" s="20">
        <v>3</v>
      </c>
      <c r="L38" s="20" t="s">
        <v>71</v>
      </c>
      <c r="M38" s="20" t="s">
        <v>139</v>
      </c>
      <c r="N38" s="234">
        <f>J42+J36+J37+J38</f>
        <v>19.166666666666664</v>
      </c>
      <c r="O38" s="233" t="s">
        <v>75</v>
      </c>
      <c r="P38" s="75">
        <v>0</v>
      </c>
      <c r="Q38" s="232">
        <f>G48</f>
        <v>0</v>
      </c>
      <c r="R38" s="232" t="s">
        <v>39</v>
      </c>
      <c r="S38" s="232">
        <f>I48</f>
        <v>1.0114436161959604E-84</v>
      </c>
      <c r="T38" s="79" t="s">
        <v>75</v>
      </c>
      <c r="U38" s="231">
        <v>1</v>
      </c>
      <c r="V38" s="231">
        <v>1</v>
      </c>
      <c r="W38" s="231">
        <v>1</v>
      </c>
      <c r="X38" s="231">
        <v>0</v>
      </c>
      <c r="Y38" s="231">
        <v>0</v>
      </c>
      <c r="Z38" s="231">
        <v>0</v>
      </c>
      <c r="AA38" s="231">
        <v>1</v>
      </c>
    </row>
    <row r="39" spans="1:27" x14ac:dyDescent="0.3">
      <c r="B39" s="16"/>
      <c r="F39" s="284"/>
      <c r="G39" s="46" t="s">
        <v>101</v>
      </c>
      <c r="H39" s="228">
        <f>(W15*X40)+W15*0.17*((X40^4.8)/((X15^3.8)*4.8))</f>
        <v>0</v>
      </c>
      <c r="I39" s="47" t="s">
        <v>102</v>
      </c>
      <c r="J39" s="228">
        <f>W15*(1+0.17*(X40/X15)^3.8)</f>
        <v>5</v>
      </c>
      <c r="K39" s="20">
        <v>4</v>
      </c>
      <c r="L39" s="20" t="s">
        <v>76</v>
      </c>
      <c r="M39" s="20" t="s">
        <v>153</v>
      </c>
      <c r="N39" s="234">
        <f>J42+J36+J37+J41</f>
        <v>19.166666666666664</v>
      </c>
      <c r="O39" s="233" t="s">
        <v>80</v>
      </c>
      <c r="P39" s="75">
        <v>0</v>
      </c>
      <c r="Q39" s="232">
        <f>G49</f>
        <v>0</v>
      </c>
      <c r="R39" s="232" t="s">
        <v>39</v>
      </c>
      <c r="S39" s="232">
        <f>I49</f>
        <v>9.242330305721099E-85</v>
      </c>
      <c r="T39" s="79" t="s">
        <v>80</v>
      </c>
      <c r="U39" s="231">
        <v>1</v>
      </c>
      <c r="V39" s="231">
        <v>1</v>
      </c>
      <c r="W39" s="231">
        <v>0</v>
      </c>
      <c r="X39" s="231">
        <v>0</v>
      </c>
      <c r="Y39" s="231">
        <v>0</v>
      </c>
      <c r="Z39" s="231">
        <v>1</v>
      </c>
      <c r="AA39" s="231">
        <v>1</v>
      </c>
    </row>
    <row r="40" spans="1:27" x14ac:dyDescent="0.3">
      <c r="B40" s="17"/>
      <c r="F40" s="284"/>
      <c r="G40" s="46" t="s">
        <v>105</v>
      </c>
      <c r="H40" s="228">
        <f>(W16*Y40)+W16*0.17*((Y40^4.8)/((X16^3.8)*4.8))</f>
        <v>0</v>
      </c>
      <c r="I40" s="47" t="s">
        <v>106</v>
      </c>
      <c r="J40" s="228">
        <f>W16*(1+0.17*(Y40/X16)^3.8)</f>
        <v>5</v>
      </c>
      <c r="K40" s="293" t="s">
        <v>155</v>
      </c>
      <c r="L40" s="294"/>
      <c r="M40" s="295"/>
      <c r="N40" s="230">
        <f>SUM(N36:N39)</f>
        <v>81.666666666666657</v>
      </c>
      <c r="T40" s="229" t="s">
        <v>156</v>
      </c>
      <c r="U40" s="82">
        <f t="shared" ref="U40:AA40" si="1">SUMPRODUCT($P$36:$P$39,U36:U39)</f>
        <v>0</v>
      </c>
      <c r="V40" s="82">
        <f t="shared" si="1"/>
        <v>0</v>
      </c>
      <c r="W40" s="82">
        <f t="shared" si="1"/>
        <v>0</v>
      </c>
      <c r="X40" s="82">
        <f t="shared" si="1"/>
        <v>0</v>
      </c>
      <c r="Y40" s="82">
        <f t="shared" si="1"/>
        <v>0</v>
      </c>
      <c r="Z40" s="82">
        <f t="shared" si="1"/>
        <v>0</v>
      </c>
      <c r="AA40" s="82">
        <f t="shared" si="1"/>
        <v>0</v>
      </c>
    </row>
    <row r="41" spans="1:27" x14ac:dyDescent="0.3">
      <c r="B41" s="16"/>
      <c r="F41" s="284"/>
      <c r="G41" s="46" t="s">
        <v>121</v>
      </c>
      <c r="H41" s="228">
        <f>(W20*Z40)+W20*0.17*((Z40^4.8)/((X20^3.8)*4.8))</f>
        <v>0</v>
      </c>
      <c r="I41" s="47" t="s">
        <v>122</v>
      </c>
      <c r="J41" s="228">
        <f>W20*(1+0.17*(Z40/X20)^3.8)</f>
        <v>5</v>
      </c>
    </row>
    <row r="42" spans="1:27" x14ac:dyDescent="0.3">
      <c r="B42" s="17"/>
      <c r="F42" s="284"/>
      <c r="G42" s="46" t="s">
        <v>129</v>
      </c>
      <c r="H42" s="228">
        <f>(W22*AA40)+W22*0.17*((AA40^4.8)/((X22^3.8)*4.8))</f>
        <v>0</v>
      </c>
      <c r="I42" s="64" t="s">
        <v>130</v>
      </c>
      <c r="J42" s="227">
        <f>W22*(1+0.17*(AA40/X22)^3.8)</f>
        <v>7.5</v>
      </c>
    </row>
    <row r="43" spans="1:27" x14ac:dyDescent="0.3">
      <c r="B43" s="18"/>
      <c r="F43" s="226"/>
      <c r="G43" s="65" t="s">
        <v>141</v>
      </c>
      <c r="H43" s="66">
        <f>SUM(H36:H42)</f>
        <v>0</v>
      </c>
    </row>
    <row r="44" spans="1:27" x14ac:dyDescent="0.3">
      <c r="B44" s="18"/>
      <c r="F44" s="225"/>
    </row>
    <row r="45" spans="1:27" x14ac:dyDescent="0.3">
      <c r="C45" s="6"/>
      <c r="E45" s="1"/>
      <c r="F45" s="123" t="s">
        <v>32</v>
      </c>
      <c r="G45" s="47" t="s">
        <v>36</v>
      </c>
      <c r="H45" s="6" t="s">
        <v>39</v>
      </c>
      <c r="I45" s="224" t="s">
        <v>40</v>
      </c>
    </row>
    <row r="46" spans="1:27" x14ac:dyDescent="0.3">
      <c r="A46" t="s">
        <v>250</v>
      </c>
      <c r="C46" s="6"/>
      <c r="F46" t="s">
        <v>61</v>
      </c>
      <c r="G46">
        <f>P36</f>
        <v>0</v>
      </c>
      <c r="H46" s="6" t="s">
        <v>39</v>
      </c>
      <c r="I46">
        <f>B48</f>
        <v>3.0684900678142259E-84</v>
      </c>
    </row>
    <row r="47" spans="1:27" x14ac:dyDescent="0.3">
      <c r="A47" t="s">
        <v>32</v>
      </c>
      <c r="B47" t="s">
        <v>250</v>
      </c>
      <c r="C47" s="6"/>
      <c r="F47" t="s">
        <v>66</v>
      </c>
      <c r="G47">
        <f>P37</f>
        <v>0</v>
      </c>
      <c r="H47" s="6" t="s">
        <v>39</v>
      </c>
      <c r="I47">
        <f>B49</f>
        <v>2.8039129707719707E-84</v>
      </c>
    </row>
    <row r="48" spans="1:27" x14ac:dyDescent="0.3">
      <c r="A48" t="s">
        <v>61</v>
      </c>
      <c r="B48">
        <f>D54</f>
        <v>3.0684900678142259E-84</v>
      </c>
      <c r="C48" s="6"/>
      <c r="F48" t="s">
        <v>71</v>
      </c>
      <c r="G48">
        <f>P38</f>
        <v>0</v>
      </c>
      <c r="H48" s="6" t="s">
        <v>39</v>
      </c>
      <c r="I48">
        <f>B50</f>
        <v>1.0114436161959604E-84</v>
      </c>
    </row>
    <row r="49" spans="1:9" x14ac:dyDescent="0.3">
      <c r="A49" t="s">
        <v>66</v>
      </c>
      <c r="B49">
        <f>E54</f>
        <v>2.8039129707719707E-84</v>
      </c>
      <c r="C49" s="6"/>
      <c r="F49" t="s">
        <v>76</v>
      </c>
      <c r="G49">
        <f>P39</f>
        <v>0</v>
      </c>
      <c r="H49" s="6" t="s">
        <v>39</v>
      </c>
      <c r="I49">
        <f>B51</f>
        <v>9.242330305721099E-85</v>
      </c>
    </row>
    <row r="50" spans="1:9" x14ac:dyDescent="0.3">
      <c r="A50" t="s">
        <v>71</v>
      </c>
      <c r="B50">
        <f>D55</f>
        <v>1.0114436161959604E-84</v>
      </c>
      <c r="C50" s="6"/>
      <c r="F50" s="114"/>
      <c r="G50" s="114"/>
      <c r="H50" s="195"/>
      <c r="I50" s="114"/>
    </row>
    <row r="51" spans="1:9" x14ac:dyDescent="0.3">
      <c r="A51" t="s">
        <v>76</v>
      </c>
      <c r="B51">
        <f>E55</f>
        <v>9.242330305721099E-85</v>
      </c>
      <c r="F51" s="114"/>
      <c r="G51" s="114"/>
      <c r="H51" s="195"/>
      <c r="I51" s="114"/>
    </row>
    <row r="52" spans="1:9" x14ac:dyDescent="0.3">
      <c r="F52" s="114"/>
      <c r="G52" s="114"/>
      <c r="H52" s="195"/>
      <c r="I52" s="114"/>
    </row>
    <row r="53" spans="1:9" x14ac:dyDescent="0.3">
      <c r="A53" t="s">
        <v>199</v>
      </c>
      <c r="B53" t="s">
        <v>11</v>
      </c>
      <c r="C53" t="s">
        <v>12</v>
      </c>
      <c r="D53" t="s">
        <v>13</v>
      </c>
      <c r="E53" t="s">
        <v>14</v>
      </c>
      <c r="F53" s="114"/>
      <c r="G53" s="114"/>
      <c r="H53" s="195"/>
      <c r="I53" s="114"/>
    </row>
    <row r="54" spans="1:9" x14ac:dyDescent="0.3">
      <c r="A54" t="s">
        <v>11</v>
      </c>
      <c r="B54">
        <f>Gravity!AH145</f>
        <v>4.057699454555231E-5</v>
      </c>
      <c r="C54" t="e">
        <f>Gravity!AI145</f>
        <v>#DIV/0!</v>
      </c>
      <c r="D54">
        <f>Gravity!AJ145</f>
        <v>3.0684900678142259E-84</v>
      </c>
      <c r="E54">
        <f>Gravity!AK145</f>
        <v>2.8039129707719707E-84</v>
      </c>
      <c r="F54" s="114"/>
      <c r="G54" s="114"/>
      <c r="H54" s="195"/>
      <c r="I54" s="114"/>
    </row>
    <row r="55" spans="1:9" x14ac:dyDescent="0.3">
      <c r="A55" t="s">
        <v>12</v>
      </c>
      <c r="B55" t="e">
        <f>Gravity!AH146</f>
        <v>#DIV/0!</v>
      </c>
      <c r="C55">
        <f>Gravity!AI146</f>
        <v>1.1486275096257699E-5</v>
      </c>
      <c r="D55">
        <f>Gravity!AJ146</f>
        <v>1.0114436161959604E-84</v>
      </c>
      <c r="E55">
        <f>Gravity!AK146</f>
        <v>9.242330305721099E-85</v>
      </c>
      <c r="F55" s="114"/>
      <c r="G55" s="114"/>
      <c r="H55" s="195"/>
      <c r="I55" s="114"/>
    </row>
    <row r="56" spans="1:9" x14ac:dyDescent="0.3">
      <c r="A56" t="s">
        <v>13</v>
      </c>
      <c r="B56">
        <f>Gravity!AH147</f>
        <v>1.2730878129419351E-84</v>
      </c>
      <c r="C56">
        <f>Gravity!AI147</f>
        <v>6.313201812347504E-85</v>
      </c>
      <c r="D56">
        <f>Gravity!AJ147</f>
        <v>5.0460310103756787E-6</v>
      </c>
      <c r="E56" t="e">
        <f>Gravity!AK147</f>
        <v>#DIV/0!</v>
      </c>
      <c r="F56" s="114"/>
      <c r="G56" s="114"/>
      <c r="H56" s="195"/>
      <c r="I56" s="114"/>
    </row>
    <row r="57" spans="1:9" x14ac:dyDescent="0.3">
      <c r="A57" t="s">
        <v>14</v>
      </c>
      <c r="B57">
        <f>Gravity!AH148</f>
        <v>1.3545003979373926E-84</v>
      </c>
      <c r="C57">
        <f>Gravity!AI148</f>
        <v>6.7169242216866461E-85</v>
      </c>
      <c r="D57" t="e">
        <f>Gravity!AJ148</f>
        <v>#DIV/0!</v>
      </c>
      <c r="E57">
        <f>Gravity!AK148</f>
        <v>4.9058074583730022E-6</v>
      </c>
      <c r="F57" s="114"/>
      <c r="G57" s="114"/>
      <c r="H57" s="195"/>
      <c r="I57" s="114"/>
    </row>
  </sheetData>
  <mergeCells count="5">
    <mergeCell ref="G35:H35"/>
    <mergeCell ref="I35:J35"/>
    <mergeCell ref="L35:M35"/>
    <mergeCell ref="K40:M40"/>
    <mergeCell ref="F35:F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795-F364-4E21-B269-E26F13E33B4C}">
  <dimension ref="A2:AM84"/>
  <sheetViews>
    <sheetView topLeftCell="A26" zoomScale="60" zoomScaleNormal="60" workbookViewId="0">
      <selection activeCell="B44" sqref="B44:E4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6.77734375" bestFit="1" customWidth="1"/>
    <col min="28" max="28" width="13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2" t="s">
        <v>2</v>
      </c>
      <c r="AF4" s="2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'[1](Normal UE)Network Transit'!AF5</f>
        <v>Dij</v>
      </c>
      <c r="AG5" s="4" t="str">
        <f>'[1](Normal UE)Network Transit'!AG5</f>
        <v>A</v>
      </c>
      <c r="AH5" s="4" t="str">
        <f>'[1](Normal UE)Network Transit'!AH5</f>
        <v>B</v>
      </c>
      <c r="AI5" s="4" t="str">
        <f>'[1](Normal UE)Network Transit'!AI5</f>
        <v>C</v>
      </c>
      <c r="AJ5" s="4" t="str">
        <f>'[1](Normal UE)Network Transit'!AJ5</f>
        <v>D</v>
      </c>
    </row>
    <row r="6" spans="2:36" x14ac:dyDescent="0.3">
      <c r="T6" s="5">
        <v>1</v>
      </c>
      <c r="U6" s="6">
        <v>12</v>
      </c>
      <c r="V6" s="7">
        <v>2.5</v>
      </c>
      <c r="W6" s="6">
        <v>12.5</v>
      </c>
      <c r="X6" s="8">
        <v>3000</v>
      </c>
      <c r="Z6" s="4" t="s">
        <v>11</v>
      </c>
      <c r="AA6" s="4">
        <v>15</v>
      </c>
      <c r="AB6" s="4">
        <v>99999</v>
      </c>
      <c r="AC6" s="4">
        <v>54.166666666666657</v>
      </c>
      <c r="AD6" s="4">
        <v>54.166666666666657</v>
      </c>
      <c r="AF6" s="4" t="str">
        <f>'[1](Normal UE)Network Transit'!AF6</f>
        <v>A</v>
      </c>
      <c r="AG6" s="9">
        <f>'[1](Normal UE)Network Transit'!AG6</f>
        <v>0</v>
      </c>
      <c r="AH6" s="9">
        <f>'[1](Normal UE)Network Transit'!AH6</f>
        <v>10</v>
      </c>
      <c r="AI6" s="10">
        <f>'[1](Normal UE)Network Transit'!AI6</f>
        <v>10.833333333333332</v>
      </c>
      <c r="AJ6" s="9">
        <f>'[1](Normal UE)Network Transit'!AJ6</f>
        <v>10.833333333333332</v>
      </c>
    </row>
    <row r="7" spans="2:36" x14ac:dyDescent="0.3">
      <c r="T7" s="5">
        <v>2</v>
      </c>
      <c r="U7" s="6">
        <v>12</v>
      </c>
      <c r="V7" s="7">
        <v>2.5</v>
      </c>
      <c r="W7" s="6">
        <v>12.5</v>
      </c>
      <c r="X7" s="8">
        <v>1500</v>
      </c>
      <c r="Z7" s="4" t="s">
        <v>12</v>
      </c>
      <c r="AA7" s="4">
        <v>99999</v>
      </c>
      <c r="AB7" s="4">
        <v>15</v>
      </c>
      <c r="AC7" s="4">
        <v>47.916666666666664</v>
      </c>
      <c r="AD7" s="4">
        <v>47.916666666666664</v>
      </c>
      <c r="AF7" s="4" t="str">
        <f>'[1](Normal UE)Network Transit'!AF7</f>
        <v>B</v>
      </c>
      <c r="AG7" s="9">
        <f>'[1](Normal UE)Network Transit'!AG7</f>
        <v>10</v>
      </c>
      <c r="AH7" s="9">
        <f>'[1](Normal UE)Network Transit'!AH7</f>
        <v>0</v>
      </c>
      <c r="AI7" s="10">
        <f>'[1](Normal UE)Network Transit'!AI7</f>
        <v>9.5833333333333321</v>
      </c>
      <c r="AJ7" s="9">
        <f>'[1](Normal UE)Network Transit'!AJ7</f>
        <v>9.5833333333333321</v>
      </c>
    </row>
    <row r="8" spans="2:36" x14ac:dyDescent="0.3">
      <c r="T8" s="5">
        <v>3</v>
      </c>
      <c r="U8" s="6">
        <v>12</v>
      </c>
      <c r="V8" s="7">
        <v>1.6666666666666665</v>
      </c>
      <c r="W8" s="6">
        <v>8.3333333333333321</v>
      </c>
      <c r="X8" s="8">
        <v>2000</v>
      </c>
      <c r="Z8" s="4" t="s">
        <v>13</v>
      </c>
      <c r="AA8" s="4">
        <v>54.166666666666657</v>
      </c>
      <c r="AB8" s="4">
        <v>47.916666666666664</v>
      </c>
      <c r="AC8" s="4">
        <v>15</v>
      </c>
      <c r="AD8" s="4">
        <v>99999</v>
      </c>
      <c r="AF8" s="4" t="str">
        <f>'[1](Normal UE)Network Transit'!AF8</f>
        <v>C</v>
      </c>
      <c r="AG8" s="10">
        <f>'[1](Normal UE)Network Transit'!AG8</f>
        <v>10.833333333333332</v>
      </c>
      <c r="AH8" s="10">
        <f>'[1](Normal UE)Network Transit'!AH8</f>
        <v>9.5833333333333321</v>
      </c>
      <c r="AI8" s="9">
        <f>'[1](Normal UE)Network Transit'!AI8</f>
        <v>0</v>
      </c>
      <c r="AJ8" s="9">
        <f>'[1](Normal UE)Network Transit'!AJ8</f>
        <v>5</v>
      </c>
    </row>
    <row r="9" spans="2:36" x14ac:dyDescent="0.3">
      <c r="T9" s="5">
        <v>4</v>
      </c>
      <c r="U9" s="6">
        <v>12</v>
      </c>
      <c r="V9" s="7">
        <v>2.5</v>
      </c>
      <c r="W9" s="6">
        <v>12.5</v>
      </c>
      <c r="X9" s="8">
        <v>3000</v>
      </c>
      <c r="Z9" s="4" t="s">
        <v>14</v>
      </c>
      <c r="AA9" s="4">
        <v>54.166666666666657</v>
      </c>
      <c r="AB9" s="4">
        <v>47.916666666666664</v>
      </c>
      <c r="AC9" s="4">
        <v>99999</v>
      </c>
      <c r="AD9" s="4">
        <v>15</v>
      </c>
      <c r="AF9" s="4" t="str">
        <f>'[1](Normal UE)Network Transit'!AF9</f>
        <v>D</v>
      </c>
      <c r="AG9" s="10">
        <f>'[1](Normal UE)Network Transit'!AG9</f>
        <v>10.833333333333332</v>
      </c>
      <c r="AH9" s="9">
        <f>'[1](Normal UE)Network Transit'!AH9</f>
        <v>9.5833333333333321</v>
      </c>
      <c r="AI9" s="9">
        <f>'[1](Normal UE)Network Transit'!AI9</f>
        <v>5</v>
      </c>
      <c r="AJ9" s="9">
        <f>'[1](Normal UE)Network Transit'!AJ9</f>
        <v>0</v>
      </c>
    </row>
    <row r="10" spans="2:36" x14ac:dyDescent="0.3">
      <c r="T10" s="5">
        <v>5</v>
      </c>
      <c r="U10" s="6">
        <v>12</v>
      </c>
      <c r="V10" s="7">
        <v>2.5</v>
      </c>
      <c r="W10" s="6">
        <v>12.5</v>
      </c>
      <c r="X10" s="8">
        <v>2000</v>
      </c>
    </row>
    <row r="11" spans="2:36" x14ac:dyDescent="0.3">
      <c r="T11" s="5">
        <v>6</v>
      </c>
      <c r="U11" s="6">
        <v>12</v>
      </c>
      <c r="V11" s="7">
        <v>1.6666666666666665</v>
      </c>
      <c r="W11" s="6">
        <v>8.3333333333333321</v>
      </c>
      <c r="X11" s="8">
        <v>1500</v>
      </c>
    </row>
    <row r="12" spans="2:36" x14ac:dyDescent="0.3">
      <c r="T12" s="5">
        <v>7</v>
      </c>
      <c r="U12" s="6">
        <v>12</v>
      </c>
      <c r="V12" s="7">
        <v>1.6666666666666665</v>
      </c>
      <c r="W12" s="6">
        <v>8.3333333333333321</v>
      </c>
      <c r="X12" s="8">
        <v>3000</v>
      </c>
      <c r="AF12" s="11"/>
    </row>
    <row r="13" spans="2:36" x14ac:dyDescent="0.3">
      <c r="T13" s="5">
        <v>8</v>
      </c>
      <c r="U13" s="6">
        <v>12</v>
      </c>
      <c r="V13" s="7">
        <v>2.5</v>
      </c>
      <c r="W13" s="6">
        <v>12.5</v>
      </c>
      <c r="X13" s="8">
        <v>1000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12</v>
      </c>
      <c r="V14" s="7">
        <v>2.5</v>
      </c>
      <c r="W14" s="6">
        <v>12.5</v>
      </c>
      <c r="X14" s="8">
        <v>1000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12</v>
      </c>
      <c r="V15" s="7">
        <v>2.5</v>
      </c>
      <c r="W15" s="6">
        <v>12.5</v>
      </c>
      <c r="X15" s="8">
        <v>1250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12</v>
      </c>
      <c r="V16" s="7">
        <v>2.5</v>
      </c>
      <c r="W16" s="6">
        <v>12.5</v>
      </c>
      <c r="X16" s="8">
        <v>2000</v>
      </c>
      <c r="AF16" s="6"/>
      <c r="AG16" s="6"/>
      <c r="AH16" s="6"/>
      <c r="AI16" s="6"/>
      <c r="AJ16" s="6"/>
    </row>
    <row r="17" spans="2:36" x14ac:dyDescent="0.3">
      <c r="T17" s="5">
        <v>12</v>
      </c>
      <c r="U17" s="6">
        <v>12</v>
      </c>
      <c r="V17" s="7">
        <v>2.5</v>
      </c>
      <c r="W17" s="6">
        <v>12.5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12</v>
      </c>
      <c r="V18" s="7">
        <v>2.5</v>
      </c>
      <c r="W18" s="6">
        <v>12.5</v>
      </c>
      <c r="X18" s="8">
        <v>2000</v>
      </c>
    </row>
    <row r="19" spans="2:36" x14ac:dyDescent="0.3">
      <c r="T19" s="5">
        <v>14</v>
      </c>
      <c r="U19" s="6">
        <v>12</v>
      </c>
      <c r="V19" s="7">
        <v>1.6666666666666665</v>
      </c>
      <c r="W19" s="6">
        <v>8.3333333333333321</v>
      </c>
      <c r="X19" s="8">
        <v>2000</v>
      </c>
    </row>
    <row r="20" spans="2:36" x14ac:dyDescent="0.3">
      <c r="T20" s="5">
        <v>15</v>
      </c>
      <c r="U20" s="6">
        <v>12</v>
      </c>
      <c r="V20" s="7">
        <v>2.5</v>
      </c>
      <c r="W20" s="6">
        <v>12.5</v>
      </c>
      <c r="X20" s="8">
        <v>2250</v>
      </c>
    </row>
    <row r="21" spans="2:36" x14ac:dyDescent="0.3">
      <c r="T21" s="5">
        <v>16</v>
      </c>
      <c r="U21" s="6">
        <v>12</v>
      </c>
      <c r="V21" s="7">
        <v>2.5</v>
      </c>
      <c r="W21" s="6">
        <v>12.5</v>
      </c>
      <c r="X21" s="8">
        <v>2500</v>
      </c>
    </row>
    <row r="22" spans="2:36" x14ac:dyDescent="0.3">
      <c r="T22" s="5">
        <v>17</v>
      </c>
      <c r="U22" s="6">
        <v>12</v>
      </c>
      <c r="V22" s="7">
        <v>3.75</v>
      </c>
      <c r="W22" s="6">
        <v>18.75</v>
      </c>
      <c r="X22" s="8">
        <v>1500</v>
      </c>
    </row>
    <row r="23" spans="2:36" x14ac:dyDescent="0.3">
      <c r="B23" t="s">
        <v>15</v>
      </c>
      <c r="T23" s="5">
        <v>18</v>
      </c>
      <c r="U23" s="6">
        <v>12</v>
      </c>
      <c r="V23" s="7">
        <v>11.25</v>
      </c>
      <c r="W23" s="6">
        <v>56.25</v>
      </c>
      <c r="X23" s="8">
        <v>1500</v>
      </c>
    </row>
    <row r="24" spans="2:36" x14ac:dyDescent="0.3">
      <c r="B24" t="s">
        <v>16</v>
      </c>
      <c r="T24" s="14">
        <v>19</v>
      </c>
      <c r="U24" s="12">
        <v>12</v>
      </c>
      <c r="V24" s="15">
        <v>15</v>
      </c>
      <c r="W24" s="12">
        <v>75</v>
      </c>
      <c r="X24" s="13">
        <v>2250</v>
      </c>
    </row>
    <row r="25" spans="2:36" ht="16.2" x14ac:dyDescent="0.3">
      <c r="B25" t="s">
        <v>17</v>
      </c>
      <c r="L25" t="s">
        <v>18</v>
      </c>
    </row>
    <row r="26" spans="2:36" ht="16.2" x14ac:dyDescent="0.3">
      <c r="L26" t="s">
        <v>273</v>
      </c>
    </row>
    <row r="27" spans="2:36" x14ac:dyDescent="0.3">
      <c r="B27" s="16" t="s">
        <v>20</v>
      </c>
      <c r="C27">
        <v>11.5612449317697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>
        <v>-21.718799594511779</v>
      </c>
    </row>
    <row r="29" spans="2:36" x14ac:dyDescent="0.3">
      <c r="B29" s="16" t="s">
        <v>25</v>
      </c>
      <c r="C29">
        <v>0.1009498777310828</v>
      </c>
    </row>
    <row r="30" spans="2:36" x14ac:dyDescent="0.3">
      <c r="B30" s="17" t="s">
        <v>26</v>
      </c>
      <c r="C30">
        <v>-8.5362198227310522</v>
      </c>
    </row>
    <row r="31" spans="2:36" x14ac:dyDescent="0.3">
      <c r="B31" s="18" t="s">
        <v>27</v>
      </c>
      <c r="C31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>
        <v>-7.4303289391295362</v>
      </c>
    </row>
    <row r="33" spans="1:39" x14ac:dyDescent="0.3">
      <c r="W33" s="19" t="s">
        <v>31</v>
      </c>
      <c r="X33" s="19"/>
      <c r="Y33" s="19"/>
      <c r="Z33" s="19"/>
    </row>
    <row r="34" spans="1:39" x14ac:dyDescent="0.3">
      <c r="A34" s="4"/>
    </row>
    <row r="35" spans="1:39" ht="16.8" x14ac:dyDescent="0.35">
      <c r="B35" t="s">
        <v>32</v>
      </c>
      <c r="C35">
        <v>0</v>
      </c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7" t="s">
        <v>36</v>
      </c>
      <c r="Q35" s="25" t="s">
        <v>38</v>
      </c>
      <c r="R35" s="26" t="s">
        <v>39</v>
      </c>
      <c r="S35" s="27" t="s">
        <v>40</v>
      </c>
      <c r="T35" s="28" t="s">
        <v>41</v>
      </c>
      <c r="U35" s="29" t="s">
        <v>42</v>
      </c>
      <c r="V35" s="29" t="s">
        <v>43</v>
      </c>
      <c r="W35" s="29" t="s">
        <v>44</v>
      </c>
      <c r="X35" s="29" t="s">
        <v>45</v>
      </c>
      <c r="Y35" s="29" t="s">
        <v>46</v>
      </c>
      <c r="Z35" s="29" t="s">
        <v>47</v>
      </c>
      <c r="AA35" s="29" t="s">
        <v>48</v>
      </c>
      <c r="AB35" s="29" t="s">
        <v>49</v>
      </c>
      <c r="AC35" s="29" t="s">
        <v>50</v>
      </c>
      <c r="AD35" s="29" t="s">
        <v>51</v>
      </c>
      <c r="AE35" s="29" t="s">
        <v>52</v>
      </c>
      <c r="AF35" s="29" t="s">
        <v>53</v>
      </c>
      <c r="AG35" s="29" t="s">
        <v>54</v>
      </c>
      <c r="AH35" s="29" t="s">
        <v>55</v>
      </c>
      <c r="AI35" s="29" t="s">
        <v>56</v>
      </c>
      <c r="AJ35" s="29" t="s">
        <v>57</v>
      </c>
      <c r="AK35" s="29" t="s">
        <v>58</v>
      </c>
      <c r="AL35" s="29" t="s">
        <v>59</v>
      </c>
      <c r="AM35" s="29" t="s">
        <v>60</v>
      </c>
    </row>
    <row r="36" spans="1:39" x14ac:dyDescent="0.3">
      <c r="B36" t="s">
        <v>61</v>
      </c>
      <c r="C36">
        <f>D44</f>
        <v>1.2501017497934029E-59</v>
      </c>
      <c r="F36" s="284"/>
      <c r="G36" s="32" t="s">
        <v>62</v>
      </c>
      <c r="H36" s="33">
        <f t="shared" ref="H36:H54" si="0">(W6*G66)+W6*0.17*((G66^4.8)/((X6^3.8)*4.8))</f>
        <v>0</v>
      </c>
      <c r="I36" s="34" t="s">
        <v>63</v>
      </c>
      <c r="J36" s="35">
        <f t="shared" ref="J36:J54" si="1">W6*(1+0.17*(G66/X6)^3.8)</f>
        <v>12.5</v>
      </c>
      <c r="K36" s="36">
        <v>1</v>
      </c>
      <c r="L36" s="37" t="s">
        <v>61</v>
      </c>
      <c r="M36" s="38" t="s">
        <v>64</v>
      </c>
      <c r="N36" s="39">
        <f>J36+J54+J51</f>
        <v>100</v>
      </c>
      <c r="O36" s="40" t="s">
        <v>65</v>
      </c>
      <c r="P36" s="239">
        <v>0</v>
      </c>
      <c r="Q36" s="255">
        <f>G58</f>
        <v>0</v>
      </c>
      <c r="R36" s="255" t="s">
        <v>39</v>
      </c>
      <c r="S36" s="255">
        <f>I58</f>
        <v>1.2501017497934029E-59</v>
      </c>
      <c r="T36" s="43" t="s">
        <v>75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1</v>
      </c>
      <c r="AK36" s="44">
        <v>0</v>
      </c>
      <c r="AL36" s="44">
        <v>0</v>
      </c>
      <c r="AM36" s="45">
        <v>1</v>
      </c>
    </row>
    <row r="37" spans="1:39" x14ac:dyDescent="0.3">
      <c r="B37" t="s">
        <v>66</v>
      </c>
      <c r="C37">
        <f>E44</f>
        <v>1.1423131356352399E-59</v>
      </c>
      <c r="F37" s="284"/>
      <c r="G37" s="46" t="s">
        <v>67</v>
      </c>
      <c r="H37" s="33">
        <f t="shared" si="0"/>
        <v>0</v>
      </c>
      <c r="I37" s="47" t="s">
        <v>68</v>
      </c>
      <c r="J37" s="35">
        <f t="shared" si="1"/>
        <v>12.5</v>
      </c>
      <c r="K37" s="36">
        <v>2</v>
      </c>
      <c r="L37" s="48"/>
      <c r="M37" s="49" t="s">
        <v>69</v>
      </c>
      <c r="N37" s="50">
        <f>J36+J47+J39+J40+J51</f>
        <v>62.5</v>
      </c>
      <c r="O37" s="51" t="s">
        <v>70</v>
      </c>
      <c r="P37" s="239">
        <v>0</v>
      </c>
      <c r="Q37" s="256"/>
      <c r="R37" s="256"/>
      <c r="S37" s="256"/>
      <c r="T37" s="240" t="s">
        <v>80</v>
      </c>
      <c r="U37" s="53">
        <v>1</v>
      </c>
      <c r="V37" s="53">
        <v>0</v>
      </c>
      <c r="W37" s="53">
        <v>0</v>
      </c>
      <c r="X37" s="53">
        <v>1</v>
      </c>
      <c r="Y37" s="53">
        <v>1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53">
        <v>0</v>
      </c>
      <c r="AH37" s="53">
        <v>0</v>
      </c>
      <c r="AI37" s="53">
        <v>0</v>
      </c>
      <c r="AJ37" s="53">
        <v>1</v>
      </c>
      <c r="AK37" s="53">
        <v>0</v>
      </c>
      <c r="AL37" s="53">
        <v>0</v>
      </c>
      <c r="AM37" s="54">
        <v>0</v>
      </c>
    </row>
    <row r="38" spans="1:39" x14ac:dyDescent="0.3">
      <c r="B38" t="s">
        <v>71</v>
      </c>
      <c r="C38">
        <f>D45</f>
        <v>5.8929595814988481E-63</v>
      </c>
      <c r="F38" s="284"/>
      <c r="G38" s="46" t="s">
        <v>72</v>
      </c>
      <c r="H38" s="33">
        <f t="shared" si="0"/>
        <v>0</v>
      </c>
      <c r="I38" s="47" t="s">
        <v>73</v>
      </c>
      <c r="J38" s="35">
        <f t="shared" si="1"/>
        <v>8.3333333333333321</v>
      </c>
      <c r="K38" s="36">
        <v>3</v>
      </c>
      <c r="L38" s="48"/>
      <c r="M38" s="49" t="s">
        <v>74</v>
      </c>
      <c r="N38" s="50">
        <f>J36+J47+J39+J49+J43</f>
        <v>58.333333333333329</v>
      </c>
      <c r="O38" s="51" t="s">
        <v>75</v>
      </c>
      <c r="P38" s="239">
        <v>0</v>
      </c>
      <c r="Q38" s="256"/>
      <c r="R38" s="256"/>
      <c r="S38" s="256"/>
      <c r="T38" s="240" t="s">
        <v>84</v>
      </c>
      <c r="U38" s="53">
        <v>1</v>
      </c>
      <c r="V38" s="53">
        <v>0</v>
      </c>
      <c r="W38" s="53">
        <v>0</v>
      </c>
      <c r="X38" s="53">
        <v>1</v>
      </c>
      <c r="Y38" s="53">
        <v>0</v>
      </c>
      <c r="Z38" s="53">
        <v>0</v>
      </c>
      <c r="AA38" s="53">
        <v>0</v>
      </c>
      <c r="AB38" s="53">
        <v>1</v>
      </c>
      <c r="AC38" s="53">
        <v>0</v>
      </c>
      <c r="AD38" s="53">
        <v>0</v>
      </c>
      <c r="AE38" s="53">
        <v>0</v>
      </c>
      <c r="AF38" s="53">
        <v>1</v>
      </c>
      <c r="AG38" s="53">
        <v>0</v>
      </c>
      <c r="AH38" s="53">
        <v>1</v>
      </c>
      <c r="AI38" s="53">
        <v>0</v>
      </c>
      <c r="AJ38" s="53">
        <v>0</v>
      </c>
      <c r="AK38" s="53">
        <v>0</v>
      </c>
      <c r="AL38" s="53">
        <v>0</v>
      </c>
      <c r="AM38" s="54">
        <v>0</v>
      </c>
    </row>
    <row r="39" spans="1:39" x14ac:dyDescent="0.3">
      <c r="B39" t="s">
        <v>76</v>
      </c>
      <c r="C39">
        <f>E45</f>
        <v>5.3848457846140746E-63</v>
      </c>
      <c r="F39" s="284"/>
      <c r="G39" s="46" t="s">
        <v>77</v>
      </c>
      <c r="H39" s="33">
        <f t="shared" si="0"/>
        <v>0</v>
      </c>
      <c r="I39" s="47" t="s">
        <v>78</v>
      </c>
      <c r="J39" s="35">
        <f t="shared" si="1"/>
        <v>12.5</v>
      </c>
      <c r="K39" s="36">
        <v>4</v>
      </c>
      <c r="L39" s="48"/>
      <c r="M39" s="49" t="s">
        <v>79</v>
      </c>
      <c r="N39" s="50">
        <f>J36+J47+J48+J42+J43</f>
        <v>58.333333333333329</v>
      </c>
      <c r="O39" s="51" t="s">
        <v>80</v>
      </c>
      <c r="P39" s="239">
        <v>0</v>
      </c>
      <c r="Q39" s="256"/>
      <c r="R39" s="256"/>
      <c r="S39" s="256"/>
      <c r="T39" s="240" t="s">
        <v>88</v>
      </c>
      <c r="U39" s="53">
        <v>1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1</v>
      </c>
      <c r="AB39" s="53">
        <v>1</v>
      </c>
      <c r="AC39" s="53">
        <v>0</v>
      </c>
      <c r="AD39" s="53">
        <v>0</v>
      </c>
      <c r="AE39" s="53">
        <v>0</v>
      </c>
      <c r="AF39" s="53">
        <v>1</v>
      </c>
      <c r="AG39" s="53">
        <v>1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4">
        <v>0</v>
      </c>
    </row>
    <row r="40" spans="1:39" x14ac:dyDescent="0.3">
      <c r="F40" s="284"/>
      <c r="G40" s="46" t="s">
        <v>81</v>
      </c>
      <c r="H40" s="33">
        <f t="shared" si="0"/>
        <v>0</v>
      </c>
      <c r="I40" s="47" t="s">
        <v>82</v>
      </c>
      <c r="J40" s="35">
        <f t="shared" si="1"/>
        <v>12.5</v>
      </c>
      <c r="K40" s="36">
        <v>5</v>
      </c>
      <c r="L40" s="48"/>
      <c r="M40" s="49" t="s">
        <v>83</v>
      </c>
      <c r="N40" s="50">
        <f>J45+J38+J39+J40+J51</f>
        <v>58.333333333333329</v>
      </c>
      <c r="O40" s="51" t="s">
        <v>84</v>
      </c>
      <c r="P40" s="239">
        <v>0</v>
      </c>
      <c r="Q40" s="256"/>
      <c r="R40" s="256"/>
      <c r="S40" s="256"/>
      <c r="T40" s="240" t="s">
        <v>92</v>
      </c>
      <c r="U40" s="53">
        <v>0</v>
      </c>
      <c r="V40" s="53">
        <v>0</v>
      </c>
      <c r="W40" s="53">
        <v>1</v>
      </c>
      <c r="X40" s="53">
        <v>1</v>
      </c>
      <c r="Y40" s="53">
        <v>1</v>
      </c>
      <c r="Z40" s="53">
        <v>0</v>
      </c>
      <c r="AA40" s="53">
        <v>0</v>
      </c>
      <c r="AB40" s="53">
        <v>0</v>
      </c>
      <c r="AC40" s="53">
        <v>0</v>
      </c>
      <c r="AD40" s="53">
        <v>1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</v>
      </c>
      <c r="AK40" s="53">
        <v>0</v>
      </c>
      <c r="AL40" s="53">
        <v>0</v>
      </c>
      <c r="AM40" s="54">
        <v>0</v>
      </c>
    </row>
    <row r="41" spans="1:39" x14ac:dyDescent="0.3">
      <c r="F41" s="284"/>
      <c r="G41" s="46" t="s">
        <v>85</v>
      </c>
      <c r="H41" s="33">
        <f t="shared" si="0"/>
        <v>0</v>
      </c>
      <c r="I41" s="47" t="s">
        <v>86</v>
      </c>
      <c r="J41" s="35">
        <f t="shared" si="1"/>
        <v>8.3333333333333321</v>
      </c>
      <c r="K41" s="36">
        <v>6</v>
      </c>
      <c r="L41" s="48"/>
      <c r="M41" s="49" t="s">
        <v>87</v>
      </c>
      <c r="N41" s="50">
        <f>J45+J38+J39+J49+J43</f>
        <v>54.166666666666657</v>
      </c>
      <c r="O41" s="51" t="s">
        <v>88</v>
      </c>
      <c r="P41" s="239">
        <v>0</v>
      </c>
      <c r="Q41" s="256"/>
      <c r="R41" s="256"/>
      <c r="S41" s="256"/>
      <c r="T41" s="240" t="s">
        <v>96</v>
      </c>
      <c r="U41" s="53">
        <v>0</v>
      </c>
      <c r="V41" s="53">
        <v>0</v>
      </c>
      <c r="W41" s="53">
        <v>1</v>
      </c>
      <c r="X41" s="53">
        <v>1</v>
      </c>
      <c r="Y41" s="53">
        <v>0</v>
      </c>
      <c r="Z41" s="53">
        <v>0</v>
      </c>
      <c r="AA41" s="53">
        <v>0</v>
      </c>
      <c r="AB41" s="53">
        <v>1</v>
      </c>
      <c r="AC41" s="53">
        <v>0</v>
      </c>
      <c r="AD41" s="53">
        <v>1</v>
      </c>
      <c r="AE41" s="53">
        <v>0</v>
      </c>
      <c r="AF41" s="53">
        <v>0</v>
      </c>
      <c r="AG41" s="53">
        <v>0</v>
      </c>
      <c r="AH41" s="53">
        <v>1</v>
      </c>
      <c r="AI41" s="53">
        <v>0</v>
      </c>
      <c r="AJ41" s="53">
        <v>0</v>
      </c>
      <c r="AK41" s="53">
        <v>0</v>
      </c>
      <c r="AL41" s="53">
        <v>0</v>
      </c>
      <c r="AM41" s="54">
        <v>0</v>
      </c>
    </row>
    <row r="42" spans="1:39" x14ac:dyDescent="0.3">
      <c r="C42" s="6"/>
      <c r="F42" s="284"/>
      <c r="G42" s="46" t="s">
        <v>89</v>
      </c>
      <c r="H42" s="33">
        <f t="shared" si="0"/>
        <v>0</v>
      </c>
      <c r="I42" s="47" t="s">
        <v>90</v>
      </c>
      <c r="J42" s="35">
        <f t="shared" si="1"/>
        <v>8.3333333333333321</v>
      </c>
      <c r="K42" s="36">
        <v>7</v>
      </c>
      <c r="L42" s="48"/>
      <c r="M42" s="49" t="s">
        <v>91</v>
      </c>
      <c r="N42" s="50">
        <f>J45+J38+J48+J42+J43</f>
        <v>54.166666666666657</v>
      </c>
      <c r="O42" s="51" t="s">
        <v>92</v>
      </c>
      <c r="P42" s="239">
        <v>0</v>
      </c>
      <c r="Q42" s="256"/>
      <c r="R42" s="256"/>
      <c r="S42" s="256"/>
      <c r="T42" s="240" t="s">
        <v>100</v>
      </c>
      <c r="U42" s="53">
        <v>0</v>
      </c>
      <c r="V42" s="53">
        <v>0</v>
      </c>
      <c r="W42" s="53">
        <v>1</v>
      </c>
      <c r="X42" s="53">
        <v>0</v>
      </c>
      <c r="Y42" s="53">
        <v>0</v>
      </c>
      <c r="Z42" s="53">
        <v>0</v>
      </c>
      <c r="AA42" s="53">
        <v>1</v>
      </c>
      <c r="AB42" s="53">
        <v>1</v>
      </c>
      <c r="AC42" s="53">
        <v>0</v>
      </c>
      <c r="AD42" s="53">
        <v>1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4">
        <v>0</v>
      </c>
    </row>
    <row r="43" spans="1:39" x14ac:dyDescent="0.3">
      <c r="A43" t="str">
        <f>Gravity!N155</f>
        <v>O/D</v>
      </c>
      <c r="B43" t="str">
        <f>Gravity!O155</f>
        <v>A</v>
      </c>
      <c r="C43" t="str">
        <f>Gravity!P155</f>
        <v>B</v>
      </c>
      <c r="D43" t="str">
        <f>Gravity!Q155</f>
        <v>C</v>
      </c>
      <c r="E43" t="str">
        <f>Gravity!R155</f>
        <v>D</v>
      </c>
      <c r="F43" s="284"/>
      <c r="G43" s="46" t="s">
        <v>93</v>
      </c>
      <c r="H43" s="33">
        <f t="shared" si="0"/>
        <v>0</v>
      </c>
      <c r="I43" s="47" t="s">
        <v>94</v>
      </c>
      <c r="J43" s="35">
        <f t="shared" si="1"/>
        <v>12.5</v>
      </c>
      <c r="K43" s="36">
        <v>8</v>
      </c>
      <c r="L43" s="56"/>
      <c r="M43" s="57" t="s">
        <v>95</v>
      </c>
      <c r="N43" s="58">
        <f>J45+J46+J41+J42+J43</f>
        <v>54.166666666666657</v>
      </c>
      <c r="O43" s="59" t="s">
        <v>96</v>
      </c>
      <c r="P43" s="239">
        <v>0</v>
      </c>
      <c r="Q43" s="257"/>
      <c r="R43" s="257"/>
      <c r="S43" s="257"/>
      <c r="T43" s="238" t="s">
        <v>104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61">
        <v>1</v>
      </c>
      <c r="AB43" s="61">
        <v>1</v>
      </c>
      <c r="AC43" s="61">
        <v>0</v>
      </c>
      <c r="AD43" s="61">
        <v>1</v>
      </c>
      <c r="AE43" s="61">
        <v>1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2">
        <v>0</v>
      </c>
    </row>
    <row r="44" spans="1:39" x14ac:dyDescent="0.3">
      <c r="A44" t="str">
        <f>Gravity!N156</f>
        <v>A</v>
      </c>
      <c r="B44">
        <f>Gravity!AH156</f>
        <v>588.5669660084626</v>
      </c>
      <c r="C44" t="e">
        <f>Gravity!AI156</f>
        <v>#DIV/0!</v>
      </c>
      <c r="D44">
        <f>Gravity!AJ156</f>
        <v>1.2501017497934029E-59</v>
      </c>
      <c r="E44">
        <f>Gravity!AK156</f>
        <v>1.1423131356352399E-59</v>
      </c>
      <c r="F44" s="284"/>
      <c r="G44" s="46" t="s">
        <v>97</v>
      </c>
      <c r="H44" s="33">
        <f t="shared" si="0"/>
        <v>0</v>
      </c>
      <c r="I44" s="47" t="s">
        <v>98</v>
      </c>
      <c r="J44" s="35">
        <f t="shared" si="1"/>
        <v>12.5</v>
      </c>
      <c r="K44" s="36">
        <v>9</v>
      </c>
      <c r="L44" s="37" t="s">
        <v>66</v>
      </c>
      <c r="M44" s="38" t="s">
        <v>272</v>
      </c>
      <c r="N44" s="39">
        <f>J36+J47+J39+J49+J40</f>
        <v>58.333333333333329</v>
      </c>
      <c r="O44" s="40" t="s">
        <v>100</v>
      </c>
      <c r="P44" s="239">
        <v>0</v>
      </c>
      <c r="Q44" s="255">
        <f>G59</f>
        <v>0</v>
      </c>
      <c r="R44" s="255" t="s">
        <v>39</v>
      </c>
      <c r="S44" s="255">
        <f>I59</f>
        <v>1.1423131356352399E-59</v>
      </c>
      <c r="T44" s="43" t="s">
        <v>108</v>
      </c>
      <c r="U44" s="44">
        <v>1</v>
      </c>
      <c r="V44" s="44">
        <v>0</v>
      </c>
      <c r="W44" s="44">
        <v>0</v>
      </c>
      <c r="X44" s="44">
        <v>1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0</v>
      </c>
      <c r="AH44" s="44">
        <v>1</v>
      </c>
      <c r="AI44" s="44">
        <v>0</v>
      </c>
      <c r="AJ44" s="44">
        <v>0</v>
      </c>
      <c r="AK44" s="44">
        <v>0</v>
      </c>
      <c r="AL44" s="44">
        <v>0</v>
      </c>
      <c r="AM44" s="45">
        <v>0</v>
      </c>
    </row>
    <row r="45" spans="1:39" x14ac:dyDescent="0.3">
      <c r="A45" t="str">
        <f>Gravity!N157</f>
        <v>B</v>
      </c>
      <c r="B45" t="e">
        <f>Gravity!AH157</f>
        <v>#DIV/0!</v>
      </c>
      <c r="C45">
        <f>Gravity!AI157</f>
        <v>166.60775791448987</v>
      </c>
      <c r="D45">
        <f>Gravity!AJ157</f>
        <v>5.8929595814988481E-63</v>
      </c>
      <c r="E45">
        <f>Gravity!AK157</f>
        <v>5.3848457846140746E-63</v>
      </c>
      <c r="F45" s="284"/>
      <c r="G45" s="46" t="s">
        <v>101</v>
      </c>
      <c r="H45" s="33">
        <f t="shared" si="0"/>
        <v>0</v>
      </c>
      <c r="I45" s="47" t="s">
        <v>102</v>
      </c>
      <c r="J45" s="35">
        <f t="shared" si="1"/>
        <v>12.5</v>
      </c>
      <c r="K45" s="36">
        <v>10</v>
      </c>
      <c r="L45" s="48"/>
      <c r="M45" s="49" t="s">
        <v>103</v>
      </c>
      <c r="N45" s="50">
        <f>J36+J47+J48+J42+J50</f>
        <v>58.333333333333329</v>
      </c>
      <c r="O45" s="51" t="s">
        <v>104</v>
      </c>
      <c r="P45" s="239">
        <v>0</v>
      </c>
      <c r="Q45" s="256"/>
      <c r="R45" s="256"/>
      <c r="S45" s="256"/>
      <c r="T45" s="240" t="s">
        <v>112</v>
      </c>
      <c r="U45" s="53">
        <v>1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1</v>
      </c>
      <c r="AB45" s="53">
        <v>0</v>
      </c>
      <c r="AC45" s="53">
        <v>0</v>
      </c>
      <c r="AD45" s="53">
        <v>0</v>
      </c>
      <c r="AE45" s="53">
        <v>0</v>
      </c>
      <c r="AF45" s="53">
        <v>1</v>
      </c>
      <c r="AG45" s="53">
        <v>1</v>
      </c>
      <c r="AH45" s="53">
        <v>0</v>
      </c>
      <c r="AI45" s="53">
        <v>1</v>
      </c>
      <c r="AJ45" s="53">
        <v>0</v>
      </c>
      <c r="AK45" s="53">
        <v>0</v>
      </c>
      <c r="AL45" s="53">
        <v>0</v>
      </c>
      <c r="AM45" s="54">
        <v>0</v>
      </c>
    </row>
    <row r="46" spans="1:39" x14ac:dyDescent="0.3">
      <c r="A46" t="str">
        <f>Gravity!N158</f>
        <v>C</v>
      </c>
      <c r="B46">
        <f>Gravity!AH158</f>
        <v>5.1865551702210108E-60</v>
      </c>
      <c r="C46">
        <f>Gravity!AI158</f>
        <v>3.6782518090263173E-63</v>
      </c>
      <c r="D46">
        <f>Gravity!AJ158</f>
        <v>73.192388825824651</v>
      </c>
      <c r="E46" t="e">
        <f>Gravity!AK158</f>
        <v>#DIV/0!</v>
      </c>
      <c r="F46" s="284"/>
      <c r="G46" s="46" t="s">
        <v>105</v>
      </c>
      <c r="H46" s="33">
        <f t="shared" si="0"/>
        <v>0</v>
      </c>
      <c r="I46" s="47" t="s">
        <v>106</v>
      </c>
      <c r="J46" s="35">
        <f t="shared" si="1"/>
        <v>12.5</v>
      </c>
      <c r="K46" s="36">
        <v>11</v>
      </c>
      <c r="L46" s="48"/>
      <c r="M46" s="49" t="s">
        <v>107</v>
      </c>
      <c r="N46" s="50">
        <f>J45+J38+J39+J49+J50</f>
        <v>54.166666666666657</v>
      </c>
      <c r="O46" s="51" t="s">
        <v>108</v>
      </c>
      <c r="P46" s="239">
        <v>0</v>
      </c>
      <c r="Q46" s="256"/>
      <c r="R46" s="256"/>
      <c r="S46" s="256"/>
      <c r="T46" s="240" t="s">
        <v>116</v>
      </c>
      <c r="U46" s="53">
        <v>0</v>
      </c>
      <c r="V46" s="53">
        <v>0</v>
      </c>
      <c r="W46" s="53">
        <v>1</v>
      </c>
      <c r="X46" s="53">
        <v>1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1</v>
      </c>
      <c r="AE46" s="53">
        <v>0</v>
      </c>
      <c r="AF46" s="53">
        <v>0</v>
      </c>
      <c r="AG46" s="53">
        <v>0</v>
      </c>
      <c r="AH46" s="53">
        <v>1</v>
      </c>
      <c r="AI46" s="53">
        <v>1</v>
      </c>
      <c r="AJ46" s="53">
        <v>0</v>
      </c>
      <c r="AK46" s="53">
        <v>0</v>
      </c>
      <c r="AL46" s="53">
        <v>0</v>
      </c>
      <c r="AM46" s="54">
        <v>0</v>
      </c>
    </row>
    <row r="47" spans="1:39" x14ac:dyDescent="0.3">
      <c r="A47" t="str">
        <f>Gravity!N159</f>
        <v>D</v>
      </c>
      <c r="B47">
        <f>Gravity!AH159</f>
        <v>5.5182297486253719E-60</v>
      </c>
      <c r="C47">
        <f>Gravity!AI159</f>
        <v>3.913472023211737E-63</v>
      </c>
      <c r="D47" t="e">
        <f>Gravity!AJ159</f>
        <v>#DIV/0!</v>
      </c>
      <c r="E47">
        <f>Gravity!AK159</f>
        <v>71.158454290025176</v>
      </c>
      <c r="F47" s="284"/>
      <c r="G47" s="46" t="s">
        <v>109</v>
      </c>
      <c r="H47" s="33">
        <f t="shared" si="0"/>
        <v>0</v>
      </c>
      <c r="I47" s="47" t="s">
        <v>110</v>
      </c>
      <c r="J47" s="35">
        <f t="shared" si="1"/>
        <v>12.5</v>
      </c>
      <c r="K47" s="36">
        <v>12</v>
      </c>
      <c r="L47" s="48"/>
      <c r="M47" s="49" t="s">
        <v>111</v>
      </c>
      <c r="N47" s="50">
        <f>J45+J38+J48+J42+J50</f>
        <v>54.166666666666657</v>
      </c>
      <c r="O47" s="51" t="s">
        <v>112</v>
      </c>
      <c r="P47" s="239">
        <v>0</v>
      </c>
      <c r="Q47" s="256"/>
      <c r="R47" s="256"/>
      <c r="S47" s="256"/>
      <c r="T47" s="240" t="s">
        <v>120</v>
      </c>
      <c r="U47" s="53">
        <v>0</v>
      </c>
      <c r="V47" s="53">
        <v>0</v>
      </c>
      <c r="W47" s="53">
        <v>1</v>
      </c>
      <c r="X47" s="53">
        <v>0</v>
      </c>
      <c r="Y47" s="53">
        <v>0</v>
      </c>
      <c r="Z47" s="53">
        <v>0</v>
      </c>
      <c r="AA47" s="53">
        <v>1</v>
      </c>
      <c r="AB47" s="53">
        <v>0</v>
      </c>
      <c r="AC47" s="53">
        <v>0</v>
      </c>
      <c r="AD47" s="53">
        <v>1</v>
      </c>
      <c r="AE47" s="53">
        <v>0</v>
      </c>
      <c r="AF47" s="53">
        <v>0</v>
      </c>
      <c r="AG47" s="53">
        <v>1</v>
      </c>
      <c r="AH47" s="53">
        <v>0</v>
      </c>
      <c r="AI47" s="53">
        <v>1</v>
      </c>
      <c r="AJ47" s="53">
        <v>0</v>
      </c>
      <c r="AK47" s="53">
        <v>0</v>
      </c>
      <c r="AL47" s="53">
        <v>0</v>
      </c>
      <c r="AM47" s="54">
        <v>0</v>
      </c>
    </row>
    <row r="48" spans="1:39" x14ac:dyDescent="0.3">
      <c r="F48" s="284"/>
      <c r="G48" s="46" t="s">
        <v>113</v>
      </c>
      <c r="H48" s="33">
        <f t="shared" si="0"/>
        <v>0</v>
      </c>
      <c r="I48" s="47" t="s">
        <v>114</v>
      </c>
      <c r="J48" s="35">
        <f t="shared" si="1"/>
        <v>12.5</v>
      </c>
      <c r="K48" s="36">
        <v>13</v>
      </c>
      <c r="L48" s="48"/>
      <c r="M48" s="49" t="s">
        <v>115</v>
      </c>
      <c r="N48" s="50">
        <f>J45+J46+J41+J42+J50</f>
        <v>54.166666666666657</v>
      </c>
      <c r="O48" s="51" t="s">
        <v>116</v>
      </c>
      <c r="P48" s="239">
        <v>0</v>
      </c>
      <c r="Q48" s="256"/>
      <c r="R48" s="256"/>
      <c r="S48" s="256"/>
      <c r="T48" s="240" t="s">
        <v>124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1</v>
      </c>
      <c r="AA48" s="53">
        <v>1</v>
      </c>
      <c r="AB48" s="53">
        <v>0</v>
      </c>
      <c r="AC48" s="53">
        <v>0</v>
      </c>
      <c r="AD48" s="53">
        <v>1</v>
      </c>
      <c r="AE48" s="53">
        <v>1</v>
      </c>
      <c r="AF48" s="53">
        <v>0</v>
      </c>
      <c r="AG48" s="53">
        <v>0</v>
      </c>
      <c r="AH48" s="53">
        <v>0</v>
      </c>
      <c r="AI48" s="53">
        <v>1</v>
      </c>
      <c r="AJ48" s="53">
        <v>0</v>
      </c>
      <c r="AK48" s="53">
        <v>0</v>
      </c>
      <c r="AL48" s="53">
        <v>0</v>
      </c>
      <c r="AM48" s="54">
        <v>0</v>
      </c>
    </row>
    <row r="49" spans="3:39" x14ac:dyDescent="0.3">
      <c r="F49" s="284"/>
      <c r="G49" s="46" t="s">
        <v>117</v>
      </c>
      <c r="H49" s="33">
        <f t="shared" si="0"/>
        <v>0</v>
      </c>
      <c r="I49" s="47" t="s">
        <v>118</v>
      </c>
      <c r="J49" s="35">
        <f t="shared" si="1"/>
        <v>8.3333333333333321</v>
      </c>
      <c r="K49" s="36">
        <v>14</v>
      </c>
      <c r="L49" s="56"/>
      <c r="M49" s="57" t="s">
        <v>119</v>
      </c>
      <c r="N49" s="58">
        <f>J45+J46+J53+J44</f>
        <v>93.75</v>
      </c>
      <c r="O49" s="59" t="s">
        <v>120</v>
      </c>
      <c r="P49" s="239">
        <v>0</v>
      </c>
      <c r="Q49" s="257"/>
      <c r="R49" s="257"/>
      <c r="S49" s="257"/>
      <c r="T49" s="238" t="s">
        <v>128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1</v>
      </c>
      <c r="AD49" s="61">
        <v>1</v>
      </c>
      <c r="AE49" s="61">
        <v>1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1</v>
      </c>
      <c r="AM49" s="62">
        <v>0</v>
      </c>
    </row>
    <row r="50" spans="3:39" x14ac:dyDescent="0.3">
      <c r="C50" s="6"/>
      <c r="F50" s="284"/>
      <c r="G50" s="46" t="s">
        <v>121</v>
      </c>
      <c r="H50" s="33">
        <f t="shared" si="0"/>
        <v>0</v>
      </c>
      <c r="I50" s="47" t="s">
        <v>122</v>
      </c>
      <c r="J50" s="35">
        <f t="shared" si="1"/>
        <v>12.5</v>
      </c>
      <c r="K50" s="36">
        <v>15</v>
      </c>
      <c r="L50" s="37" t="s">
        <v>71</v>
      </c>
      <c r="M50" s="38" t="s">
        <v>123</v>
      </c>
      <c r="N50" s="39">
        <f>J37+J46+J41+J42+J43</f>
        <v>54.166666666666657</v>
      </c>
      <c r="O50" s="40" t="s">
        <v>124</v>
      </c>
      <c r="P50" s="239">
        <v>0</v>
      </c>
      <c r="Q50" s="255">
        <f>G60</f>
        <v>0</v>
      </c>
      <c r="R50" s="255" t="s">
        <v>39</v>
      </c>
      <c r="S50" s="255">
        <f>I60</f>
        <v>5.8929595814988481E-63</v>
      </c>
      <c r="T50" s="43" t="s">
        <v>140</v>
      </c>
      <c r="U50" s="44">
        <v>0</v>
      </c>
      <c r="V50" s="44">
        <v>1</v>
      </c>
      <c r="W50" s="44">
        <v>0</v>
      </c>
      <c r="X50" s="44">
        <v>0</v>
      </c>
      <c r="Y50" s="44">
        <v>0</v>
      </c>
      <c r="Z50" s="44">
        <v>1</v>
      </c>
      <c r="AA50" s="44">
        <v>1</v>
      </c>
      <c r="AB50" s="44">
        <v>1</v>
      </c>
      <c r="AC50" s="44">
        <v>0</v>
      </c>
      <c r="AD50" s="44">
        <v>0</v>
      </c>
      <c r="AE50" s="44">
        <v>1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5">
        <v>0</v>
      </c>
    </row>
    <row r="51" spans="3:39" x14ac:dyDescent="0.3">
      <c r="F51" s="284"/>
      <c r="G51" s="46" t="s">
        <v>125</v>
      </c>
      <c r="H51" s="33">
        <f t="shared" si="0"/>
        <v>0</v>
      </c>
      <c r="I51" s="47" t="s">
        <v>126</v>
      </c>
      <c r="J51" s="35">
        <f t="shared" si="1"/>
        <v>12.5</v>
      </c>
      <c r="K51" s="36">
        <v>16</v>
      </c>
      <c r="L51" s="48"/>
      <c r="M51" s="49" t="s">
        <v>127</v>
      </c>
      <c r="N51" s="50">
        <f>J37+J38+J39+J40+J51</f>
        <v>58.333333333333329</v>
      </c>
      <c r="O51" s="51" t="s">
        <v>128</v>
      </c>
      <c r="P51" s="239">
        <v>0</v>
      </c>
      <c r="Q51" s="256"/>
      <c r="R51" s="256"/>
      <c r="S51" s="256"/>
      <c r="T51" s="240" t="s">
        <v>143</v>
      </c>
      <c r="U51" s="53">
        <v>0</v>
      </c>
      <c r="V51" s="53">
        <v>1</v>
      </c>
      <c r="W51" s="53">
        <v>1</v>
      </c>
      <c r="X51" s="53">
        <v>1</v>
      </c>
      <c r="Y51" s="53">
        <v>1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1</v>
      </c>
      <c r="AK51" s="53">
        <v>0</v>
      </c>
      <c r="AL51" s="53">
        <v>0</v>
      </c>
      <c r="AM51" s="54">
        <v>0</v>
      </c>
    </row>
    <row r="52" spans="3:39" x14ac:dyDescent="0.3">
      <c r="F52" s="284"/>
      <c r="G52" s="46" t="s">
        <v>129</v>
      </c>
      <c r="H52" s="33">
        <f t="shared" si="0"/>
        <v>0</v>
      </c>
      <c r="I52" s="47" t="s">
        <v>130</v>
      </c>
      <c r="J52" s="35">
        <f t="shared" si="1"/>
        <v>18.75</v>
      </c>
      <c r="K52" s="36">
        <v>17</v>
      </c>
      <c r="L52" s="48"/>
      <c r="M52" s="49" t="s">
        <v>131</v>
      </c>
      <c r="N52" s="50">
        <f>J37+J38+J39+J49+J43</f>
        <v>54.166666666666657</v>
      </c>
      <c r="O52" s="51" t="s">
        <v>132</v>
      </c>
      <c r="P52" s="239">
        <v>0</v>
      </c>
      <c r="Q52" s="256"/>
      <c r="R52" s="256"/>
      <c r="S52" s="256"/>
      <c r="T52" s="240" t="s">
        <v>145</v>
      </c>
      <c r="U52" s="53">
        <v>0</v>
      </c>
      <c r="V52" s="53">
        <v>1</v>
      </c>
      <c r="W52" s="53">
        <v>1</v>
      </c>
      <c r="X52" s="53">
        <v>1</v>
      </c>
      <c r="Y52" s="53">
        <v>0</v>
      </c>
      <c r="Z52" s="53">
        <v>0</v>
      </c>
      <c r="AA52" s="53">
        <v>0</v>
      </c>
      <c r="AB52" s="53">
        <v>1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1</v>
      </c>
      <c r="AI52" s="53">
        <v>0</v>
      </c>
      <c r="AJ52" s="53">
        <v>0</v>
      </c>
      <c r="AK52" s="53">
        <v>0</v>
      </c>
      <c r="AL52" s="53">
        <v>0</v>
      </c>
      <c r="AM52" s="54">
        <v>0</v>
      </c>
    </row>
    <row r="53" spans="3:39" x14ac:dyDescent="0.3">
      <c r="F53" s="284"/>
      <c r="G53" s="46" t="s">
        <v>133</v>
      </c>
      <c r="H53" s="33">
        <f t="shared" si="0"/>
        <v>0</v>
      </c>
      <c r="I53" s="47" t="s">
        <v>134</v>
      </c>
      <c r="J53" s="35">
        <f t="shared" si="1"/>
        <v>56.25</v>
      </c>
      <c r="K53" s="36">
        <v>18</v>
      </c>
      <c r="L53" s="48"/>
      <c r="M53" s="49" t="s">
        <v>135</v>
      </c>
      <c r="N53" s="50">
        <f>J37+J38+J48+J42+J43</f>
        <v>54.166666666666657</v>
      </c>
      <c r="O53" s="51" t="s">
        <v>136</v>
      </c>
      <c r="P53" s="239">
        <v>0</v>
      </c>
      <c r="Q53" s="256"/>
      <c r="R53" s="256"/>
      <c r="S53" s="256"/>
      <c r="T53" s="240" t="s">
        <v>148</v>
      </c>
      <c r="U53" s="53">
        <v>0</v>
      </c>
      <c r="V53" s="53">
        <v>1</v>
      </c>
      <c r="W53" s="53">
        <v>1</v>
      </c>
      <c r="X53" s="53">
        <v>0</v>
      </c>
      <c r="Y53" s="53">
        <v>0</v>
      </c>
      <c r="Z53" s="53">
        <v>0</v>
      </c>
      <c r="AA53" s="53">
        <v>1</v>
      </c>
      <c r="AB53" s="53">
        <v>1</v>
      </c>
      <c r="AC53" s="53">
        <v>0</v>
      </c>
      <c r="AD53" s="53">
        <v>0</v>
      </c>
      <c r="AE53" s="53">
        <v>0</v>
      </c>
      <c r="AF53" s="53">
        <v>0</v>
      </c>
      <c r="AG53" s="53">
        <v>1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4">
        <v>0</v>
      </c>
    </row>
    <row r="54" spans="3:39" x14ac:dyDescent="0.3">
      <c r="F54" s="285"/>
      <c r="G54" s="63" t="s">
        <v>137</v>
      </c>
      <c r="H54" s="33">
        <f t="shared" si="0"/>
        <v>0</v>
      </c>
      <c r="I54" s="64" t="s">
        <v>138</v>
      </c>
      <c r="J54" s="35">
        <f t="shared" si="1"/>
        <v>75</v>
      </c>
      <c r="K54" s="36">
        <v>19</v>
      </c>
      <c r="L54" s="56"/>
      <c r="M54" s="57" t="s">
        <v>139</v>
      </c>
      <c r="N54" s="58">
        <f>J52+J41+J42+J43</f>
        <v>47.916666666666664</v>
      </c>
      <c r="O54" s="59" t="s">
        <v>140</v>
      </c>
      <c r="P54" s="239">
        <v>0</v>
      </c>
      <c r="Q54" s="257"/>
      <c r="R54" s="257"/>
      <c r="S54" s="257"/>
      <c r="T54" s="238" t="s">
        <v>150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1">
        <v>1</v>
      </c>
      <c r="AB54" s="61">
        <v>1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1</v>
      </c>
      <c r="AL54" s="61">
        <v>0</v>
      </c>
      <c r="AM54" s="62">
        <v>0</v>
      </c>
    </row>
    <row r="55" spans="3:39" x14ac:dyDescent="0.3">
      <c r="G55" s="65" t="s">
        <v>141</v>
      </c>
      <c r="H55" s="66">
        <f>SUM(H36:H54)</f>
        <v>0</v>
      </c>
      <c r="K55" s="36">
        <v>20</v>
      </c>
      <c r="L55" s="37" t="s">
        <v>76</v>
      </c>
      <c r="M55" s="38" t="s">
        <v>142</v>
      </c>
      <c r="N55" s="39">
        <f>J37+J38+J39+J49+J50</f>
        <v>54.166666666666657</v>
      </c>
      <c r="O55" s="40" t="s">
        <v>143</v>
      </c>
      <c r="P55" s="239">
        <v>0</v>
      </c>
      <c r="Q55" s="255">
        <f>G61</f>
        <v>0</v>
      </c>
      <c r="R55" s="255" t="s">
        <v>39</v>
      </c>
      <c r="S55" s="255">
        <f>I61</f>
        <v>5.3848457846140746E-63</v>
      </c>
      <c r="T55" s="43" t="s">
        <v>152</v>
      </c>
      <c r="U55" s="44">
        <v>0</v>
      </c>
      <c r="V55" s="44">
        <v>1</v>
      </c>
      <c r="W55" s="44">
        <v>1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  <c r="AJ55" s="44">
        <v>0</v>
      </c>
      <c r="AK55" s="44">
        <v>0</v>
      </c>
      <c r="AL55" s="44">
        <v>0</v>
      </c>
      <c r="AM55" s="45">
        <v>0</v>
      </c>
    </row>
    <row r="56" spans="3:39" x14ac:dyDescent="0.3">
      <c r="K56" s="36">
        <v>21</v>
      </c>
      <c r="L56" s="48"/>
      <c r="M56" s="49" t="s">
        <v>144</v>
      </c>
      <c r="N56" s="50">
        <f>J37+J38+J48+J42+J50</f>
        <v>54.166666666666657</v>
      </c>
      <c r="O56" s="51" t="s">
        <v>145</v>
      </c>
      <c r="P56" s="239">
        <v>0</v>
      </c>
      <c r="Q56" s="256"/>
      <c r="R56" s="256"/>
      <c r="S56" s="256"/>
      <c r="T56" s="240" t="s">
        <v>154</v>
      </c>
      <c r="U56" s="53">
        <v>0</v>
      </c>
      <c r="V56" s="53">
        <v>1</v>
      </c>
      <c r="W56" s="53">
        <v>1</v>
      </c>
      <c r="X56" s="53">
        <v>0</v>
      </c>
      <c r="Y56" s="53">
        <v>0</v>
      </c>
      <c r="Z56" s="53">
        <v>0</v>
      </c>
      <c r="AA56" s="53">
        <v>1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1</v>
      </c>
      <c r="AH56" s="53">
        <v>0</v>
      </c>
      <c r="AI56" s="53">
        <v>1</v>
      </c>
      <c r="AJ56" s="53">
        <v>0</v>
      </c>
      <c r="AK56" s="53">
        <v>0</v>
      </c>
      <c r="AL56" s="53">
        <v>0</v>
      </c>
      <c r="AM56" s="54">
        <v>0</v>
      </c>
    </row>
    <row r="57" spans="3:39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54.166666666666657</v>
      </c>
      <c r="O57" s="51" t="s">
        <v>148</v>
      </c>
      <c r="P57" s="239">
        <v>0</v>
      </c>
      <c r="Q57" s="256"/>
      <c r="R57" s="256"/>
      <c r="S57" s="256"/>
      <c r="T57" s="240" t="s">
        <v>271</v>
      </c>
      <c r="U57" s="53">
        <v>0</v>
      </c>
      <c r="V57" s="53">
        <v>1</v>
      </c>
      <c r="W57" s="53">
        <v>0</v>
      </c>
      <c r="X57" s="53">
        <v>0</v>
      </c>
      <c r="Y57" s="53">
        <v>0</v>
      </c>
      <c r="Z57" s="53">
        <v>1</v>
      </c>
      <c r="AA57" s="53">
        <v>1</v>
      </c>
      <c r="AB57" s="53">
        <v>0</v>
      </c>
      <c r="AC57" s="53">
        <v>0</v>
      </c>
      <c r="AD57" s="53">
        <v>0</v>
      </c>
      <c r="AE57" s="53">
        <v>1</v>
      </c>
      <c r="AF57" s="53">
        <v>0</v>
      </c>
      <c r="AG57" s="53">
        <v>0</v>
      </c>
      <c r="AH57" s="53">
        <v>0</v>
      </c>
      <c r="AI57" s="53">
        <v>1</v>
      </c>
      <c r="AJ57" s="53">
        <v>0</v>
      </c>
      <c r="AK57" s="53">
        <v>0</v>
      </c>
      <c r="AL57" s="53">
        <v>0</v>
      </c>
      <c r="AM57" s="54">
        <v>0</v>
      </c>
    </row>
    <row r="58" spans="3:39" x14ac:dyDescent="0.3">
      <c r="F58" s="70" t="s">
        <v>61</v>
      </c>
      <c r="G58" s="71">
        <f>SUM(P36:P43)</f>
        <v>0</v>
      </c>
      <c r="H58" s="72" t="s">
        <v>39</v>
      </c>
      <c r="I58" s="73">
        <f>C36</f>
        <v>1.2501017497934029E-59</v>
      </c>
      <c r="K58" s="36">
        <v>23</v>
      </c>
      <c r="L58" s="48"/>
      <c r="M58" s="49" t="s">
        <v>149</v>
      </c>
      <c r="N58" s="50">
        <f>J37+J46+J53+J44</f>
        <v>93.75</v>
      </c>
      <c r="O58" s="51" t="s">
        <v>150</v>
      </c>
      <c r="P58" s="239">
        <v>0</v>
      </c>
      <c r="Q58" s="256"/>
      <c r="R58" s="256"/>
      <c r="S58" s="256"/>
      <c r="T58" s="240" t="s">
        <v>270</v>
      </c>
      <c r="U58" s="53">
        <v>0</v>
      </c>
      <c r="V58" s="53">
        <v>1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1</v>
      </c>
      <c r="AD58" s="53">
        <v>0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1</v>
      </c>
      <c r="AM58" s="54">
        <v>0</v>
      </c>
    </row>
    <row r="59" spans="3:39" x14ac:dyDescent="0.3">
      <c r="F59" s="74" t="s">
        <v>66</v>
      </c>
      <c r="G59" s="71">
        <f>SUM(P44:P49)</f>
        <v>0</v>
      </c>
      <c r="H59" s="72" t="s">
        <v>39</v>
      </c>
      <c r="I59" s="73">
        <f t="shared" ref="I59:I61" si="2">C37</f>
        <v>1.1423131356352399E-59</v>
      </c>
      <c r="K59" s="36">
        <v>24</v>
      </c>
      <c r="L59" s="48"/>
      <c r="M59" s="49" t="s">
        <v>151</v>
      </c>
      <c r="N59" s="50">
        <f>J52+J53+J44</f>
        <v>87.5</v>
      </c>
      <c r="O59" s="51" t="s">
        <v>152</v>
      </c>
      <c r="P59" s="239">
        <v>0</v>
      </c>
      <c r="Q59" s="256"/>
      <c r="R59" s="256"/>
      <c r="S59" s="256"/>
      <c r="T59" s="240" t="s">
        <v>269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1</v>
      </c>
      <c r="AL59" s="53">
        <v>1</v>
      </c>
      <c r="AM59" s="54">
        <v>0</v>
      </c>
    </row>
    <row r="60" spans="3:39" x14ac:dyDescent="0.3">
      <c r="F60" s="74" t="s">
        <v>71</v>
      </c>
      <c r="G60" s="71">
        <f>SUM(P50:P54)</f>
        <v>0</v>
      </c>
      <c r="H60" s="72" t="s">
        <v>39</v>
      </c>
      <c r="I60" s="73">
        <f t="shared" si="2"/>
        <v>5.8929595814988481E-63</v>
      </c>
      <c r="K60" s="36">
        <v>25</v>
      </c>
      <c r="L60" s="56"/>
      <c r="M60" s="57" t="s">
        <v>153</v>
      </c>
      <c r="N60" s="58">
        <f>J52+J41+J42+J50</f>
        <v>47.916666666666664</v>
      </c>
      <c r="O60" s="59" t="s">
        <v>154</v>
      </c>
      <c r="P60" s="239">
        <v>0</v>
      </c>
      <c r="Q60" s="257"/>
      <c r="R60" s="257"/>
      <c r="S60" s="257"/>
      <c r="T60" s="238" t="s">
        <v>268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1</v>
      </c>
      <c r="AA60" s="61">
        <v>1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1</v>
      </c>
      <c r="AJ60" s="61">
        <v>0</v>
      </c>
      <c r="AK60" s="61">
        <v>1</v>
      </c>
      <c r="AL60" s="61">
        <v>0</v>
      </c>
      <c r="AM60" s="62">
        <v>0</v>
      </c>
    </row>
    <row r="61" spans="3:39" x14ac:dyDescent="0.3">
      <c r="F61" s="76" t="s">
        <v>76</v>
      </c>
      <c r="G61" s="77">
        <f>SUM(P55:P60)</f>
        <v>0</v>
      </c>
      <c r="H61" s="78" t="s">
        <v>39</v>
      </c>
      <c r="I61" s="73">
        <f t="shared" si="2"/>
        <v>5.3848457846140746E-63</v>
      </c>
      <c r="K61" s="290" t="s">
        <v>155</v>
      </c>
      <c r="L61" s="290"/>
      <c r="M61" s="290"/>
      <c r="N61" s="80">
        <f>SUM(N36:N60)</f>
        <v>1533.3333333333337</v>
      </c>
      <c r="T61" s="229" t="s">
        <v>156</v>
      </c>
      <c r="U61" s="82">
        <f t="shared" ref="U61:AM61" si="3">SUMPRODUCT($P$36:$P$60,U36:U60)</f>
        <v>0</v>
      </c>
      <c r="V61" s="82">
        <f t="shared" si="3"/>
        <v>0</v>
      </c>
      <c r="W61" s="82">
        <f t="shared" si="3"/>
        <v>0</v>
      </c>
      <c r="X61" s="82">
        <f t="shared" si="3"/>
        <v>0</v>
      </c>
      <c r="Y61" s="82">
        <f t="shared" si="3"/>
        <v>0</v>
      </c>
      <c r="Z61" s="82">
        <f t="shared" si="3"/>
        <v>0</v>
      </c>
      <c r="AA61" s="82">
        <f t="shared" si="3"/>
        <v>0</v>
      </c>
      <c r="AB61" s="82">
        <f t="shared" si="3"/>
        <v>0</v>
      </c>
      <c r="AC61" s="82">
        <f t="shared" si="3"/>
        <v>0</v>
      </c>
      <c r="AD61" s="82">
        <f t="shared" si="3"/>
        <v>0</v>
      </c>
      <c r="AE61" s="82">
        <f t="shared" si="3"/>
        <v>0</v>
      </c>
      <c r="AF61" s="82">
        <f t="shared" si="3"/>
        <v>0</v>
      </c>
      <c r="AG61" s="82">
        <f t="shared" si="3"/>
        <v>0</v>
      </c>
      <c r="AH61" s="82">
        <f t="shared" si="3"/>
        <v>0</v>
      </c>
      <c r="AI61" s="82">
        <f t="shared" si="3"/>
        <v>0</v>
      </c>
      <c r="AJ61" s="82">
        <f t="shared" si="3"/>
        <v>0</v>
      </c>
      <c r="AK61" s="82">
        <f t="shared" si="3"/>
        <v>0</v>
      </c>
      <c r="AL61" s="82">
        <f t="shared" si="3"/>
        <v>0</v>
      </c>
      <c r="AM61" s="82">
        <f t="shared" si="3"/>
        <v>0</v>
      </c>
    </row>
    <row r="62" spans="3:39" x14ac:dyDescent="0.3">
      <c r="H62" s="6"/>
      <c r="T62" s="83" t="s">
        <v>157</v>
      </c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</row>
    <row r="63" spans="3:39" x14ac:dyDescent="0.3">
      <c r="H63" s="6"/>
      <c r="T63" s="83" t="s">
        <v>158</v>
      </c>
      <c r="U63" s="84">
        <v>3000</v>
      </c>
      <c r="V63" s="84">
        <v>1500</v>
      </c>
      <c r="W63" s="84">
        <v>2000</v>
      </c>
      <c r="X63" s="84">
        <v>3000</v>
      </c>
      <c r="Y63" s="84">
        <v>2000</v>
      </c>
      <c r="Z63" s="84">
        <v>1500</v>
      </c>
      <c r="AA63" s="84">
        <v>3000</v>
      </c>
      <c r="AB63" s="84">
        <v>1000</v>
      </c>
      <c r="AC63" s="84">
        <v>1000</v>
      </c>
      <c r="AD63" s="84">
        <v>1250</v>
      </c>
      <c r="AE63" s="84">
        <v>2000</v>
      </c>
      <c r="AF63" s="84">
        <v>2000</v>
      </c>
      <c r="AG63" s="84">
        <v>2000</v>
      </c>
      <c r="AH63" s="84">
        <v>2000</v>
      </c>
      <c r="AI63" s="84">
        <v>2250</v>
      </c>
      <c r="AJ63" s="84">
        <v>2500</v>
      </c>
      <c r="AK63" s="84">
        <v>1500</v>
      </c>
      <c r="AL63" s="84">
        <v>1500</v>
      </c>
      <c r="AM63" s="84">
        <v>2250</v>
      </c>
    </row>
    <row r="64" spans="3:39" x14ac:dyDescent="0.3">
      <c r="H64" s="6"/>
      <c r="T64" t="s">
        <v>159</v>
      </c>
      <c r="U64">
        <f t="shared" ref="U64:AM64" si="4">U61/U63</f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  <c r="AG64">
        <f t="shared" si="4"/>
        <v>0</v>
      </c>
      <c r="AH64">
        <f t="shared" si="4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  <c r="AM64">
        <f t="shared" si="4"/>
        <v>0</v>
      </c>
    </row>
    <row r="65" spans="6:39" x14ac:dyDescent="0.3">
      <c r="F65" s="85" t="s">
        <v>160</v>
      </c>
      <c r="H65" s="6"/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</row>
    <row r="66" spans="6:39" x14ac:dyDescent="0.3">
      <c r="F66" s="4" t="s">
        <v>42</v>
      </c>
      <c r="G66" s="4">
        <f>U61</f>
        <v>0</v>
      </c>
      <c r="H66" s="6"/>
      <c r="U66">
        <v>0.6</v>
      </c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</row>
    <row r="67" spans="6:39" x14ac:dyDescent="0.3">
      <c r="F67" s="4" t="s">
        <v>43</v>
      </c>
      <c r="G67" s="4">
        <f>V61</f>
        <v>0</v>
      </c>
      <c r="H67" s="6"/>
    </row>
    <row r="68" spans="6:39" x14ac:dyDescent="0.3">
      <c r="F68" s="4" t="s">
        <v>44</v>
      </c>
      <c r="G68" s="4">
        <f>W61</f>
        <v>0</v>
      </c>
      <c r="H68" s="6"/>
    </row>
    <row r="69" spans="6:39" x14ac:dyDescent="0.3">
      <c r="F69" s="4" t="s">
        <v>45</v>
      </c>
      <c r="G69" s="4">
        <f>X61</f>
        <v>0</v>
      </c>
      <c r="H69" s="6"/>
    </row>
    <row r="70" spans="6:39" x14ac:dyDescent="0.3">
      <c r="F70" s="4" t="s">
        <v>46</v>
      </c>
      <c r="G70" s="4">
        <f>Y61</f>
        <v>0</v>
      </c>
    </row>
    <row r="71" spans="6:39" x14ac:dyDescent="0.3">
      <c r="F71" s="4" t="s">
        <v>47</v>
      </c>
      <c r="G71" s="4">
        <f>Z61</f>
        <v>0</v>
      </c>
    </row>
    <row r="72" spans="6:39" x14ac:dyDescent="0.3">
      <c r="F72" s="4" t="s">
        <v>48</v>
      </c>
      <c r="G72" s="4">
        <f>AA61</f>
        <v>0</v>
      </c>
    </row>
    <row r="73" spans="6:39" x14ac:dyDescent="0.3">
      <c r="F73" s="4" t="s">
        <v>49</v>
      </c>
      <c r="G73" s="4">
        <f>AB61</f>
        <v>0</v>
      </c>
    </row>
    <row r="74" spans="6:39" x14ac:dyDescent="0.3">
      <c r="F74" s="4" t="s">
        <v>50</v>
      </c>
      <c r="G74" s="4">
        <f>AC61</f>
        <v>0</v>
      </c>
    </row>
    <row r="75" spans="6:39" x14ac:dyDescent="0.3">
      <c r="F75" s="4" t="s">
        <v>51</v>
      </c>
      <c r="G75" s="4">
        <f>AD61</f>
        <v>0</v>
      </c>
    </row>
    <row r="76" spans="6:39" x14ac:dyDescent="0.3">
      <c r="F76" s="4" t="s">
        <v>52</v>
      </c>
      <c r="G76" s="4">
        <f>AE61</f>
        <v>0</v>
      </c>
    </row>
    <row r="77" spans="6:39" x14ac:dyDescent="0.3">
      <c r="F77" s="4" t="s">
        <v>53</v>
      </c>
      <c r="G77" s="4">
        <f>AF61</f>
        <v>0</v>
      </c>
    </row>
    <row r="78" spans="6:39" x14ac:dyDescent="0.3">
      <c r="F78" s="4" t="s">
        <v>54</v>
      </c>
      <c r="G78" s="4">
        <f>AG61</f>
        <v>0</v>
      </c>
    </row>
    <row r="79" spans="6:39" x14ac:dyDescent="0.3">
      <c r="F79" s="4" t="s">
        <v>55</v>
      </c>
      <c r="G79" s="4">
        <f>AH61</f>
        <v>0</v>
      </c>
    </row>
    <row r="80" spans="6:39" x14ac:dyDescent="0.3">
      <c r="F80" s="4" t="s">
        <v>56</v>
      </c>
      <c r="G80" s="4">
        <f>AI61</f>
        <v>0</v>
      </c>
    </row>
    <row r="81" spans="6:7" x14ac:dyDescent="0.3">
      <c r="F81" s="4" t="s">
        <v>57</v>
      </c>
      <c r="G81" s="4">
        <f>AJ61</f>
        <v>0</v>
      </c>
    </row>
    <row r="82" spans="6:7" x14ac:dyDescent="0.3">
      <c r="F82" s="4" t="s">
        <v>58</v>
      </c>
      <c r="G82" s="4">
        <f>AK61</f>
        <v>0</v>
      </c>
    </row>
    <row r="83" spans="6:7" x14ac:dyDescent="0.3">
      <c r="F83" s="4" t="s">
        <v>59</v>
      </c>
      <c r="G83" s="4">
        <f>AL61</f>
        <v>0</v>
      </c>
    </row>
    <row r="84" spans="6:7" x14ac:dyDescent="0.3">
      <c r="F84" s="4" t="s">
        <v>60</v>
      </c>
      <c r="G84" s="4">
        <f>AM61</f>
        <v>0</v>
      </c>
    </row>
  </sheetData>
  <mergeCells count="17">
    <mergeCell ref="Q55:Q60"/>
    <mergeCell ref="R55:R60"/>
    <mergeCell ref="S55:S60"/>
    <mergeCell ref="K61:M61"/>
    <mergeCell ref="S36:S43"/>
    <mergeCell ref="Q44:Q49"/>
    <mergeCell ref="R44:R49"/>
    <mergeCell ref="S44:S49"/>
    <mergeCell ref="Q50:Q54"/>
    <mergeCell ref="R50:R54"/>
    <mergeCell ref="S50:S54"/>
    <mergeCell ref="R36:R43"/>
    <mergeCell ref="F35:F54"/>
    <mergeCell ref="G35:H35"/>
    <mergeCell ref="I35:J35"/>
    <mergeCell ref="L35:M35"/>
    <mergeCell ref="Q36:Q43"/>
  </mergeCells>
  <conditionalFormatting sqref="U36:AM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9C8-B5E3-4A85-8A45-191C1C5D21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 Rate</vt:lpstr>
      <vt:lpstr>Trip Length Frequency</vt:lpstr>
      <vt:lpstr>Gravity</vt:lpstr>
      <vt:lpstr>Mode Choice Q</vt:lpstr>
      <vt:lpstr>(Intrigrate UE)Network Auto</vt:lpstr>
      <vt:lpstr>(Intrigrate UE)Network Transit</vt:lpstr>
      <vt:lpstr>(Intrigrate UE)Network Bicycle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2024-01-04T18:07:00Z</dcterms:modified>
</cp:coreProperties>
</file>