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TermProject1\Year 30\"/>
    </mc:Choice>
  </mc:AlternateContent>
  <xr:revisionPtr revIDLastSave="0" documentId="13_ncr:1_{9B614C44-3B2A-4363-8791-CD3D6725B3C8}" xr6:coauthVersionLast="47" xr6:coauthVersionMax="47" xr10:uidLastSave="{00000000-0000-0000-0000-000000000000}"/>
  <bookViews>
    <workbookView xWindow="888" yWindow="0" windowWidth="12108" windowHeight="11424" firstSheet="3" activeTab="4" xr2:uid="{EC1EF53E-14A4-44FC-8593-91E909D8633C}"/>
  </bookViews>
  <sheets>
    <sheet name="Trip Rate" sheetId="3" r:id="rId1"/>
    <sheet name="Trip Length Frequency" sheetId="4" r:id="rId2"/>
    <sheet name="Gravity" sheetId="5" r:id="rId3"/>
    <sheet name="Mode Choice Q" sheetId="6" r:id="rId4"/>
    <sheet name="(Intrigrate UE)Network Auto " sheetId="7" r:id="rId5"/>
  </sheets>
  <externalReferences>
    <externalReference r:id="rId6"/>
    <externalReference r:id="rId7"/>
    <externalReference r:id="rId8"/>
  </externalReferences>
  <definedNames>
    <definedName name="solver_adj" localSheetId="4" hidden="1">'(Intrigrate UE)Network Auto '!$P$36:$P$60</definedName>
    <definedName name="solver_adj" localSheetId="3" hidden="1">'Mode Choice Q'!$V$7:$V$12</definedName>
    <definedName name="solver_cvg" localSheetId="4" hidden="1">0.0001</definedName>
    <definedName name="solver_cvg" localSheetId="3" hidden="1">0.0001</definedName>
    <definedName name="solver_drv" localSheetId="4" hidden="1">1</definedName>
    <definedName name="solver_drv" localSheetId="3" hidden="1">1</definedName>
    <definedName name="solver_eng" localSheetId="4" hidden="1">1</definedName>
    <definedName name="solver_eng" localSheetId="3" hidden="1">1</definedName>
    <definedName name="solver_est" localSheetId="4" hidden="1">1</definedName>
    <definedName name="solver_est" localSheetId="3" hidden="1">1</definedName>
    <definedName name="solver_itr" localSheetId="4" hidden="1">2147483647</definedName>
    <definedName name="solver_itr" localSheetId="3" hidden="1">2147483647</definedName>
    <definedName name="solver_lhs1" localSheetId="4" hidden="1">'(Intrigrate UE)Network Auto '!$G$58:$G$61</definedName>
    <definedName name="solver_lhs2" localSheetId="4" hidden="1">'(Intrigrate UE)Network Auto '!$P$36:$P$60</definedName>
    <definedName name="solver_lhs3" localSheetId="4" hidden="1">'(Intrigrate UE)Network Auto '!$V$61:$AN$61</definedName>
    <definedName name="solver_lhs4" localSheetId="4" hidden="1">'(Intrigrate UE)Network Auto '!$V$64:$AN$64</definedName>
    <definedName name="solver_lhs5" localSheetId="4" hidden="1">'(Intrigrate UE)Network Auto '!$V$64:$AN$64</definedName>
    <definedName name="solver_lin" localSheetId="3" hidden="1">2</definedName>
    <definedName name="solver_mip" localSheetId="4" hidden="1">2147483647</definedName>
    <definedName name="solver_mip" localSheetId="3" hidden="1">2147483647</definedName>
    <definedName name="solver_mni" localSheetId="4" hidden="1">30</definedName>
    <definedName name="solver_mni" localSheetId="3" hidden="1">30</definedName>
    <definedName name="solver_mrt" localSheetId="4" hidden="1">0.075</definedName>
    <definedName name="solver_mrt" localSheetId="3" hidden="1">0.075</definedName>
    <definedName name="solver_msl" localSheetId="4" hidden="1">2</definedName>
    <definedName name="solver_msl" localSheetId="3" hidden="1">2</definedName>
    <definedName name="solver_neg" localSheetId="4" hidden="1">1</definedName>
    <definedName name="solver_neg" localSheetId="3" hidden="1">2</definedName>
    <definedName name="solver_nod" localSheetId="4" hidden="1">2147483647</definedName>
    <definedName name="solver_nod" localSheetId="3" hidden="1">2147483647</definedName>
    <definedName name="solver_num" localSheetId="4" hidden="1">1</definedName>
    <definedName name="solver_num" localSheetId="3" hidden="1">0</definedName>
    <definedName name="solver_nwt" localSheetId="4" hidden="1">1</definedName>
    <definedName name="solver_nwt" localSheetId="3" hidden="1">1</definedName>
    <definedName name="solver_opt" localSheetId="4" hidden="1">'(Intrigrate UE)Network Auto '!$H$55</definedName>
    <definedName name="solver_opt" localSheetId="3" hidden="1">'Mode Choice Q'!$S$18</definedName>
    <definedName name="solver_pre" localSheetId="4" hidden="1">0.000001</definedName>
    <definedName name="solver_pre" localSheetId="3" hidden="1">0.000001</definedName>
    <definedName name="solver_rbv" localSheetId="4" hidden="1">1</definedName>
    <definedName name="solver_rbv" localSheetId="3" hidden="1">1</definedName>
    <definedName name="solver_rel1" localSheetId="4" hidden="1">2</definedName>
    <definedName name="solver_rel2" localSheetId="4" hidden="1">4</definedName>
    <definedName name="solver_rel3" localSheetId="4" hidden="1">1</definedName>
    <definedName name="solver_rel4" localSheetId="4" hidden="1">1</definedName>
    <definedName name="solver_rel5" localSheetId="4" hidden="1">3</definedName>
    <definedName name="solver_rhs1" localSheetId="4" hidden="1">'(Intrigrate UE)Network Auto '!$I$58:$I$61</definedName>
    <definedName name="solver_rhs2" localSheetId="4" hidden="1">"integer"</definedName>
    <definedName name="solver_rhs3" localSheetId="4" hidden="1">'(Intrigrate UE)Network Auto '!$V$63:$AN$63</definedName>
    <definedName name="solver_rhs4" localSheetId="4" hidden="1">'(Intrigrate UE)Network Auto '!$V$66:$AN$66</definedName>
    <definedName name="solver_rhs5" localSheetId="4" hidden="1">'(Intrigrate UE)Network Auto '!$V$65:$AN$65</definedName>
    <definedName name="solver_rlx" localSheetId="4" hidden="1">2</definedName>
    <definedName name="solver_rlx" localSheetId="3" hidden="1">2</definedName>
    <definedName name="solver_rsd" localSheetId="4" hidden="1">0</definedName>
    <definedName name="solver_rsd" localSheetId="3" hidden="1">0</definedName>
    <definedName name="solver_scl" localSheetId="4" hidden="1">1</definedName>
    <definedName name="solver_scl" localSheetId="3" hidden="1">1</definedName>
    <definedName name="solver_sho" localSheetId="4" hidden="1">2</definedName>
    <definedName name="solver_sho" localSheetId="3" hidden="1">2</definedName>
    <definedName name="solver_ssz" localSheetId="4" hidden="1">100</definedName>
    <definedName name="solver_ssz" localSheetId="3" hidden="1">100</definedName>
    <definedName name="solver_tim" localSheetId="4" hidden="1">2147483647</definedName>
    <definedName name="solver_tim" localSheetId="3" hidden="1">2147483647</definedName>
    <definedName name="solver_tol" localSheetId="4" hidden="1">0.01</definedName>
    <definedName name="solver_tol" localSheetId="3" hidden="1">0.01</definedName>
    <definedName name="solver_typ" localSheetId="4" hidden="1">2</definedName>
    <definedName name="solver_typ" localSheetId="3" hidden="1">1</definedName>
    <definedName name="solver_val" localSheetId="4" hidden="1">0</definedName>
    <definedName name="solver_val" localSheetId="3" hidden="1">0</definedName>
    <definedName name="solver_ver" localSheetId="4" hidden="1">3</definedName>
    <definedName name="solver_ver" localSheetId="3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15" i="7" l="1"/>
  <c r="I114" i="7"/>
  <c r="I113" i="7"/>
  <c r="I112" i="7"/>
  <c r="I111" i="7"/>
  <c r="I110" i="7"/>
  <c r="I109" i="7"/>
  <c r="I108" i="7"/>
  <c r="I107" i="7"/>
  <c r="I106" i="7"/>
  <c r="I105" i="7"/>
  <c r="I104" i="7"/>
  <c r="I103" i="7"/>
  <c r="I102" i="7"/>
  <c r="I101" i="7"/>
  <c r="I100" i="7"/>
  <c r="I99" i="7"/>
  <c r="I98" i="7"/>
  <c r="I97" i="7"/>
  <c r="I96" i="7"/>
  <c r="G61" i="7"/>
  <c r="R55" i="7" s="1"/>
  <c r="Q60" i="7"/>
  <c r="G60" i="7"/>
  <c r="R50" i="7" s="1"/>
  <c r="Q59" i="7"/>
  <c r="G59" i="7"/>
  <c r="R44" i="7" s="1"/>
  <c r="Q58" i="7"/>
  <c r="G58" i="7"/>
  <c r="R36" i="7" s="1"/>
  <c r="Q57" i="7"/>
  <c r="Q56" i="7"/>
  <c r="Q55" i="7"/>
  <c r="Q54" i="7"/>
  <c r="Q53" i="7"/>
  <c r="Q52" i="7"/>
  <c r="Q51" i="7"/>
  <c r="Q50" i="7"/>
  <c r="Q49" i="7"/>
  <c r="Q48" i="7"/>
  <c r="Q47" i="7"/>
  <c r="Q46" i="7"/>
  <c r="Q45" i="7"/>
  <c r="Q44" i="7"/>
  <c r="Q43" i="7"/>
  <c r="Q42" i="7"/>
  <c r="Q41" i="7"/>
  <c r="Q40" i="7"/>
  <c r="Q39" i="7"/>
  <c r="Q38" i="7"/>
  <c r="Q37" i="7"/>
  <c r="Q36" i="7"/>
  <c r="E28" i="7"/>
  <c r="E27" i="7"/>
  <c r="E26" i="7"/>
  <c r="E25" i="7"/>
  <c r="V24" i="7"/>
  <c r="I24" i="7"/>
  <c r="H24" i="7"/>
  <c r="G24" i="7"/>
  <c r="F24" i="7"/>
  <c r="E24" i="7"/>
  <c r="V23" i="7"/>
  <c r="V22" i="7"/>
  <c r="V21" i="7"/>
  <c r="V20" i="7"/>
  <c r="V19" i="7"/>
  <c r="V18" i="7"/>
  <c r="V17" i="7"/>
  <c r="V16" i="7"/>
  <c r="V15" i="7"/>
  <c r="V14" i="7"/>
  <c r="V13" i="7"/>
  <c r="V12" i="7"/>
  <c r="V11" i="7"/>
  <c r="V10" i="7"/>
  <c r="AJ9" i="7"/>
  <c r="AI9" i="7"/>
  <c r="AH9" i="7"/>
  <c r="AG9" i="7"/>
  <c r="AF9" i="7"/>
  <c r="V9" i="7"/>
  <c r="AJ8" i="7"/>
  <c r="AI8" i="7"/>
  <c r="AH8" i="7"/>
  <c r="AG8" i="7"/>
  <c r="AF8" i="7"/>
  <c r="V8" i="7"/>
  <c r="AJ7" i="7"/>
  <c r="AI7" i="7"/>
  <c r="AH7" i="7"/>
  <c r="AG7" i="7"/>
  <c r="AF7" i="7"/>
  <c r="V7" i="7"/>
  <c r="AJ6" i="7"/>
  <c r="AI6" i="7"/>
  <c r="AH6" i="7"/>
  <c r="AG6" i="7"/>
  <c r="AF6" i="7"/>
  <c r="V6" i="7"/>
  <c r="AJ5" i="7"/>
  <c r="AI5" i="7"/>
  <c r="AH5" i="7"/>
  <c r="AG5" i="7"/>
  <c r="AF5" i="7"/>
  <c r="G46" i="6"/>
  <c r="G28" i="6" s="1"/>
  <c r="Q28" i="6"/>
  <c r="M28" i="6"/>
  <c r="L28" i="6"/>
  <c r="G47" i="6"/>
  <c r="H47" i="6"/>
  <c r="I47" i="6"/>
  <c r="J47" i="6"/>
  <c r="G48" i="6"/>
  <c r="H48" i="6"/>
  <c r="I48" i="6"/>
  <c r="J48" i="6"/>
  <c r="G49" i="6"/>
  <c r="H49" i="6"/>
  <c r="I49" i="6"/>
  <c r="J49" i="6"/>
  <c r="H46" i="6"/>
  <c r="I46" i="6"/>
  <c r="J46" i="6"/>
  <c r="D35" i="4"/>
  <c r="AI61" i="7" l="1"/>
  <c r="AI67" i="7" s="1"/>
  <c r="Z61" i="7"/>
  <c r="G70" i="7" s="1"/>
  <c r="Y61" i="7"/>
  <c r="G69" i="7" s="1"/>
  <c r="J39" i="7" s="1"/>
  <c r="J100" i="7" s="1"/>
  <c r="AK61" i="7"/>
  <c r="G81" i="7" s="1"/>
  <c r="J51" i="7" s="1"/>
  <c r="J112" i="7" s="1"/>
  <c r="X61" i="7"/>
  <c r="AJ61" i="7"/>
  <c r="AB61" i="7"/>
  <c r="AN61" i="7"/>
  <c r="AA61" i="7"/>
  <c r="AC61" i="7"/>
  <c r="AE61" i="7"/>
  <c r="AF61" i="7"/>
  <c r="AL61" i="7"/>
  <c r="AD61" i="7"/>
  <c r="AG61" i="7"/>
  <c r="AM61" i="7"/>
  <c r="V61" i="7"/>
  <c r="AH61" i="7"/>
  <c r="W61" i="7"/>
  <c r="BQ59" i="5"/>
  <c r="BQ58" i="5"/>
  <c r="I35" i="6"/>
  <c r="T31" i="6"/>
  <c r="T36" i="6" s="1"/>
  <c r="S31" i="6"/>
  <c r="S36" i="6" s="1"/>
  <c r="R31" i="6"/>
  <c r="R36" i="6" s="1"/>
  <c r="Q31" i="6"/>
  <c r="Q36" i="6" s="1"/>
  <c r="O31" i="6"/>
  <c r="O36" i="6" s="1"/>
  <c r="N31" i="6"/>
  <c r="N36" i="6" s="1"/>
  <c r="M31" i="6"/>
  <c r="M36" i="6" s="1"/>
  <c r="L31" i="6"/>
  <c r="L36" i="6" s="1"/>
  <c r="J31" i="6"/>
  <c r="J36" i="6" s="1"/>
  <c r="I31" i="6"/>
  <c r="I36" i="6" s="1"/>
  <c r="H31" i="6"/>
  <c r="H36" i="6" s="1"/>
  <c r="G31" i="6"/>
  <c r="G36" i="6" s="1"/>
  <c r="T30" i="6"/>
  <c r="T35" i="6" s="1"/>
  <c r="S30" i="6"/>
  <c r="S35" i="6" s="1"/>
  <c r="R30" i="6"/>
  <c r="R35" i="6" s="1"/>
  <c r="Q30" i="6"/>
  <c r="Q35" i="6" s="1"/>
  <c r="O30" i="6"/>
  <c r="O35" i="6" s="1"/>
  <c r="N30" i="6"/>
  <c r="N35" i="6" s="1"/>
  <c r="M30" i="6"/>
  <c r="M35" i="6" s="1"/>
  <c r="L30" i="6"/>
  <c r="L35" i="6" s="1"/>
  <c r="J30" i="6"/>
  <c r="J35" i="6" s="1"/>
  <c r="I30" i="6"/>
  <c r="H30" i="6"/>
  <c r="H35" i="6" s="1"/>
  <c r="G30" i="6"/>
  <c r="G35" i="6" s="1"/>
  <c r="T29" i="6"/>
  <c r="T34" i="6" s="1"/>
  <c r="S29" i="6"/>
  <c r="S34" i="6" s="1"/>
  <c r="R29" i="6"/>
  <c r="R34" i="6" s="1"/>
  <c r="Q29" i="6"/>
  <c r="Q34" i="6" s="1"/>
  <c r="O29" i="6"/>
  <c r="O34" i="6" s="1"/>
  <c r="N29" i="6"/>
  <c r="N34" i="6" s="1"/>
  <c r="M29" i="6"/>
  <c r="M34" i="6" s="1"/>
  <c r="L29" i="6"/>
  <c r="L34" i="6" s="1"/>
  <c r="J29" i="6"/>
  <c r="J34" i="6" s="1"/>
  <c r="I29" i="6"/>
  <c r="I34" i="6" s="1"/>
  <c r="H29" i="6"/>
  <c r="H34" i="6" s="1"/>
  <c r="G29" i="6"/>
  <c r="G34" i="6" s="1"/>
  <c r="T28" i="6"/>
  <c r="T33" i="6" s="1"/>
  <c r="S28" i="6"/>
  <c r="S33" i="6" s="1"/>
  <c r="R28" i="6"/>
  <c r="R33" i="6" s="1"/>
  <c r="Q33" i="6"/>
  <c r="O28" i="6"/>
  <c r="O33" i="6" s="1"/>
  <c r="N28" i="6"/>
  <c r="N33" i="6" s="1"/>
  <c r="M33" i="6"/>
  <c r="L33" i="6"/>
  <c r="J28" i="6"/>
  <c r="J33" i="6" s="1"/>
  <c r="I28" i="6"/>
  <c r="I33" i="6" s="1"/>
  <c r="H28" i="6"/>
  <c r="H33" i="6" s="1"/>
  <c r="G33" i="6"/>
  <c r="O17" i="6"/>
  <c r="L17" i="6"/>
  <c r="K17" i="6"/>
  <c r="N17" i="6" s="1"/>
  <c r="Q17" i="6" s="1"/>
  <c r="J17" i="6"/>
  <c r="M17" i="6" s="1"/>
  <c r="M16" i="6"/>
  <c r="L16" i="6"/>
  <c r="O16" i="6" s="1"/>
  <c r="R16" i="6" s="1"/>
  <c r="K16" i="6"/>
  <c r="N16" i="6" s="1"/>
  <c r="J16" i="6"/>
  <c r="L15" i="6"/>
  <c r="O15" i="6" s="1"/>
  <c r="R15" i="6" s="1"/>
  <c r="K15" i="6"/>
  <c r="N15" i="6" s="1"/>
  <c r="J15" i="6"/>
  <c r="M15" i="6" s="1"/>
  <c r="O14" i="6"/>
  <c r="L14" i="6"/>
  <c r="K14" i="6"/>
  <c r="N14" i="6" s="1"/>
  <c r="J14" i="6"/>
  <c r="M14" i="6" s="1"/>
  <c r="P14" i="6" s="1"/>
  <c r="O13" i="6"/>
  <c r="R13" i="6" s="1"/>
  <c r="N13" i="6"/>
  <c r="Q13" i="6" s="1"/>
  <c r="M13" i="6"/>
  <c r="P13" i="6" s="1"/>
  <c r="S13" i="6" s="1"/>
  <c r="L13" i="6"/>
  <c r="K13" i="6"/>
  <c r="J13" i="6"/>
  <c r="M12" i="6"/>
  <c r="P12" i="6" s="1"/>
  <c r="L12" i="6"/>
  <c r="O12" i="6" s="1"/>
  <c r="R12" i="6" s="1"/>
  <c r="K12" i="6"/>
  <c r="N12" i="6" s="1"/>
  <c r="J12" i="6"/>
  <c r="O11" i="6"/>
  <c r="L11" i="6"/>
  <c r="K11" i="6"/>
  <c r="N11" i="6" s="1"/>
  <c r="J11" i="6"/>
  <c r="M11" i="6" s="1"/>
  <c r="P11" i="6" s="1"/>
  <c r="M10" i="6"/>
  <c r="P10" i="6" s="1"/>
  <c r="L10" i="6"/>
  <c r="O10" i="6" s="1"/>
  <c r="K10" i="6"/>
  <c r="N10" i="6" s="1"/>
  <c r="Q10" i="6" s="1"/>
  <c r="J10" i="6"/>
  <c r="L9" i="6"/>
  <c r="O9" i="6" s="1"/>
  <c r="R9" i="6" s="1"/>
  <c r="K9" i="6"/>
  <c r="N9" i="6" s="1"/>
  <c r="J9" i="6"/>
  <c r="M9" i="6" s="1"/>
  <c r="O8" i="6"/>
  <c r="L8" i="6"/>
  <c r="K8" i="6"/>
  <c r="N8" i="6" s="1"/>
  <c r="Q8" i="6" s="1"/>
  <c r="J8" i="6"/>
  <c r="M8" i="6" s="1"/>
  <c r="O7" i="6"/>
  <c r="R7" i="6" s="1"/>
  <c r="N7" i="6"/>
  <c r="Q7" i="6" s="1"/>
  <c r="M7" i="6"/>
  <c r="P7" i="6" s="1"/>
  <c r="L7" i="6"/>
  <c r="K7" i="6"/>
  <c r="J7" i="6"/>
  <c r="M6" i="6"/>
  <c r="L6" i="6"/>
  <c r="O6" i="6" s="1"/>
  <c r="K6" i="6"/>
  <c r="N6" i="6" s="1"/>
  <c r="Q6" i="6" s="1"/>
  <c r="J6" i="6"/>
  <c r="O5" i="6"/>
  <c r="R5" i="6" s="1"/>
  <c r="L5" i="6"/>
  <c r="K5" i="6"/>
  <c r="N5" i="6" s="1"/>
  <c r="J5" i="6"/>
  <c r="M5" i="6" s="1"/>
  <c r="P5" i="6" s="1"/>
  <c r="M4" i="6"/>
  <c r="L4" i="6"/>
  <c r="O4" i="6" s="1"/>
  <c r="K4" i="6"/>
  <c r="N4" i="6" s="1"/>
  <c r="Q4" i="6" s="1"/>
  <c r="J4" i="6"/>
  <c r="L3" i="6"/>
  <c r="O3" i="6" s="1"/>
  <c r="K3" i="6"/>
  <c r="N3" i="6" s="1"/>
  <c r="J3" i="6"/>
  <c r="M3" i="6" s="1"/>
  <c r="P3" i="6" s="1"/>
  <c r="H2" i="5"/>
  <c r="R2" i="5" s="1"/>
  <c r="BF2" i="5"/>
  <c r="E3" i="5"/>
  <c r="Y3" i="5" s="1"/>
  <c r="E4" i="5"/>
  <c r="O4" i="5" s="1"/>
  <c r="BG25" i="5"/>
  <c r="AM26" i="5"/>
  <c r="I27" i="5"/>
  <c r="I38" i="5" s="1"/>
  <c r="I49" i="5" s="1"/>
  <c r="I60" i="5" s="1"/>
  <c r="AM27" i="5"/>
  <c r="BG28" i="5"/>
  <c r="BG39" i="5" s="1"/>
  <c r="BG50" i="5" s="1"/>
  <c r="BG61" i="5" s="1"/>
  <c r="F29" i="5"/>
  <c r="G29" i="5"/>
  <c r="G40" i="5" s="1"/>
  <c r="G51" i="5" s="1"/>
  <c r="G62" i="5" s="1"/>
  <c r="G73" i="5" s="1"/>
  <c r="G84" i="5" s="1"/>
  <c r="G95" i="5" s="1"/>
  <c r="G106" i="5" s="1"/>
  <c r="G117" i="5" s="1"/>
  <c r="R29" i="5"/>
  <c r="R40" i="5" s="1"/>
  <c r="R51" i="5" s="1"/>
  <c r="R62" i="5" s="1"/>
  <c r="R73" i="5" s="1"/>
  <c r="R84" i="5" s="1"/>
  <c r="R95" i="5" s="1"/>
  <c r="R106" i="5" s="1"/>
  <c r="R117" i="5" s="1"/>
  <c r="AJ29" i="5"/>
  <c r="AK29" i="5"/>
  <c r="AK40" i="5" s="1"/>
  <c r="AK51" i="5" s="1"/>
  <c r="AK62" i="5" s="1"/>
  <c r="AV29" i="5"/>
  <c r="AV40" i="5" s="1"/>
  <c r="BC29" i="5"/>
  <c r="BF29" i="5"/>
  <c r="BO29" i="5"/>
  <c r="BO40" i="5" s="1"/>
  <c r="BO51" i="5" s="1"/>
  <c r="BO62" i="5" s="1"/>
  <c r="S25" i="5"/>
  <c r="S36" i="5" s="1"/>
  <c r="S47" i="5" s="1"/>
  <c r="S58" i="5" s="1"/>
  <c r="S69" i="5" s="1"/>
  <c r="S80" i="5" s="1"/>
  <c r="S91" i="5" s="1"/>
  <c r="S102" i="5" s="1"/>
  <c r="S113" i="5" s="1"/>
  <c r="AM25" i="5"/>
  <c r="AW25" i="5"/>
  <c r="AW36" i="5" s="1"/>
  <c r="BQ25" i="5"/>
  <c r="BQ36" i="5" s="1"/>
  <c r="BQ47" i="5" s="1"/>
  <c r="S26" i="5"/>
  <c r="AC26" i="5"/>
  <c r="BQ26" i="5"/>
  <c r="BQ37" i="5" s="1"/>
  <c r="BQ48" i="5" s="1"/>
  <c r="S27" i="5"/>
  <c r="AC27" i="5"/>
  <c r="BQ27" i="5"/>
  <c r="I28" i="5"/>
  <c r="AC28" i="5"/>
  <c r="AC39" i="5" s="1"/>
  <c r="AC50" i="5" s="1"/>
  <c r="AW28" i="5"/>
  <c r="AW39" i="5" s="1"/>
  <c r="BQ28" i="5"/>
  <c r="H29" i="5"/>
  <c r="H40" i="5" s="1"/>
  <c r="H51" i="5" s="1"/>
  <c r="H62" i="5" s="1"/>
  <c r="H73" i="5" s="1"/>
  <c r="H84" i="5" s="1"/>
  <c r="H95" i="5" s="1"/>
  <c r="H106" i="5" s="1"/>
  <c r="H117" i="5" s="1"/>
  <c r="O29" i="5"/>
  <c r="O40" i="5" s="1"/>
  <c r="O51" i="5" s="1"/>
  <c r="O62" i="5" s="1"/>
  <c r="O73" i="5" s="1"/>
  <c r="O84" i="5" s="1"/>
  <c r="O95" i="5" s="1"/>
  <c r="O106" i="5" s="1"/>
  <c r="O117" i="5" s="1"/>
  <c r="P29" i="5"/>
  <c r="P40" i="5" s="1"/>
  <c r="P51" i="5" s="1"/>
  <c r="P62" i="5" s="1"/>
  <c r="P73" i="5" s="1"/>
  <c r="P84" i="5" s="1"/>
  <c r="P95" i="5" s="1"/>
  <c r="P106" i="5" s="1"/>
  <c r="P117" i="5" s="1"/>
  <c r="Q29" i="5"/>
  <c r="Z29" i="5"/>
  <c r="Z40" i="5" s="1"/>
  <c r="Z51" i="5" s="1"/>
  <c r="AL29" i="5"/>
  <c r="AL40" i="5" s="1"/>
  <c r="AL51" i="5" s="1"/>
  <c r="AL62" i="5" s="1"/>
  <c r="AS29" i="5"/>
  <c r="AS40" i="5" s="1"/>
  <c r="AT29" i="5"/>
  <c r="AT40" i="5" s="1"/>
  <c r="AU29" i="5"/>
  <c r="BD29" i="5"/>
  <c r="BD40" i="5" s="1"/>
  <c r="BD51" i="5" s="1"/>
  <c r="BD62" i="5" s="1"/>
  <c r="BP29" i="5"/>
  <c r="BP40" i="5" s="1"/>
  <c r="BP51" i="5" s="1"/>
  <c r="BP62" i="5" s="1"/>
  <c r="AC37" i="5"/>
  <c r="AC48" i="5" s="1"/>
  <c r="AC38" i="5"/>
  <c r="AC49" i="5" s="1"/>
  <c r="I39" i="5"/>
  <c r="I50" i="5" s="1"/>
  <c r="I61" i="5" s="1"/>
  <c r="I72" i="5" s="1"/>
  <c r="I83" i="5" s="1"/>
  <c r="I94" i="5" s="1"/>
  <c r="I105" i="5" s="1"/>
  <c r="I116" i="5" s="1"/>
  <c r="D121" i="5"/>
  <c r="E121" i="5"/>
  <c r="F121" i="5"/>
  <c r="G121" i="5"/>
  <c r="H121" i="5"/>
  <c r="O121" i="5"/>
  <c r="P121" i="5"/>
  <c r="Q121" i="5"/>
  <c r="R121" i="5"/>
  <c r="S121" i="5"/>
  <c r="Y121" i="5"/>
  <c r="Z121" i="5"/>
  <c r="AA121" i="5"/>
  <c r="AB121" i="5"/>
  <c r="AC121" i="5"/>
  <c r="AI121" i="5"/>
  <c r="AJ121" i="5"/>
  <c r="AK121" i="5"/>
  <c r="AL121" i="5"/>
  <c r="AM121" i="5"/>
  <c r="AS121" i="5"/>
  <c r="AT121" i="5"/>
  <c r="AU121" i="5"/>
  <c r="AV121" i="5"/>
  <c r="AW121" i="5"/>
  <c r="BC121" i="5"/>
  <c r="BD121" i="5"/>
  <c r="BE121" i="5"/>
  <c r="BF121" i="5"/>
  <c r="BG121" i="5"/>
  <c r="BM121" i="5"/>
  <c r="BN121" i="5"/>
  <c r="BO121" i="5"/>
  <c r="BP121" i="5"/>
  <c r="BQ121" i="5"/>
  <c r="D122" i="5"/>
  <c r="O122" i="5"/>
  <c r="Y122" i="5"/>
  <c r="AI122" i="5"/>
  <c r="AS122" i="5"/>
  <c r="BC122" i="5"/>
  <c r="BM122" i="5"/>
  <c r="D123" i="5"/>
  <c r="O123" i="5"/>
  <c r="Y123" i="5"/>
  <c r="AI123" i="5"/>
  <c r="AS123" i="5"/>
  <c r="BC123" i="5"/>
  <c r="BM123" i="5"/>
  <c r="D124" i="5"/>
  <c r="O124" i="5"/>
  <c r="Y124" i="5"/>
  <c r="AI124" i="5"/>
  <c r="AS124" i="5"/>
  <c r="BC124" i="5"/>
  <c r="BM124" i="5"/>
  <c r="D125" i="5"/>
  <c r="O125" i="5"/>
  <c r="Y125" i="5"/>
  <c r="AI125" i="5"/>
  <c r="AS125" i="5"/>
  <c r="BC125" i="5"/>
  <c r="BM125" i="5"/>
  <c r="E20" i="4"/>
  <c r="E30" i="4"/>
  <c r="R150" i="4" s="1"/>
  <c r="D34" i="4"/>
  <c r="E7" i="4" s="1"/>
  <c r="R127" i="4" s="1"/>
  <c r="S39" i="4"/>
  <c r="E40" i="4"/>
  <c r="N40" i="4" s="1"/>
  <c r="W53" i="4" s="1"/>
  <c r="F40" i="4"/>
  <c r="S40" i="4"/>
  <c r="E41" i="4"/>
  <c r="K44" i="4" s="1"/>
  <c r="T57" i="4" s="1"/>
  <c r="F41" i="4"/>
  <c r="E42" i="4"/>
  <c r="L44" i="4" s="1"/>
  <c r="U57" i="4" s="1"/>
  <c r="U68" i="4" s="1"/>
  <c r="F42" i="4"/>
  <c r="E43" i="4"/>
  <c r="N43" i="4" s="1"/>
  <c r="W56" i="4" s="1"/>
  <c r="F43" i="4"/>
  <c r="E45" i="4"/>
  <c r="N46" i="4" s="1"/>
  <c r="F45" i="4"/>
  <c r="J50" i="4" s="1"/>
  <c r="E46" i="4"/>
  <c r="N47" i="4" s="1"/>
  <c r="F46" i="4"/>
  <c r="K50" i="4" s="1"/>
  <c r="E47" i="4"/>
  <c r="N48" i="4" s="1"/>
  <c r="F47" i="4"/>
  <c r="L50" i="4" s="1"/>
  <c r="E48" i="4"/>
  <c r="N49" i="4" s="1"/>
  <c r="F48" i="4"/>
  <c r="M50" i="4" s="1"/>
  <c r="E50" i="4"/>
  <c r="N52" i="4" s="1"/>
  <c r="F50" i="4"/>
  <c r="E51" i="4"/>
  <c r="N53" i="4" s="1"/>
  <c r="F51" i="4"/>
  <c r="K56" i="4" s="1"/>
  <c r="E52" i="4"/>
  <c r="N54" i="4" s="1"/>
  <c r="F52" i="4"/>
  <c r="L56" i="4" s="1"/>
  <c r="E53" i="4"/>
  <c r="N55" i="4" s="1"/>
  <c r="F53" i="4"/>
  <c r="M56" i="4" s="1"/>
  <c r="E55" i="4"/>
  <c r="N58" i="4" s="1"/>
  <c r="F55" i="4"/>
  <c r="E56" i="4"/>
  <c r="N59" i="4" s="1"/>
  <c r="F56" i="4"/>
  <c r="K62" i="4" s="1"/>
  <c r="E57" i="4"/>
  <c r="N60" i="4" s="1"/>
  <c r="F57" i="4"/>
  <c r="L62" i="4" s="1"/>
  <c r="E58" i="4"/>
  <c r="N61" i="4" s="1"/>
  <c r="F58" i="4"/>
  <c r="M62" i="4" s="1"/>
  <c r="E60" i="4"/>
  <c r="N64" i="4" s="1"/>
  <c r="F60" i="4"/>
  <c r="J68" i="4" s="1"/>
  <c r="E61" i="4"/>
  <c r="F61" i="4"/>
  <c r="K68" i="4" s="1"/>
  <c r="E62" i="4"/>
  <c r="N66" i="4" s="1"/>
  <c r="F62" i="4"/>
  <c r="E63" i="4"/>
  <c r="N67" i="4" s="1"/>
  <c r="F63" i="4"/>
  <c r="M68" i="4" s="1"/>
  <c r="E65" i="4"/>
  <c r="F65" i="4"/>
  <c r="E66" i="4"/>
  <c r="N71" i="4" s="1"/>
  <c r="F66" i="4"/>
  <c r="K74" i="4" s="1"/>
  <c r="E67" i="4"/>
  <c r="N72" i="4" s="1"/>
  <c r="F67" i="4"/>
  <c r="L74" i="4" s="1"/>
  <c r="E68" i="4"/>
  <c r="N73" i="4" s="1"/>
  <c r="F68" i="4"/>
  <c r="M74" i="4" s="1"/>
  <c r="E74" i="4"/>
  <c r="F74" i="4"/>
  <c r="N76" i="4"/>
  <c r="N77" i="4"/>
  <c r="N78" i="4"/>
  <c r="N79" i="4"/>
  <c r="J80" i="4"/>
  <c r="K80" i="4"/>
  <c r="L80" i="4"/>
  <c r="M80" i="4"/>
  <c r="R140" i="4"/>
  <c r="B43" i="3"/>
  <c r="D42" i="3"/>
  <c r="B42" i="3"/>
  <c r="D41" i="3"/>
  <c r="C41" i="3"/>
  <c r="C47" i="3" s="1"/>
  <c r="B41" i="3"/>
  <c r="B40" i="3"/>
  <c r="D39" i="3"/>
  <c r="C39" i="3"/>
  <c r="B39" i="3"/>
  <c r="K31" i="3"/>
  <c r="K37" i="3" s="1"/>
  <c r="H31" i="3"/>
  <c r="H30" i="3"/>
  <c r="D29" i="3"/>
  <c r="D28" i="3"/>
  <c r="G24" i="3"/>
  <c r="E24" i="3"/>
  <c r="D24" i="3"/>
  <c r="C24" i="3"/>
  <c r="H24" i="3" s="1"/>
  <c r="L31" i="3" s="1"/>
  <c r="E23" i="3"/>
  <c r="D23" i="3"/>
  <c r="C23" i="3"/>
  <c r="H23" i="3" s="1"/>
  <c r="L30" i="3" s="1"/>
  <c r="H22" i="3"/>
  <c r="L29" i="3" s="1"/>
  <c r="E22" i="3"/>
  <c r="D22" i="3"/>
  <c r="G22" i="3" s="1"/>
  <c r="K29" i="3" s="1"/>
  <c r="K35" i="3" s="1"/>
  <c r="C22" i="3"/>
  <c r="E21" i="3"/>
  <c r="D21" i="3"/>
  <c r="C21" i="3"/>
  <c r="H21" i="3" s="1"/>
  <c r="L28" i="3" s="1"/>
  <c r="O20" i="3"/>
  <c r="W31" i="3" s="1"/>
  <c r="W37" i="3" s="1"/>
  <c r="M20" i="3"/>
  <c r="P20" i="3" s="1"/>
  <c r="X31" i="3" s="1"/>
  <c r="L20" i="3"/>
  <c r="K20" i="3"/>
  <c r="H20" i="3"/>
  <c r="E20" i="3"/>
  <c r="D20" i="3"/>
  <c r="C20" i="3"/>
  <c r="G20" i="3" s="1"/>
  <c r="G31" i="3" s="1"/>
  <c r="G37" i="3" s="1"/>
  <c r="M19" i="3"/>
  <c r="L19" i="3"/>
  <c r="K19" i="3"/>
  <c r="P19" i="3" s="1"/>
  <c r="X30" i="3" s="1"/>
  <c r="H19" i="3"/>
  <c r="E19" i="3"/>
  <c r="D19" i="3"/>
  <c r="C19" i="3"/>
  <c r="G19" i="3" s="1"/>
  <c r="G30" i="3" s="1"/>
  <c r="G36" i="3" s="1"/>
  <c r="M18" i="3"/>
  <c r="L18" i="3"/>
  <c r="K18" i="3"/>
  <c r="P18" i="3" s="1"/>
  <c r="X29" i="3" s="1"/>
  <c r="H18" i="3"/>
  <c r="H29" i="3" s="1"/>
  <c r="G18" i="3"/>
  <c r="G29" i="3" s="1"/>
  <c r="G35" i="3" s="1"/>
  <c r="E18" i="3"/>
  <c r="D18" i="3"/>
  <c r="C18" i="3"/>
  <c r="M17" i="3"/>
  <c r="L17" i="3"/>
  <c r="K17" i="3"/>
  <c r="P17" i="3" s="1"/>
  <c r="X28" i="3" s="1"/>
  <c r="E17" i="3"/>
  <c r="D17" i="3"/>
  <c r="G17" i="3" s="1"/>
  <c r="G28" i="3" s="1"/>
  <c r="C17" i="3"/>
  <c r="O16" i="3"/>
  <c r="S31" i="3" s="1"/>
  <c r="S37" i="3" s="1"/>
  <c r="M16" i="3"/>
  <c r="L16" i="3"/>
  <c r="K16" i="3"/>
  <c r="P16" i="3" s="1"/>
  <c r="T31" i="3" s="1"/>
  <c r="E16" i="3"/>
  <c r="D16" i="3"/>
  <c r="C16" i="3"/>
  <c r="H16" i="3" s="1"/>
  <c r="D31" i="3" s="1"/>
  <c r="P15" i="3"/>
  <c r="T30" i="3" s="1"/>
  <c r="O15" i="3"/>
  <c r="S30" i="3" s="1"/>
  <c r="S36" i="3" s="1"/>
  <c r="M15" i="3"/>
  <c r="L15" i="3"/>
  <c r="K15" i="3"/>
  <c r="E15" i="3"/>
  <c r="D15" i="3"/>
  <c r="C15" i="3"/>
  <c r="H15" i="3" s="1"/>
  <c r="D30" i="3" s="1"/>
  <c r="O14" i="3"/>
  <c r="S29" i="3" s="1"/>
  <c r="S35" i="3" s="1"/>
  <c r="M14" i="3"/>
  <c r="P14" i="3" s="1"/>
  <c r="T29" i="3" s="1"/>
  <c r="L14" i="3"/>
  <c r="K14" i="3"/>
  <c r="H14" i="3"/>
  <c r="E14" i="3"/>
  <c r="D14" i="3"/>
  <c r="C14" i="3"/>
  <c r="G14" i="3" s="1"/>
  <c r="C29" i="3" s="1"/>
  <c r="C35" i="3" s="1"/>
  <c r="M13" i="3"/>
  <c r="L13" i="3"/>
  <c r="K13" i="3"/>
  <c r="P13" i="3" s="1"/>
  <c r="T28" i="3" s="1"/>
  <c r="H13" i="3"/>
  <c r="E13" i="3"/>
  <c r="D13" i="3"/>
  <c r="C13" i="3"/>
  <c r="G13" i="3" s="1"/>
  <c r="C28" i="3" s="1"/>
  <c r="M12" i="3"/>
  <c r="L12" i="3"/>
  <c r="K12" i="3"/>
  <c r="P12" i="3" s="1"/>
  <c r="P31" i="3" s="1"/>
  <c r="H12" i="3"/>
  <c r="D43" i="3" s="1"/>
  <c r="G12" i="3"/>
  <c r="C43" i="3" s="1"/>
  <c r="C49" i="3" s="1"/>
  <c r="P11" i="3"/>
  <c r="P30" i="3" s="1"/>
  <c r="M11" i="3"/>
  <c r="L11" i="3"/>
  <c r="K11" i="3"/>
  <c r="O11" i="3" s="1"/>
  <c r="O30" i="3" s="1"/>
  <c r="O36" i="3" s="1"/>
  <c r="H11" i="3"/>
  <c r="G11" i="3"/>
  <c r="C42" i="3" s="1"/>
  <c r="C48" i="3" s="1"/>
  <c r="M10" i="3"/>
  <c r="L10" i="3"/>
  <c r="K10" i="3"/>
  <c r="P10" i="3" s="1"/>
  <c r="P29" i="3" s="1"/>
  <c r="H10" i="3"/>
  <c r="G10" i="3"/>
  <c r="P9" i="3"/>
  <c r="P28" i="3" s="1"/>
  <c r="M9" i="3"/>
  <c r="L9" i="3"/>
  <c r="K9" i="3"/>
  <c r="O9" i="3" s="1"/>
  <c r="O28" i="3" s="1"/>
  <c r="H9" i="3"/>
  <c r="D40" i="3" s="1"/>
  <c r="G9" i="3"/>
  <c r="C40" i="3" s="1"/>
  <c r="AK67" i="7" l="1"/>
  <c r="AI64" i="7"/>
  <c r="Y67" i="7"/>
  <c r="AK64" i="7"/>
  <c r="G79" i="7"/>
  <c r="E49" i="7" s="1"/>
  <c r="Y64" i="7"/>
  <c r="Z64" i="7"/>
  <c r="Z67" i="7"/>
  <c r="H51" i="7"/>
  <c r="E51" i="7"/>
  <c r="E39" i="7"/>
  <c r="H39" i="7"/>
  <c r="AE67" i="7"/>
  <c r="G75" i="7"/>
  <c r="AE64" i="7"/>
  <c r="W64" i="7"/>
  <c r="W67" i="7"/>
  <c r="G67" i="7"/>
  <c r="J40" i="7"/>
  <c r="J101" i="7" s="1"/>
  <c r="H40" i="7"/>
  <c r="E40" i="7"/>
  <c r="G78" i="7"/>
  <c r="AH64" i="7"/>
  <c r="AH67" i="7"/>
  <c r="AC67" i="7"/>
  <c r="G73" i="7"/>
  <c r="AC64" i="7"/>
  <c r="V67" i="7"/>
  <c r="V64" i="7"/>
  <c r="G66" i="7"/>
  <c r="AA64" i="7"/>
  <c r="AA67" i="7"/>
  <c r="G71" i="7"/>
  <c r="AM64" i="7"/>
  <c r="G83" i="7"/>
  <c r="AM67" i="7"/>
  <c r="AN64" i="7"/>
  <c r="AN67" i="7"/>
  <c r="G84" i="7"/>
  <c r="AG67" i="7"/>
  <c r="AG64" i="7"/>
  <c r="G77" i="7"/>
  <c r="AB64" i="7"/>
  <c r="AB67" i="7"/>
  <c r="G72" i="7"/>
  <c r="G76" i="7"/>
  <c r="AF64" i="7"/>
  <c r="AF67" i="7"/>
  <c r="AD67" i="7"/>
  <c r="G74" i="7"/>
  <c r="AD64" i="7"/>
  <c r="G80" i="7"/>
  <c r="AJ64" i="7"/>
  <c r="AJ67" i="7"/>
  <c r="G82" i="7"/>
  <c r="AL64" i="7"/>
  <c r="AL67" i="7"/>
  <c r="G68" i="7"/>
  <c r="X64" i="7"/>
  <c r="X67" i="7"/>
  <c r="R38" i="6"/>
  <c r="F151" i="5" s="1"/>
  <c r="R39" i="6"/>
  <c r="F152" i="5" s="1"/>
  <c r="R40" i="6"/>
  <c r="F153" i="5" s="1"/>
  <c r="N42" i="4"/>
  <c r="W55" i="4" s="1"/>
  <c r="W66" i="4" s="1"/>
  <c r="AL2" i="5"/>
  <c r="AB2" i="5"/>
  <c r="J38" i="6"/>
  <c r="H129" i="5" s="1"/>
  <c r="R41" i="6"/>
  <c r="F154" i="5" s="1"/>
  <c r="J39" i="6"/>
  <c r="H130" i="5" s="1"/>
  <c r="J40" i="6"/>
  <c r="H131" i="5" s="1"/>
  <c r="J41" i="6"/>
  <c r="H132" i="5" s="1"/>
  <c r="L39" i="6"/>
  <c r="E141" i="5" s="1"/>
  <c r="L40" i="6"/>
  <c r="E142" i="5" s="1"/>
  <c r="L41" i="6"/>
  <c r="E143" i="5" s="1"/>
  <c r="N39" i="6"/>
  <c r="G141" i="5" s="1"/>
  <c r="N40" i="6"/>
  <c r="G142" i="5" s="1"/>
  <c r="N41" i="6"/>
  <c r="G143" i="5" s="1"/>
  <c r="N38" i="6"/>
  <c r="G140" i="5" s="1"/>
  <c r="L38" i="6"/>
  <c r="E140" i="5" s="1"/>
  <c r="T45" i="4"/>
  <c r="T54" i="4" s="1"/>
  <c r="S153" i="4"/>
  <c r="S143" i="4"/>
  <c r="S140" i="4"/>
  <c r="S148" i="4"/>
  <c r="S130" i="4"/>
  <c r="S146" i="4"/>
  <c r="S132" i="4"/>
  <c r="S129" i="4"/>
  <c r="S152" i="4"/>
  <c r="S150" i="4"/>
  <c r="S149" i="4"/>
  <c r="S147" i="4"/>
  <c r="S133" i="4"/>
  <c r="S126" i="4"/>
  <c r="S145" i="4"/>
  <c r="S144" i="4"/>
  <c r="S142" i="4"/>
  <c r="S141" i="4"/>
  <c r="S128" i="4"/>
  <c r="S125" i="4"/>
  <c r="S151" i="4"/>
  <c r="S139" i="4"/>
  <c r="S138" i="4"/>
  <c r="S137" i="4"/>
  <c r="S136" i="4"/>
  <c r="S131" i="4"/>
  <c r="S127" i="4"/>
  <c r="S124" i="4"/>
  <c r="S135" i="4"/>
  <c r="S134" i="4"/>
  <c r="U47" i="4"/>
  <c r="U56" i="4" s="1"/>
  <c r="S46" i="4"/>
  <c r="S55" i="4" s="1"/>
  <c r="S45" i="4"/>
  <c r="S54" i="4" s="1"/>
  <c r="J44" i="4"/>
  <c r="S57" i="4" s="1"/>
  <c r="S68" i="4" s="1"/>
  <c r="S79" i="4" s="1"/>
  <c r="S90" i="4" s="1"/>
  <c r="F44" i="4"/>
  <c r="N62" i="4"/>
  <c r="BM4" i="5"/>
  <c r="I71" i="5"/>
  <c r="I82" i="5" s="1"/>
  <c r="I93" i="5" s="1"/>
  <c r="I104" i="5" s="1"/>
  <c r="I115" i="5" s="1"/>
  <c r="BC4" i="5"/>
  <c r="AS4" i="5"/>
  <c r="Y29" i="5"/>
  <c r="AC25" i="5"/>
  <c r="AC36" i="5" s="1"/>
  <c r="AC47" i="5" s="1"/>
  <c r="AI4" i="5"/>
  <c r="AW27" i="5"/>
  <c r="AW38" i="5" s="1"/>
  <c r="Y4" i="5"/>
  <c r="BP2" i="5"/>
  <c r="AW26" i="5"/>
  <c r="AW37" i="5" s="1"/>
  <c r="BG2" i="5"/>
  <c r="AV2" i="5"/>
  <c r="E44" i="4"/>
  <c r="E21" i="4"/>
  <c r="R141" i="4" s="1"/>
  <c r="V38" i="4"/>
  <c r="V119" i="4" s="1"/>
  <c r="E18" i="4"/>
  <c r="R138" i="4" s="1"/>
  <c r="E33" i="4"/>
  <c r="R153" i="4" s="1"/>
  <c r="E16" i="4"/>
  <c r="R136" i="4" s="1"/>
  <c r="E17" i="4"/>
  <c r="R137" i="4" s="1"/>
  <c r="E32" i="4"/>
  <c r="R152" i="4" s="1"/>
  <c r="E29" i="4"/>
  <c r="R149" i="4" s="1"/>
  <c r="E14" i="4"/>
  <c r="R134" i="4" s="1"/>
  <c r="T44" i="4"/>
  <c r="N41" i="4"/>
  <c r="W54" i="4" s="1"/>
  <c r="W65" i="4" s="1"/>
  <c r="W76" i="4" s="1"/>
  <c r="E12" i="4"/>
  <c r="R132" i="4" s="1"/>
  <c r="M44" i="4"/>
  <c r="V57" i="4" s="1"/>
  <c r="V68" i="4" s="1"/>
  <c r="E9" i="4"/>
  <c r="R129" i="4" s="1"/>
  <c r="E8" i="4"/>
  <c r="R128" i="4" s="1"/>
  <c r="U45" i="4"/>
  <c r="E31" i="4"/>
  <c r="R151" i="4" s="1"/>
  <c r="E28" i="4"/>
  <c r="R148" i="4" s="1"/>
  <c r="E6" i="4"/>
  <c r="R126" i="4" s="1"/>
  <c r="F59" i="4"/>
  <c r="E26" i="4"/>
  <c r="R146" i="4" s="1"/>
  <c r="E5" i="4"/>
  <c r="R125" i="4" s="1"/>
  <c r="T46" i="4"/>
  <c r="E24" i="4"/>
  <c r="R144" i="4" s="1"/>
  <c r="E4" i="4"/>
  <c r="R124" i="4" s="1"/>
  <c r="Q15" i="6"/>
  <c r="I38" i="6"/>
  <c r="G129" i="5" s="1"/>
  <c r="I39" i="6"/>
  <c r="G130" i="5" s="1"/>
  <c r="R4" i="6"/>
  <c r="P4" i="6"/>
  <c r="S4" i="6" s="1"/>
  <c r="S7" i="6"/>
  <c r="R10" i="6"/>
  <c r="S10" i="6" s="1"/>
  <c r="Q16" i="6"/>
  <c r="M38" i="6"/>
  <c r="F140" i="5" s="1"/>
  <c r="M39" i="6"/>
  <c r="F141" i="5" s="1"/>
  <c r="M40" i="6"/>
  <c r="F142" i="5" s="1"/>
  <c r="M41" i="6"/>
  <c r="F143" i="5" s="1"/>
  <c r="Q5" i="6"/>
  <c r="S5" i="6" s="1"/>
  <c r="P16" i="6"/>
  <c r="O38" i="6"/>
  <c r="H140" i="5" s="1"/>
  <c r="O39" i="6"/>
  <c r="H141" i="5" s="1"/>
  <c r="O40" i="6"/>
  <c r="H142" i="5" s="1"/>
  <c r="O41" i="6"/>
  <c r="H143" i="5" s="1"/>
  <c r="P8" i="6"/>
  <c r="S8" i="6" s="1"/>
  <c r="Q11" i="6"/>
  <c r="S11" i="6" s="1"/>
  <c r="P17" i="6"/>
  <c r="Q38" i="6"/>
  <c r="E151" i="5" s="1"/>
  <c r="Q39" i="6"/>
  <c r="E152" i="5" s="1"/>
  <c r="Q40" i="6"/>
  <c r="E153" i="5" s="1"/>
  <c r="Q41" i="6"/>
  <c r="E154" i="5" s="1"/>
  <c r="R11" i="6"/>
  <c r="Q14" i="6"/>
  <c r="S14" i="6" s="1"/>
  <c r="S38" i="6"/>
  <c r="G151" i="5" s="1"/>
  <c r="S39" i="6"/>
  <c r="G152" i="5" s="1"/>
  <c r="S40" i="6"/>
  <c r="G153" i="5" s="1"/>
  <c r="S41" i="6"/>
  <c r="G154" i="5" s="1"/>
  <c r="T40" i="6"/>
  <c r="H153" i="5" s="1"/>
  <c r="R8" i="6"/>
  <c r="R17" i="6"/>
  <c r="T38" i="6"/>
  <c r="H151" i="5" s="1"/>
  <c r="T39" i="6"/>
  <c r="H152" i="5" s="1"/>
  <c r="T41" i="6"/>
  <c r="H154" i="5" s="1"/>
  <c r="Q3" i="6"/>
  <c r="S3" i="6" s="1"/>
  <c r="R6" i="6"/>
  <c r="P9" i="6"/>
  <c r="S9" i="6" s="1"/>
  <c r="Q12" i="6"/>
  <c r="S12" i="6" s="1"/>
  <c r="R14" i="6"/>
  <c r="G38" i="6"/>
  <c r="E129" i="5" s="1"/>
  <c r="G39" i="6"/>
  <c r="E130" i="5" s="1"/>
  <c r="G40" i="6"/>
  <c r="E131" i="5" s="1"/>
  <c r="G41" i="6"/>
  <c r="E132" i="5" s="1"/>
  <c r="I40" i="6"/>
  <c r="G131" i="5" s="1"/>
  <c r="R3" i="6"/>
  <c r="P6" i="6"/>
  <c r="Q9" i="6"/>
  <c r="P15" i="6"/>
  <c r="S15" i="6" s="1"/>
  <c r="H38" i="6"/>
  <c r="F129" i="5" s="1"/>
  <c r="H39" i="6"/>
  <c r="F130" i="5" s="1"/>
  <c r="H40" i="6"/>
  <c r="F131" i="5" s="1"/>
  <c r="H41" i="6"/>
  <c r="F132" i="5" s="1"/>
  <c r="I41" i="6"/>
  <c r="G132" i="5" s="1"/>
  <c r="Q40" i="5"/>
  <c r="Q51" i="5" s="1"/>
  <c r="Q62" i="5" s="1"/>
  <c r="Q73" i="5" s="1"/>
  <c r="Q84" i="5" s="1"/>
  <c r="Q95" i="5" s="1"/>
  <c r="Q106" i="5" s="1"/>
  <c r="Q117" i="5" s="1"/>
  <c r="AM28" i="5"/>
  <c r="BG26" i="5"/>
  <c r="I25" i="5"/>
  <c r="AS3" i="5"/>
  <c r="BC3" i="5"/>
  <c r="BM3" i="5"/>
  <c r="O3" i="5"/>
  <c r="AI3" i="5"/>
  <c r="BC40" i="5"/>
  <c r="BC51" i="5" s="1"/>
  <c r="BC62" i="5" s="1"/>
  <c r="S37" i="5"/>
  <c r="S48" i="5" s="1"/>
  <c r="S59" i="5" s="1"/>
  <c r="S70" i="5" s="1"/>
  <c r="S81" i="5" s="1"/>
  <c r="S92" i="5" s="1"/>
  <c r="S103" i="5" s="1"/>
  <c r="S114" i="5" s="1"/>
  <c r="AM38" i="5"/>
  <c r="AM49" i="5" s="1"/>
  <c r="AM60" i="5" s="1"/>
  <c r="BG36" i="5"/>
  <c r="BG47" i="5" s="1"/>
  <c r="BG58" i="5" s="1"/>
  <c r="AU40" i="5"/>
  <c r="AJ40" i="5"/>
  <c r="AJ51" i="5" s="1"/>
  <c r="AJ62" i="5" s="1"/>
  <c r="F40" i="5"/>
  <c r="F51" i="5" s="1"/>
  <c r="F62" i="5" s="1"/>
  <c r="F73" i="5" s="1"/>
  <c r="F84" i="5" s="1"/>
  <c r="F95" i="5" s="1"/>
  <c r="F106" i="5" s="1"/>
  <c r="F117" i="5" s="1"/>
  <c r="S28" i="5"/>
  <c r="AM37" i="5"/>
  <c r="AM48" i="5" s="1"/>
  <c r="AM59" i="5" s="1"/>
  <c r="BM29" i="5"/>
  <c r="AI29" i="5"/>
  <c r="E29" i="5"/>
  <c r="Y40" i="5"/>
  <c r="Y51" i="5" s="1"/>
  <c r="BQ38" i="5"/>
  <c r="BQ49" i="5" s="1"/>
  <c r="BQ60" i="5" s="1"/>
  <c r="BF40" i="5"/>
  <c r="BF51" i="5" s="1"/>
  <c r="BF62" i="5" s="1"/>
  <c r="BE29" i="5"/>
  <c r="AA29" i="5"/>
  <c r="BQ39" i="5"/>
  <c r="BQ50" i="5" s="1"/>
  <c r="BQ61" i="5" s="1"/>
  <c r="S38" i="5"/>
  <c r="S49" i="5" s="1"/>
  <c r="S60" i="5" s="1"/>
  <c r="S71" i="5" s="1"/>
  <c r="S82" i="5" s="1"/>
  <c r="S93" i="5" s="1"/>
  <c r="S104" i="5" s="1"/>
  <c r="S115" i="5" s="1"/>
  <c r="AM36" i="5"/>
  <c r="AM47" i="5" s="1"/>
  <c r="AM58" i="5" s="1"/>
  <c r="BN29" i="5"/>
  <c r="BG27" i="5"/>
  <c r="I26" i="5"/>
  <c r="AB29" i="5"/>
  <c r="N65" i="4"/>
  <c r="E64" i="4"/>
  <c r="W67" i="4"/>
  <c r="E69" i="4"/>
  <c r="N70" i="4"/>
  <c r="L68" i="4"/>
  <c r="F64" i="4"/>
  <c r="J74" i="4"/>
  <c r="F69" i="4"/>
  <c r="U79" i="4"/>
  <c r="T68" i="4"/>
  <c r="E54" i="4"/>
  <c r="N68" i="4"/>
  <c r="W64" i="4"/>
  <c r="F54" i="4"/>
  <c r="J56" i="4"/>
  <c r="N50" i="4"/>
  <c r="S47" i="4"/>
  <c r="S44" i="4"/>
  <c r="E59" i="4"/>
  <c r="N56" i="4"/>
  <c r="N80" i="4"/>
  <c r="J62" i="4"/>
  <c r="T47" i="4"/>
  <c r="U44" i="4"/>
  <c r="F49" i="4"/>
  <c r="E49" i="4"/>
  <c r="V46" i="4"/>
  <c r="E27" i="4"/>
  <c r="R147" i="4" s="1"/>
  <c r="E15" i="4"/>
  <c r="R135" i="4" s="1"/>
  <c r="U46" i="4"/>
  <c r="V44" i="4"/>
  <c r="E25" i="4"/>
  <c r="R145" i="4" s="1"/>
  <c r="E13" i="4"/>
  <c r="R133" i="4" s="1"/>
  <c r="E23" i="4"/>
  <c r="R143" i="4" s="1"/>
  <c r="E11" i="4"/>
  <c r="R131" i="4" s="1"/>
  <c r="V47" i="4"/>
  <c r="E22" i="4"/>
  <c r="R142" i="4" s="1"/>
  <c r="E10" i="4"/>
  <c r="R130" i="4" s="1"/>
  <c r="V45" i="4"/>
  <c r="E19" i="4"/>
  <c r="R139" i="4" s="1"/>
  <c r="C44" i="3"/>
  <c r="C46" i="3"/>
  <c r="C50" i="3" s="1"/>
  <c r="H44" i="3" s="1"/>
  <c r="D44" i="3"/>
  <c r="P32" i="3"/>
  <c r="G34" i="3"/>
  <c r="G38" i="3" s="1"/>
  <c r="H46" i="3" s="1"/>
  <c r="G32" i="3"/>
  <c r="O34" i="3"/>
  <c r="X32" i="3"/>
  <c r="L32" i="3"/>
  <c r="T32" i="3"/>
  <c r="C34" i="3"/>
  <c r="C38" i="3" s="1"/>
  <c r="H45" i="3" s="1"/>
  <c r="C32" i="3"/>
  <c r="C33" i="3" s="1"/>
  <c r="D37" i="3" s="1"/>
  <c r="D32" i="3"/>
  <c r="O10" i="3"/>
  <c r="O29" i="3" s="1"/>
  <c r="O35" i="3" s="1"/>
  <c r="O13" i="3"/>
  <c r="S28" i="3" s="1"/>
  <c r="H17" i="3"/>
  <c r="H28" i="3" s="1"/>
  <c r="O19" i="3"/>
  <c r="W30" i="3" s="1"/>
  <c r="W36" i="3" s="1"/>
  <c r="G16" i="3"/>
  <c r="C31" i="3" s="1"/>
  <c r="C37" i="3" s="1"/>
  <c r="G23" i="3"/>
  <c r="K30" i="3" s="1"/>
  <c r="K36" i="3" s="1"/>
  <c r="O12" i="3"/>
  <c r="O31" i="3" s="1"/>
  <c r="O37" i="3" s="1"/>
  <c r="O18" i="3"/>
  <c r="W29" i="3" s="1"/>
  <c r="W35" i="3" s="1"/>
  <c r="G15" i="3"/>
  <c r="C30" i="3" s="1"/>
  <c r="C36" i="3" s="1"/>
  <c r="G21" i="3"/>
  <c r="K28" i="3" s="1"/>
  <c r="O17" i="3"/>
  <c r="W28" i="3" s="1"/>
  <c r="F8" i="5" l="1"/>
  <c r="Z8" i="5" s="1"/>
  <c r="J49" i="7"/>
  <c r="J110" i="7" s="1"/>
  <c r="H49" i="7"/>
  <c r="D49" i="7" s="1"/>
  <c r="D51" i="7"/>
  <c r="D39" i="7"/>
  <c r="D40" i="7"/>
  <c r="J41" i="7"/>
  <c r="J102" i="7" s="1"/>
  <c r="H41" i="7"/>
  <c r="E41" i="7"/>
  <c r="J36" i="7"/>
  <c r="J97" i="7" s="1"/>
  <c r="H36" i="7"/>
  <c r="E36" i="7"/>
  <c r="J44" i="7"/>
  <c r="J105" i="7" s="1"/>
  <c r="H44" i="7"/>
  <c r="E44" i="7"/>
  <c r="J54" i="7"/>
  <c r="J115" i="7" s="1"/>
  <c r="H54" i="7"/>
  <c r="E54" i="7"/>
  <c r="J50" i="7"/>
  <c r="J111" i="7" s="1"/>
  <c r="H50" i="7"/>
  <c r="E50" i="7"/>
  <c r="J43" i="7"/>
  <c r="J104" i="7" s="1"/>
  <c r="H43" i="7"/>
  <c r="E43" i="7"/>
  <c r="J45" i="7"/>
  <c r="H45" i="7"/>
  <c r="E45" i="7"/>
  <c r="H52" i="7"/>
  <c r="J52" i="7"/>
  <c r="E52" i="7"/>
  <c r="V91" i="7"/>
  <c r="V90" i="7"/>
  <c r="V81" i="7"/>
  <c r="V75" i="7"/>
  <c r="V89" i="7"/>
  <c r="V88" i="7"/>
  <c r="V80" i="7"/>
  <c r="V74" i="7"/>
  <c r="V83" i="7"/>
  <c r="V87" i="7"/>
  <c r="V71" i="7"/>
  <c r="V86" i="7"/>
  <c r="V79" i="7"/>
  <c r="V73" i="7"/>
  <c r="V77" i="7"/>
  <c r="V85" i="7"/>
  <c r="V84" i="7"/>
  <c r="V78" i="7"/>
  <c r="V72" i="7"/>
  <c r="V93" i="7"/>
  <c r="V92" i="7"/>
  <c r="V82" i="7"/>
  <c r="V76" i="7"/>
  <c r="V70" i="7"/>
  <c r="V94" i="7"/>
  <c r="H37" i="7"/>
  <c r="J37" i="7"/>
  <c r="E37" i="7"/>
  <c r="J38" i="7"/>
  <c r="J99" i="7" s="1"/>
  <c r="H38" i="7"/>
  <c r="E38" i="7"/>
  <c r="E46" i="7"/>
  <c r="J46" i="7"/>
  <c r="J107" i="7" s="1"/>
  <c r="H46" i="7"/>
  <c r="E53" i="7"/>
  <c r="J53" i="7"/>
  <c r="J114" i="7" s="1"/>
  <c r="H53" i="7"/>
  <c r="J47" i="7"/>
  <c r="J108" i="7" s="1"/>
  <c r="H47" i="7"/>
  <c r="E47" i="7"/>
  <c r="H42" i="7"/>
  <c r="E42" i="7"/>
  <c r="J42" i="7"/>
  <c r="J103" i="7" s="1"/>
  <c r="J48" i="7"/>
  <c r="J109" i="7" s="1"/>
  <c r="H48" i="7"/>
  <c r="E48" i="7"/>
  <c r="N44" i="4"/>
  <c r="E8" i="5"/>
  <c r="AI8" i="5" s="1"/>
  <c r="G10" i="5"/>
  <c r="BO10" i="5" s="1"/>
  <c r="E9" i="5"/>
  <c r="O9" i="5" s="1"/>
  <c r="BC8" i="5"/>
  <c r="Y8" i="5"/>
  <c r="O8" i="5"/>
  <c r="BM8" i="5"/>
  <c r="BN8" i="5"/>
  <c r="P8" i="5"/>
  <c r="AJ8" i="5"/>
  <c r="BD8" i="5"/>
  <c r="AT8" i="5"/>
  <c r="T55" i="4"/>
  <c r="F9" i="5"/>
  <c r="T53" i="4"/>
  <c r="F7" i="5"/>
  <c r="S53" i="4"/>
  <c r="E7" i="5"/>
  <c r="U55" i="4"/>
  <c r="G9" i="5"/>
  <c r="V54" i="4"/>
  <c r="H8" i="5"/>
  <c r="V56" i="4"/>
  <c r="H10" i="5"/>
  <c r="U53" i="4"/>
  <c r="G7" i="5"/>
  <c r="U54" i="4"/>
  <c r="G8" i="5"/>
  <c r="V53" i="4"/>
  <c r="H7" i="5"/>
  <c r="S56" i="4"/>
  <c r="E10" i="5"/>
  <c r="V55" i="4"/>
  <c r="H9" i="5"/>
  <c r="T56" i="4"/>
  <c r="F10" i="5"/>
  <c r="S6" i="6"/>
  <c r="S18" i="6" s="1"/>
  <c r="S16" i="6"/>
  <c r="S17" i="6"/>
  <c r="S39" i="5"/>
  <c r="S50" i="5" s="1"/>
  <c r="I36" i="5"/>
  <c r="I47" i="5" s="1"/>
  <c r="I58" i="5" s="1"/>
  <c r="E40" i="5"/>
  <c r="E51" i="5" s="1"/>
  <c r="E62" i="5" s="1"/>
  <c r="E73" i="5" s="1"/>
  <c r="BG38" i="5"/>
  <c r="BG49" i="5" s="1"/>
  <c r="BG60" i="5" s="1"/>
  <c r="BN40" i="5"/>
  <c r="BN51" i="5" s="1"/>
  <c r="BN62" i="5" s="1"/>
  <c r="BM40" i="5"/>
  <c r="BM51" i="5" s="1"/>
  <c r="BM62" i="5" s="1"/>
  <c r="AA40" i="5"/>
  <c r="AA51" i="5" s="1"/>
  <c r="I37" i="5"/>
  <c r="I48" i="5" s="1"/>
  <c r="AB40" i="5"/>
  <c r="AB51" i="5" s="1"/>
  <c r="BG37" i="5"/>
  <c r="BG48" i="5" s="1"/>
  <c r="BG59" i="5" s="1"/>
  <c r="AI40" i="5"/>
  <c r="AI51" i="5" s="1"/>
  <c r="AI62" i="5" s="1"/>
  <c r="BE40" i="5"/>
  <c r="BE51" i="5" s="1"/>
  <c r="BE62" i="5" s="1"/>
  <c r="AM39" i="5"/>
  <c r="AM50" i="5" s="1"/>
  <c r="T79" i="4"/>
  <c r="N74" i="4"/>
  <c r="W78" i="4"/>
  <c r="S101" i="4"/>
  <c r="S112" i="4" s="1"/>
  <c r="V79" i="4"/>
  <c r="W77" i="4"/>
  <c r="W75" i="4"/>
  <c r="U90" i="4"/>
  <c r="W87" i="4"/>
  <c r="D36" i="3"/>
  <c r="S32" i="3"/>
  <c r="S33" i="3" s="1"/>
  <c r="S34" i="3"/>
  <c r="S38" i="3" s="1"/>
  <c r="H49" i="3" s="1"/>
  <c r="D35" i="3"/>
  <c r="W32" i="3"/>
  <c r="W33" i="3" s="1"/>
  <c r="W34" i="3"/>
  <c r="W38" i="3" s="1"/>
  <c r="H50" i="3" s="1"/>
  <c r="D34" i="3"/>
  <c r="D38" i="3" s="1"/>
  <c r="I45" i="3" s="1"/>
  <c r="H32" i="3"/>
  <c r="G33" i="3" s="1"/>
  <c r="K34" i="3"/>
  <c r="K38" i="3" s="1"/>
  <c r="H47" i="3" s="1"/>
  <c r="K32" i="3"/>
  <c r="K33" i="3" s="1"/>
  <c r="O38" i="3"/>
  <c r="H48" i="3" s="1"/>
  <c r="O32" i="3"/>
  <c r="O33" i="3" s="1"/>
  <c r="C45" i="3"/>
  <c r="D37" i="7" l="1"/>
  <c r="AS8" i="5"/>
  <c r="AS9" i="5"/>
  <c r="Y9" i="5"/>
  <c r="BC9" i="5"/>
  <c r="D38" i="7"/>
  <c r="D42" i="7"/>
  <c r="D43" i="7"/>
  <c r="D36" i="7"/>
  <c r="D45" i="7"/>
  <c r="D44" i="7"/>
  <c r="D48" i="7"/>
  <c r="D53" i="7"/>
  <c r="D47" i="7"/>
  <c r="D52" i="7"/>
  <c r="D54" i="7"/>
  <c r="D46" i="7"/>
  <c r="N43" i="7"/>
  <c r="N41" i="7"/>
  <c r="N46" i="7"/>
  <c r="N48" i="7"/>
  <c r="J106" i="7"/>
  <c r="N42" i="7"/>
  <c r="N40" i="7"/>
  <c r="N49" i="7"/>
  <c r="N47" i="7"/>
  <c r="H55" i="7"/>
  <c r="N36" i="7"/>
  <c r="N38" i="7"/>
  <c r="N39" i="7"/>
  <c r="N37" i="7"/>
  <c r="N44" i="7"/>
  <c r="N45" i="7"/>
  <c r="N55" i="7"/>
  <c r="N50" i="7"/>
  <c r="L99" i="7" s="1"/>
  <c r="P98" i="7" s="1"/>
  <c r="J98" i="7"/>
  <c r="N51" i="7"/>
  <c r="N58" i="7"/>
  <c r="N52" i="7"/>
  <c r="N53" i="7"/>
  <c r="N57" i="7"/>
  <c r="N56" i="7"/>
  <c r="D50" i="7"/>
  <c r="D41" i="7"/>
  <c r="N54" i="7"/>
  <c r="J113" i="7"/>
  <c r="N59" i="7"/>
  <c r="N60" i="7"/>
  <c r="AI9" i="5"/>
  <c r="BE10" i="5"/>
  <c r="BM9" i="5"/>
  <c r="AK10" i="5"/>
  <c r="AU10" i="5"/>
  <c r="Q10" i="5"/>
  <c r="AA10" i="5"/>
  <c r="X54" i="4"/>
  <c r="Y54" i="4" s="1"/>
  <c r="T58" i="4"/>
  <c r="T59" i="4" s="1"/>
  <c r="T67" i="4" s="1"/>
  <c r="X56" i="4"/>
  <c r="Y56" i="4" s="1"/>
  <c r="X55" i="4"/>
  <c r="Y55" i="4" s="1"/>
  <c r="S58" i="4"/>
  <c r="S59" i="4" s="1"/>
  <c r="S67" i="4" s="1"/>
  <c r="X53" i="4"/>
  <c r="Y53" i="4" s="1"/>
  <c r="U58" i="4"/>
  <c r="U59" i="4" s="1"/>
  <c r="U66" i="4" s="1"/>
  <c r="AL8" i="5"/>
  <c r="AV8" i="5"/>
  <c r="BF8" i="5"/>
  <c r="BP8" i="5"/>
  <c r="R8" i="5"/>
  <c r="AB8" i="5"/>
  <c r="AA9" i="5"/>
  <c r="Q9" i="5"/>
  <c r="AK9" i="5"/>
  <c r="BO9" i="5"/>
  <c r="AU9" i="5"/>
  <c r="BE9" i="5"/>
  <c r="BP7" i="5"/>
  <c r="AV7" i="5"/>
  <c r="BF7" i="5"/>
  <c r="R7" i="5"/>
  <c r="AL7" i="5"/>
  <c r="AB7" i="5"/>
  <c r="Y7" i="5"/>
  <c r="BC7" i="5"/>
  <c r="AI7" i="5"/>
  <c r="I7" i="5"/>
  <c r="O7" i="5"/>
  <c r="BM7" i="5"/>
  <c r="AS7" i="5"/>
  <c r="BF9" i="5"/>
  <c r="AL9" i="5"/>
  <c r="BP9" i="5"/>
  <c r="AV9" i="5"/>
  <c r="R9" i="5"/>
  <c r="AB9" i="5"/>
  <c r="BE8" i="5"/>
  <c r="AK8" i="5"/>
  <c r="AU8" i="5"/>
  <c r="BO8" i="5"/>
  <c r="AA8" i="5"/>
  <c r="I8" i="5"/>
  <c r="H15" i="5" s="1"/>
  <c r="Q8" i="5"/>
  <c r="BD7" i="5"/>
  <c r="Z7" i="5"/>
  <c r="P7" i="5"/>
  <c r="AT7" i="5"/>
  <c r="AJ7" i="5"/>
  <c r="BN7" i="5"/>
  <c r="AA7" i="5"/>
  <c r="Q7" i="5"/>
  <c r="AK7" i="5"/>
  <c r="AU7" i="5"/>
  <c r="BE7" i="5"/>
  <c r="BO7" i="5"/>
  <c r="AJ9" i="5"/>
  <c r="AT9" i="5"/>
  <c r="BD9" i="5"/>
  <c r="Z9" i="5"/>
  <c r="P9" i="5"/>
  <c r="I9" i="5"/>
  <c r="BN9" i="5"/>
  <c r="O10" i="5"/>
  <c r="Y10" i="5"/>
  <c r="AS10" i="5"/>
  <c r="AI10" i="5"/>
  <c r="BM10" i="5"/>
  <c r="I10" i="5"/>
  <c r="BC10" i="5"/>
  <c r="V58" i="4"/>
  <c r="V59" i="4" s="1"/>
  <c r="V67" i="4" s="1"/>
  <c r="Z10" i="5"/>
  <c r="BD10" i="5"/>
  <c r="AJ10" i="5"/>
  <c r="AT10" i="5"/>
  <c r="BN10" i="5"/>
  <c r="P10" i="5"/>
  <c r="AB10" i="5"/>
  <c r="AL10" i="5"/>
  <c r="R10" i="5"/>
  <c r="BP10" i="5"/>
  <c r="BF10" i="5"/>
  <c r="AV10" i="5"/>
  <c r="E84" i="5"/>
  <c r="E95" i="5" s="1"/>
  <c r="E106" i="5" s="1"/>
  <c r="E117" i="5" s="1"/>
  <c r="I69" i="5"/>
  <c r="AM61" i="5"/>
  <c r="S61" i="5"/>
  <c r="I59" i="5"/>
  <c r="I70" i="5" s="1"/>
  <c r="W86" i="4"/>
  <c r="W89" i="4"/>
  <c r="T90" i="4"/>
  <c r="W98" i="4"/>
  <c r="W109" i="4" s="1"/>
  <c r="V90" i="4"/>
  <c r="U101" i="4"/>
  <c r="U112" i="4" s="1"/>
  <c r="W88" i="4"/>
  <c r="H36" i="3"/>
  <c r="H37" i="3"/>
  <c r="H35" i="3"/>
  <c r="H34" i="3"/>
  <c r="H38" i="3" s="1"/>
  <c r="I46" i="3" s="1"/>
  <c r="L34" i="3"/>
  <c r="L36" i="3"/>
  <c r="L37" i="3"/>
  <c r="L35" i="3"/>
  <c r="T35" i="3"/>
  <c r="T37" i="3"/>
  <c r="T36" i="3"/>
  <c r="T34" i="3"/>
  <c r="T38" i="3" s="1"/>
  <c r="I49" i="3" s="1"/>
  <c r="X37" i="3"/>
  <c r="X35" i="3"/>
  <c r="X34" i="3"/>
  <c r="X36" i="3"/>
  <c r="D48" i="3"/>
  <c r="D47" i="3"/>
  <c r="D46" i="3"/>
  <c r="D49" i="3"/>
  <c r="P35" i="3"/>
  <c r="P36" i="3"/>
  <c r="P37" i="3"/>
  <c r="P34" i="3"/>
  <c r="P38" i="3" s="1"/>
  <c r="I48" i="3" s="1"/>
  <c r="L100" i="7" l="1"/>
  <c r="Q98" i="7" s="1"/>
  <c r="L98" i="7"/>
  <c r="Q97" i="7" s="1"/>
  <c r="L97" i="7"/>
  <c r="N61" i="7"/>
  <c r="L105" i="7"/>
  <c r="O100" i="7" s="1"/>
  <c r="L102" i="7"/>
  <c r="O99" i="7" s="1"/>
  <c r="L104" i="7"/>
  <c r="N100" i="7" s="1"/>
  <c r="L101" i="7"/>
  <c r="N99" i="7" s="1"/>
  <c r="T65" i="4"/>
  <c r="T66" i="4"/>
  <c r="T64" i="4"/>
  <c r="U67" i="4"/>
  <c r="X67" i="4" s="1"/>
  <c r="Y67" i="4" s="1"/>
  <c r="T78" i="4" s="1"/>
  <c r="U65" i="4"/>
  <c r="BG9" i="5"/>
  <c r="BF16" i="5" s="1"/>
  <c r="U64" i="4"/>
  <c r="AW9" i="5"/>
  <c r="AS16" i="5" s="1"/>
  <c r="BQ9" i="5"/>
  <c r="BM16" i="5" s="1"/>
  <c r="S65" i="4"/>
  <c r="S66" i="4"/>
  <c r="S64" i="4"/>
  <c r="AM7" i="5"/>
  <c r="AK14" i="5" s="1"/>
  <c r="AM8" i="5"/>
  <c r="AL15" i="5" s="1"/>
  <c r="AC9" i="5"/>
  <c r="Y16" i="5" s="1"/>
  <c r="H14" i="5"/>
  <c r="F14" i="5"/>
  <c r="G14" i="5"/>
  <c r="E14" i="5"/>
  <c r="AC7" i="5"/>
  <c r="Y14" i="5" s="1"/>
  <c r="BG10" i="5"/>
  <c r="AM9" i="5"/>
  <c r="AK16" i="5" s="1"/>
  <c r="F16" i="5"/>
  <c r="G16" i="5"/>
  <c r="E16" i="5"/>
  <c r="S9" i="5"/>
  <c r="P16" i="5" s="1"/>
  <c r="V65" i="4"/>
  <c r="BQ10" i="5"/>
  <c r="BO17" i="5" s="1"/>
  <c r="S8" i="5"/>
  <c r="AM10" i="5"/>
  <c r="AJ17" i="5" s="1"/>
  <c r="E15" i="5"/>
  <c r="G15" i="5"/>
  <c r="F15" i="5"/>
  <c r="E17" i="5"/>
  <c r="F17" i="5"/>
  <c r="H17" i="5"/>
  <c r="G17" i="5"/>
  <c r="AW10" i="5"/>
  <c r="AU17" i="5" s="1"/>
  <c r="AC8" i="5"/>
  <c r="AW7" i="5"/>
  <c r="BG7" i="5"/>
  <c r="BE14" i="5" s="1"/>
  <c r="V64" i="4"/>
  <c r="AC10" i="5"/>
  <c r="BQ8" i="5"/>
  <c r="BQ7" i="5"/>
  <c r="H16" i="5"/>
  <c r="BG8" i="5"/>
  <c r="BE15" i="5" s="1"/>
  <c r="S10" i="5"/>
  <c r="AW8" i="5"/>
  <c r="S7" i="5"/>
  <c r="P14" i="5" s="1"/>
  <c r="V66" i="4"/>
  <c r="I80" i="5"/>
  <c r="I91" i="5" s="1"/>
  <c r="I102" i="5" s="1"/>
  <c r="S72" i="5"/>
  <c r="I81" i="5"/>
  <c r="I92" i="5" s="1"/>
  <c r="W99" i="4"/>
  <c r="W110" i="4" s="1"/>
  <c r="W100" i="4"/>
  <c r="W111" i="4" s="1"/>
  <c r="V101" i="4"/>
  <c r="V112" i="4" s="1"/>
  <c r="T101" i="4"/>
  <c r="T112" i="4" s="1"/>
  <c r="W97" i="4"/>
  <c r="W108" i="4" s="1"/>
  <c r="D50" i="3"/>
  <c r="I44" i="3" s="1"/>
  <c r="L38" i="3"/>
  <c r="I47" i="3" s="1"/>
  <c r="X38" i="3"/>
  <c r="I50" i="3" s="1"/>
  <c r="U69" i="4" l="1"/>
  <c r="U70" i="4" s="1"/>
  <c r="P97" i="7"/>
  <c r="AU16" i="5"/>
  <c r="BP16" i="5"/>
  <c r="BC16" i="5"/>
  <c r="T69" i="4"/>
  <c r="T70" i="4" s="1"/>
  <c r="BE16" i="5"/>
  <c r="X64" i="4"/>
  <c r="Y64" i="4" s="1"/>
  <c r="U75" i="4" s="1"/>
  <c r="BD16" i="5"/>
  <c r="BH16" i="5" s="1"/>
  <c r="BI16" i="5" s="1"/>
  <c r="S69" i="4"/>
  <c r="S70" i="4" s="1"/>
  <c r="X66" i="4"/>
  <c r="Y66" i="4" s="1"/>
  <c r="T77" i="4" s="1"/>
  <c r="AT16" i="5"/>
  <c r="X65" i="4"/>
  <c r="Y65" i="4" s="1"/>
  <c r="V76" i="4" s="1"/>
  <c r="BO16" i="5"/>
  <c r="AV16" i="5"/>
  <c r="AL14" i="5"/>
  <c r="AB16" i="5"/>
  <c r="BN16" i="5"/>
  <c r="AJ14" i="5"/>
  <c r="V78" i="4"/>
  <c r="U78" i="4"/>
  <c r="S78" i="4"/>
  <c r="AI14" i="5"/>
  <c r="AS17" i="5"/>
  <c r="AK15" i="5"/>
  <c r="AJ15" i="5"/>
  <c r="AI15" i="5"/>
  <c r="J16" i="5"/>
  <c r="K16" i="5" s="1"/>
  <c r="BC14" i="5"/>
  <c r="AV17" i="5"/>
  <c r="Z14" i="5"/>
  <c r="BD14" i="5"/>
  <c r="BM17" i="5"/>
  <c r="AA16" i="5"/>
  <c r="Z16" i="5"/>
  <c r="R14" i="5"/>
  <c r="Q14" i="5"/>
  <c r="O14" i="5"/>
  <c r="BP15" i="5"/>
  <c r="BM15" i="5"/>
  <c r="BN15" i="5"/>
  <c r="BO15" i="5"/>
  <c r="Q15" i="5"/>
  <c r="P15" i="5"/>
  <c r="R15" i="5"/>
  <c r="O15" i="5"/>
  <c r="BD17" i="5"/>
  <c r="BE17" i="5"/>
  <c r="BC17" i="5"/>
  <c r="BF17" i="5"/>
  <c r="Z17" i="5"/>
  <c r="AA17" i="5"/>
  <c r="AB17" i="5"/>
  <c r="Y17" i="5"/>
  <c r="J17" i="5"/>
  <c r="K17" i="5" s="1"/>
  <c r="O17" i="5"/>
  <c r="P17" i="5"/>
  <c r="R17" i="5"/>
  <c r="Q17" i="5"/>
  <c r="BN17" i="5"/>
  <c r="J14" i="5"/>
  <c r="K14" i="5" s="1"/>
  <c r="E19" i="5"/>
  <c r="E20" i="5" s="1"/>
  <c r="AT14" i="5"/>
  <c r="AS14" i="5"/>
  <c r="AU14" i="5"/>
  <c r="AV14" i="5"/>
  <c r="R16" i="5"/>
  <c r="Q16" i="5"/>
  <c r="O16" i="5"/>
  <c r="G19" i="5"/>
  <c r="G20" i="5" s="1"/>
  <c r="AA14" i="5"/>
  <c r="Y15" i="5"/>
  <c r="AB15" i="5"/>
  <c r="AA15" i="5"/>
  <c r="Z15" i="5"/>
  <c r="J15" i="5"/>
  <c r="K15" i="5" s="1"/>
  <c r="F19" i="5"/>
  <c r="F20" i="5" s="1"/>
  <c r="F28" i="5" s="1"/>
  <c r="AB14" i="5"/>
  <c r="AT15" i="5"/>
  <c r="AU15" i="5"/>
  <c r="AV15" i="5"/>
  <c r="AS15" i="5"/>
  <c r="V69" i="4"/>
  <c r="V70" i="4" s="1"/>
  <c r="BC15" i="5"/>
  <c r="BD15" i="5"/>
  <c r="AK17" i="5"/>
  <c r="AL17" i="5"/>
  <c r="AI17" i="5"/>
  <c r="H19" i="5"/>
  <c r="H20" i="5" s="1"/>
  <c r="AJ16" i="5"/>
  <c r="AI16" i="5"/>
  <c r="AL16" i="5"/>
  <c r="BF15" i="5"/>
  <c r="AT17" i="5"/>
  <c r="BP17" i="5"/>
  <c r="BN14" i="5"/>
  <c r="BM14" i="5"/>
  <c r="BP14" i="5"/>
  <c r="BF14" i="5"/>
  <c r="BO14" i="5"/>
  <c r="S83" i="5"/>
  <c r="I113" i="5"/>
  <c r="I103" i="5"/>
  <c r="BE19" i="5" l="1"/>
  <c r="BE20" i="5" s="1"/>
  <c r="BE25" i="5" s="1"/>
  <c r="T75" i="4"/>
  <c r="V75" i="4"/>
  <c r="S75" i="4"/>
  <c r="T76" i="4"/>
  <c r="AX16" i="5"/>
  <c r="AY16" i="5" s="1"/>
  <c r="S76" i="4"/>
  <c r="V77" i="4"/>
  <c r="BR16" i="5"/>
  <c r="BS16" i="5" s="1"/>
  <c r="U77" i="4"/>
  <c r="S77" i="4"/>
  <c r="U76" i="4"/>
  <c r="X76" i="4" s="1"/>
  <c r="Y76" i="4" s="1"/>
  <c r="AN14" i="5"/>
  <c r="AO14" i="5" s="1"/>
  <c r="X78" i="4"/>
  <c r="Y78" i="4" s="1"/>
  <c r="AD16" i="5"/>
  <c r="AE16" i="5" s="1"/>
  <c r="AX17" i="5"/>
  <c r="AY17" i="5" s="1"/>
  <c r="AJ19" i="5"/>
  <c r="AJ20" i="5" s="1"/>
  <c r="AJ25" i="5" s="1"/>
  <c r="BR17" i="5"/>
  <c r="BS17" i="5" s="1"/>
  <c r="AN15" i="5"/>
  <c r="AO15" i="5" s="1"/>
  <c r="F26" i="5"/>
  <c r="BH14" i="5"/>
  <c r="BI14" i="5" s="1"/>
  <c r="BN19" i="5"/>
  <c r="BN20" i="5" s="1"/>
  <c r="BN26" i="5" s="1"/>
  <c r="AD17" i="5"/>
  <c r="AE17" i="5" s="1"/>
  <c r="P19" i="5"/>
  <c r="P20" i="5" s="1"/>
  <c r="P27" i="5" s="1"/>
  <c r="BD19" i="5"/>
  <c r="BD20" i="5" s="1"/>
  <c r="BD26" i="5" s="1"/>
  <c r="AU19" i="5"/>
  <c r="AU20" i="5" s="1"/>
  <c r="AU28" i="5" s="1"/>
  <c r="AA19" i="5"/>
  <c r="AA20" i="5" s="1"/>
  <c r="AA27" i="5" s="1"/>
  <c r="AS19" i="5"/>
  <c r="AS20" i="5" s="1"/>
  <c r="AX14" i="5"/>
  <c r="AY14" i="5" s="1"/>
  <c r="T17" i="5"/>
  <c r="U17" i="5" s="1"/>
  <c r="Q19" i="5"/>
  <c r="Q20" i="5" s="1"/>
  <c r="Q26" i="5" s="1"/>
  <c r="O19" i="5"/>
  <c r="O20" i="5" s="1"/>
  <c r="O27" i="5" s="1"/>
  <c r="T15" i="5"/>
  <c r="U15" i="5" s="1"/>
  <c r="AK19" i="5"/>
  <c r="AK20" i="5" s="1"/>
  <c r="AK28" i="5" s="1"/>
  <c r="AD15" i="5"/>
  <c r="AE15" i="5" s="1"/>
  <c r="AX15" i="5"/>
  <c r="AY15" i="5" s="1"/>
  <c r="AL19" i="5"/>
  <c r="AL20" i="5" s="1"/>
  <c r="AL28" i="5" s="1"/>
  <c r="AD14" i="5"/>
  <c r="AE14" i="5" s="1"/>
  <c r="BR15" i="5"/>
  <c r="BS15" i="5" s="1"/>
  <c r="G27" i="5"/>
  <c r="G26" i="5"/>
  <c r="G25" i="5"/>
  <c r="BH15" i="5"/>
  <c r="BI15" i="5" s="1"/>
  <c r="BC19" i="5"/>
  <c r="BC20" i="5" s="1"/>
  <c r="BC26" i="5" s="1"/>
  <c r="BO19" i="5"/>
  <c r="BO20" i="5" s="1"/>
  <c r="T16" i="5"/>
  <c r="U16" i="5" s="1"/>
  <c r="T14" i="5"/>
  <c r="U14" i="5" s="1"/>
  <c r="BM19" i="5"/>
  <c r="BM20" i="5" s="1"/>
  <c r="BR14" i="5"/>
  <c r="BS14" i="5" s="1"/>
  <c r="E28" i="5"/>
  <c r="E26" i="5"/>
  <c r="E25" i="5"/>
  <c r="E27" i="5"/>
  <c r="BE27" i="5"/>
  <c r="BE26" i="5"/>
  <c r="BF19" i="5"/>
  <c r="BF20" i="5" s="1"/>
  <c r="BF27" i="5" s="1"/>
  <c r="H25" i="5"/>
  <c r="H26" i="5"/>
  <c r="H27" i="5"/>
  <c r="AB19" i="5"/>
  <c r="AB20" i="5" s="1"/>
  <c r="AB26" i="5" s="1"/>
  <c r="BH17" i="5"/>
  <c r="BI17" i="5" s="1"/>
  <c r="AT19" i="5"/>
  <c r="AT20" i="5" s="1"/>
  <c r="AT25" i="5" s="1"/>
  <c r="AN16" i="5"/>
  <c r="AO16" i="5" s="1"/>
  <c r="AI19" i="5"/>
  <c r="AI20" i="5" s="1"/>
  <c r="AI27" i="5" s="1"/>
  <c r="AN17" i="5"/>
  <c r="AO17" i="5" s="1"/>
  <c r="F27" i="5"/>
  <c r="F25" i="5"/>
  <c r="BE28" i="5"/>
  <c r="R19" i="5"/>
  <c r="R20" i="5" s="1"/>
  <c r="R26" i="5" s="1"/>
  <c r="H28" i="5"/>
  <c r="Z19" i="5"/>
  <c r="Z20" i="5" s="1"/>
  <c r="Z26" i="5" s="1"/>
  <c r="Y19" i="5"/>
  <c r="Y20" i="5" s="1"/>
  <c r="Y28" i="5" s="1"/>
  <c r="BP19" i="5"/>
  <c r="BP20" i="5" s="1"/>
  <c r="BP27" i="5" s="1"/>
  <c r="AV19" i="5"/>
  <c r="AV20" i="5" s="1"/>
  <c r="G28" i="5"/>
  <c r="S94" i="5"/>
  <c r="S105" i="5" s="1"/>
  <c r="S116" i="5" s="1"/>
  <c r="I114" i="5"/>
  <c r="T80" i="4" l="1"/>
  <c r="T81" i="4" s="1"/>
  <c r="T86" i="4" s="1"/>
  <c r="V80" i="4"/>
  <c r="V81" i="4" s="1"/>
  <c r="V88" i="4" s="1"/>
  <c r="X75" i="4"/>
  <c r="Y75" i="4" s="1"/>
  <c r="S80" i="4"/>
  <c r="S81" i="4" s="1"/>
  <c r="S86" i="4" s="1"/>
  <c r="U80" i="4"/>
  <c r="U81" i="4" s="1"/>
  <c r="U88" i="4" s="1"/>
  <c r="X77" i="4"/>
  <c r="Y77" i="4" s="1"/>
  <c r="V86" i="4"/>
  <c r="V89" i="4"/>
  <c r="V87" i="4"/>
  <c r="F30" i="5"/>
  <c r="F31" i="5" s="1"/>
  <c r="AJ28" i="5"/>
  <c r="AJ27" i="5"/>
  <c r="P28" i="5"/>
  <c r="AJ26" i="5"/>
  <c r="BN25" i="5"/>
  <c r="BN27" i="5"/>
  <c r="BN28" i="5"/>
  <c r="BD28" i="5"/>
  <c r="J27" i="5"/>
  <c r="K27" i="5" s="1"/>
  <c r="F38" i="5" s="1"/>
  <c r="BD27" i="5"/>
  <c r="P26" i="5"/>
  <c r="BD25" i="5"/>
  <c r="BP25" i="5"/>
  <c r="O26" i="5"/>
  <c r="AU27" i="5"/>
  <c r="AA28" i="5"/>
  <c r="R25" i="5"/>
  <c r="AA26" i="5"/>
  <c r="P25" i="5"/>
  <c r="R28" i="5"/>
  <c r="Q25" i="5"/>
  <c r="Q28" i="5"/>
  <c r="BE30" i="5"/>
  <c r="BE31" i="5" s="1"/>
  <c r="R27" i="5"/>
  <c r="J26" i="5"/>
  <c r="K26" i="5" s="1"/>
  <c r="F37" i="5" s="1"/>
  <c r="J28" i="5"/>
  <c r="K28" i="5" s="1"/>
  <c r="H39" i="5" s="1"/>
  <c r="Q27" i="5"/>
  <c r="AT26" i="5"/>
  <c r="AU25" i="5"/>
  <c r="AU26" i="5"/>
  <c r="AS25" i="5"/>
  <c r="AS27" i="5"/>
  <c r="AS28" i="5"/>
  <c r="BO25" i="5"/>
  <c r="BO27" i="5"/>
  <c r="BO28" i="5"/>
  <c r="AA25" i="5"/>
  <c r="BP28" i="5"/>
  <c r="AL26" i="5"/>
  <c r="AL25" i="5"/>
  <c r="BM26" i="5"/>
  <c r="BM28" i="5"/>
  <c r="BM25" i="5"/>
  <c r="BM27" i="5"/>
  <c r="AL27" i="5"/>
  <c r="AI26" i="5"/>
  <c r="AI25" i="5"/>
  <c r="AI28" i="5"/>
  <c r="H30" i="5"/>
  <c r="H31" i="5" s="1"/>
  <c r="O25" i="5"/>
  <c r="BP26" i="5"/>
  <c r="J25" i="5"/>
  <c r="K25" i="5" s="1"/>
  <c r="G36" i="5" s="1"/>
  <c r="E30" i="5"/>
  <c r="E31" i="5" s="1"/>
  <c r="AB27" i="5"/>
  <c r="AB25" i="5"/>
  <c r="Z27" i="5"/>
  <c r="Z25" i="5"/>
  <c r="Z28" i="5"/>
  <c r="AS26" i="5"/>
  <c r="AB28" i="5"/>
  <c r="AK26" i="5"/>
  <c r="AK25" i="5"/>
  <c r="AK27" i="5"/>
  <c r="BF25" i="5"/>
  <c r="BF28" i="5"/>
  <c r="G30" i="5"/>
  <c r="G31" i="5" s="1"/>
  <c r="O28" i="5"/>
  <c r="BO26" i="5"/>
  <c r="Y25" i="5"/>
  <c r="Y27" i="5"/>
  <c r="BF26" i="5"/>
  <c r="BH26" i="5" s="1"/>
  <c r="BI26" i="5" s="1"/>
  <c r="Y26" i="5"/>
  <c r="BC25" i="5"/>
  <c r="BC27" i="5"/>
  <c r="BC28" i="5"/>
  <c r="AV25" i="5"/>
  <c r="AV26" i="5"/>
  <c r="AV27" i="5"/>
  <c r="AV28" i="5"/>
  <c r="AT28" i="5"/>
  <c r="AT27" i="5"/>
  <c r="U86" i="4"/>
  <c r="U87" i="4"/>
  <c r="U89" i="4"/>
  <c r="T89" i="4" l="1"/>
  <c r="T87" i="4"/>
  <c r="T91" i="4" s="1"/>
  <c r="T92" i="4" s="1"/>
  <c r="T88" i="4"/>
  <c r="V91" i="4"/>
  <c r="V92" i="4" s="1"/>
  <c r="S87" i="4"/>
  <c r="X87" i="4" s="1"/>
  <c r="Y87" i="4" s="1"/>
  <c r="S98" i="4" s="1"/>
  <c r="S89" i="4"/>
  <c r="X89" i="4" s="1"/>
  <c r="Y89" i="4" s="1"/>
  <c r="S100" i="4" s="1"/>
  <c r="S88" i="4"/>
  <c r="X88" i="4" s="1"/>
  <c r="Y88" i="4" s="1"/>
  <c r="T99" i="4" s="1"/>
  <c r="AJ30" i="5"/>
  <c r="AJ31" i="5" s="1"/>
  <c r="AN28" i="5"/>
  <c r="AO28" i="5" s="1"/>
  <c r="AK39" i="5" s="1"/>
  <c r="BN30" i="5"/>
  <c r="BN31" i="5" s="1"/>
  <c r="E38" i="5"/>
  <c r="J38" i="5" s="1"/>
  <c r="K38" i="5" s="1"/>
  <c r="T26" i="5"/>
  <c r="U26" i="5" s="1"/>
  <c r="Q37" i="5" s="1"/>
  <c r="BD30" i="5"/>
  <c r="BD31" i="5" s="1"/>
  <c r="G38" i="5"/>
  <c r="H38" i="5"/>
  <c r="T27" i="5"/>
  <c r="U27" i="5" s="1"/>
  <c r="Q38" i="5" s="1"/>
  <c r="T28" i="5"/>
  <c r="U28" i="5" s="1"/>
  <c r="P39" i="5" s="1"/>
  <c r="AD26" i="5"/>
  <c r="AE26" i="5" s="1"/>
  <c r="Z37" i="5" s="1"/>
  <c r="AT30" i="5"/>
  <c r="AT31" i="5" s="1"/>
  <c r="F39" i="5"/>
  <c r="P30" i="5"/>
  <c r="P31" i="5" s="1"/>
  <c r="AD28" i="5"/>
  <c r="AE28" i="5" s="1"/>
  <c r="Y39" i="5" s="1"/>
  <c r="AU30" i="5"/>
  <c r="AU31" i="5" s="1"/>
  <c r="E39" i="5"/>
  <c r="BP30" i="5"/>
  <c r="BP31" i="5" s="1"/>
  <c r="G39" i="5"/>
  <c r="R30" i="5"/>
  <c r="R31" i="5" s="1"/>
  <c r="Q30" i="5"/>
  <c r="Q31" i="5" s="1"/>
  <c r="AL30" i="5"/>
  <c r="AL31" i="5" s="1"/>
  <c r="AN27" i="5"/>
  <c r="AO27" i="5" s="1"/>
  <c r="AI38" i="5" s="1"/>
  <c r="G37" i="5"/>
  <c r="H37" i="5"/>
  <c r="E37" i="5"/>
  <c r="BR28" i="5"/>
  <c r="BS28" i="5" s="1"/>
  <c r="BR26" i="5"/>
  <c r="BS26" i="5" s="1"/>
  <c r="BP37" i="5" s="1"/>
  <c r="AV30" i="5"/>
  <c r="AV31" i="5" s="1"/>
  <c r="BF37" i="5"/>
  <c r="BE37" i="5"/>
  <c r="BD37" i="5"/>
  <c r="BC37" i="5"/>
  <c r="AD25" i="5"/>
  <c r="AE25" i="5" s="1"/>
  <c r="Z36" i="5" s="1"/>
  <c r="AB30" i="5"/>
  <c r="AB31" i="5" s="1"/>
  <c r="BR27" i="5"/>
  <c r="BS27" i="5" s="1"/>
  <c r="BM30" i="5"/>
  <c r="BM31" i="5" s="1"/>
  <c r="BR25" i="5"/>
  <c r="BS25" i="5" s="1"/>
  <c r="BM36" i="5" s="1"/>
  <c r="AX28" i="5"/>
  <c r="AY28" i="5" s="1"/>
  <c r="AV39" i="5" s="1"/>
  <c r="AW125" i="5" s="1"/>
  <c r="E36" i="5"/>
  <c r="AK30" i="5"/>
  <c r="AK31" i="5" s="1"/>
  <c r="AX27" i="5"/>
  <c r="AY27" i="5" s="1"/>
  <c r="AT38" i="5" s="1"/>
  <c r="AU124" i="5" s="1"/>
  <c r="T25" i="5"/>
  <c r="U25" i="5" s="1"/>
  <c r="O36" i="5" s="1"/>
  <c r="O30" i="5"/>
  <c r="O31" i="5" s="1"/>
  <c r="AX25" i="5"/>
  <c r="AY25" i="5" s="1"/>
  <c r="AS30" i="5"/>
  <c r="AS31" i="5" s="1"/>
  <c r="BF30" i="5"/>
  <c r="BF31" i="5" s="1"/>
  <c r="H36" i="5"/>
  <c r="AJ39" i="5"/>
  <c r="F36" i="5"/>
  <c r="BH28" i="5"/>
  <c r="BI28" i="5" s="1"/>
  <c r="BF39" i="5" s="1"/>
  <c r="AD27" i="5"/>
  <c r="AE27" i="5" s="1"/>
  <c r="AB38" i="5" s="1"/>
  <c r="AN25" i="5"/>
  <c r="AO25" i="5" s="1"/>
  <c r="AI30" i="5"/>
  <c r="AI31" i="5" s="1"/>
  <c r="AX26" i="5"/>
  <c r="AY26" i="5" s="1"/>
  <c r="BH27" i="5"/>
  <c r="BI27" i="5" s="1"/>
  <c r="Y30" i="5"/>
  <c r="Y31" i="5" s="1"/>
  <c r="Z30" i="5"/>
  <c r="Z31" i="5" s="1"/>
  <c r="AN26" i="5"/>
  <c r="AO26" i="5" s="1"/>
  <c r="AK37" i="5" s="1"/>
  <c r="BO30" i="5"/>
  <c r="BO31" i="5" s="1"/>
  <c r="BC30" i="5"/>
  <c r="BC31" i="5" s="1"/>
  <c r="BH25" i="5"/>
  <c r="BI25" i="5" s="1"/>
  <c r="BF36" i="5" s="1"/>
  <c r="AA30" i="5"/>
  <c r="AA31" i="5" s="1"/>
  <c r="U91" i="4"/>
  <c r="U92" i="4" s="1"/>
  <c r="X86" i="4"/>
  <c r="Y86" i="4" s="1"/>
  <c r="AL39" i="5" l="1"/>
  <c r="Q39" i="5"/>
  <c r="S91" i="4"/>
  <c r="S92" i="4" s="1"/>
  <c r="AI39" i="5"/>
  <c r="R37" i="5"/>
  <c r="O37" i="5"/>
  <c r="P37" i="5"/>
  <c r="P38" i="5"/>
  <c r="O38" i="5"/>
  <c r="R38" i="5"/>
  <c r="BH37" i="5"/>
  <c r="BI37" i="5" s="1"/>
  <c r="AB37" i="5"/>
  <c r="O39" i="5"/>
  <c r="AA37" i="5"/>
  <c r="R39" i="5"/>
  <c r="AB39" i="5"/>
  <c r="J39" i="5"/>
  <c r="K39" i="5" s="1"/>
  <c r="Y37" i="5"/>
  <c r="J37" i="5"/>
  <c r="K37" i="5" s="1"/>
  <c r="F41" i="5"/>
  <c r="F42" i="5" s="1"/>
  <c r="F47" i="5" s="1"/>
  <c r="AA39" i="5"/>
  <c r="AN39" i="5"/>
  <c r="AO39" i="5" s="1"/>
  <c r="AT39" i="5"/>
  <c r="AU125" i="5" s="1"/>
  <c r="AS148" i="5" s="1"/>
  <c r="Z39" i="5"/>
  <c r="BO37" i="5"/>
  <c r="G41" i="5"/>
  <c r="G42" i="5" s="1"/>
  <c r="G49" i="5" s="1"/>
  <c r="U100" i="4"/>
  <c r="AS38" i="5"/>
  <c r="AT124" i="5" s="1"/>
  <c r="S99" i="4"/>
  <c r="AB36" i="5"/>
  <c r="AL37" i="5"/>
  <c r="H41" i="5"/>
  <c r="H42" i="5" s="1"/>
  <c r="BO39" i="5"/>
  <c r="BN39" i="5"/>
  <c r="BM39" i="5"/>
  <c r="AL38" i="5"/>
  <c r="AK38" i="5"/>
  <c r="AJ38" i="5"/>
  <c r="BN37" i="5"/>
  <c r="BM37" i="5"/>
  <c r="BP39" i="5"/>
  <c r="BE38" i="5"/>
  <c r="BD38" i="5"/>
  <c r="BF38" i="5"/>
  <c r="BF41" i="5" s="1"/>
  <c r="BF42" i="5" s="1"/>
  <c r="BF47" i="5" s="1"/>
  <c r="AS36" i="5"/>
  <c r="AU36" i="5"/>
  <c r="AT36" i="5"/>
  <c r="BO38" i="5"/>
  <c r="BP38" i="5"/>
  <c r="BN38" i="5"/>
  <c r="AS37" i="5"/>
  <c r="AU37" i="5"/>
  <c r="AV123" i="5" s="1"/>
  <c r="AT37" i="5"/>
  <c r="AU123" i="5" s="1"/>
  <c r="AV37" i="5"/>
  <c r="AW123" i="5" s="1"/>
  <c r="AU137" i="5"/>
  <c r="AU148" i="5"/>
  <c r="AU159" i="5"/>
  <c r="BM38" i="5"/>
  <c r="AV36" i="5"/>
  <c r="AV38" i="5"/>
  <c r="AW124" i="5" s="1"/>
  <c r="AU38" i="5"/>
  <c r="AV124" i="5" s="1"/>
  <c r="AA36" i="5"/>
  <c r="AJ36" i="5"/>
  <c r="AL36" i="5"/>
  <c r="AI36" i="5"/>
  <c r="AK36" i="5"/>
  <c r="AI37" i="5"/>
  <c r="AJ37" i="5"/>
  <c r="Y38" i="5"/>
  <c r="AA38" i="5"/>
  <c r="J36" i="5"/>
  <c r="K36" i="5" s="1"/>
  <c r="E41" i="5"/>
  <c r="E42" i="5" s="1"/>
  <c r="AS136" i="5"/>
  <c r="AS147" i="5"/>
  <c r="AS158" i="5"/>
  <c r="Q36" i="5"/>
  <c r="R36" i="5"/>
  <c r="P36" i="5"/>
  <c r="Z38" i="5"/>
  <c r="Y36" i="5"/>
  <c r="BC39" i="5"/>
  <c r="BD39" i="5"/>
  <c r="BE39" i="5"/>
  <c r="AS39" i="5"/>
  <c r="AU39" i="5"/>
  <c r="AV125" i="5" s="1"/>
  <c r="BC36" i="5"/>
  <c r="BD36" i="5"/>
  <c r="BE36" i="5"/>
  <c r="BC38" i="5"/>
  <c r="BN36" i="5"/>
  <c r="BP36" i="5"/>
  <c r="BO36" i="5"/>
  <c r="V98" i="4"/>
  <c r="V100" i="4"/>
  <c r="V97" i="4"/>
  <c r="T97" i="4"/>
  <c r="S97" i="4"/>
  <c r="U97" i="4"/>
  <c r="T100" i="4"/>
  <c r="T98" i="4"/>
  <c r="U99" i="4"/>
  <c r="U98" i="4"/>
  <c r="V99" i="4"/>
  <c r="O41" i="5" l="1"/>
  <c r="O42" i="5" s="1"/>
  <c r="O50" i="5" s="1"/>
  <c r="T38" i="5"/>
  <c r="U38" i="5" s="1"/>
  <c r="T37" i="5"/>
  <c r="U37" i="5" s="1"/>
  <c r="T39" i="5"/>
  <c r="U39" i="5" s="1"/>
  <c r="AB41" i="5"/>
  <c r="AB42" i="5" s="1"/>
  <c r="AB50" i="5" s="1"/>
  <c r="AC125" i="5" s="1"/>
  <c r="AA148" i="5" s="1"/>
  <c r="AD37" i="5"/>
  <c r="AE37" i="5" s="1"/>
  <c r="AS137" i="5"/>
  <c r="F49" i="5"/>
  <c r="F48" i="5"/>
  <c r="AD39" i="5"/>
  <c r="AE39" i="5" s="1"/>
  <c r="AS159" i="5"/>
  <c r="F50" i="5"/>
  <c r="G47" i="5"/>
  <c r="G48" i="5"/>
  <c r="G50" i="5"/>
  <c r="Z41" i="5"/>
  <c r="Z42" i="5" s="1"/>
  <c r="Z48" i="5" s="1"/>
  <c r="AA123" i="5" s="1"/>
  <c r="Y157" i="5" s="1"/>
  <c r="T36" i="5"/>
  <c r="U36" i="5" s="1"/>
  <c r="BR37" i="5"/>
  <c r="BS37" i="5" s="1"/>
  <c r="BO41" i="5"/>
  <c r="BO42" i="5" s="1"/>
  <c r="BO48" i="5" s="1"/>
  <c r="AB48" i="5"/>
  <c r="AC123" i="5" s="1"/>
  <c r="AN38" i="5"/>
  <c r="AO38" i="5" s="1"/>
  <c r="AB49" i="5"/>
  <c r="AC124" i="5" s="1"/>
  <c r="AA147" i="5" s="1"/>
  <c r="AB47" i="5"/>
  <c r="AC122" i="5" s="1"/>
  <c r="AA145" i="5" s="1"/>
  <c r="O47" i="5"/>
  <c r="AX38" i="5"/>
  <c r="AY38" i="5" s="1"/>
  <c r="BR39" i="5"/>
  <c r="BS39" i="5" s="1"/>
  <c r="H47" i="5"/>
  <c r="H49" i="5"/>
  <c r="H50" i="5"/>
  <c r="H48" i="5"/>
  <c r="AL41" i="5"/>
  <c r="AL42" i="5" s="1"/>
  <c r="AK41" i="5"/>
  <c r="AK42" i="5" s="1"/>
  <c r="AK49" i="5" s="1"/>
  <c r="AA41" i="5"/>
  <c r="AA42" i="5" s="1"/>
  <c r="AA49" i="5" s="1"/>
  <c r="AB124" i="5" s="1"/>
  <c r="BR38" i="5"/>
  <c r="BS38" i="5" s="1"/>
  <c r="BM41" i="5"/>
  <c r="BM42" i="5" s="1"/>
  <c r="BH39" i="5"/>
  <c r="BI39" i="5" s="1"/>
  <c r="AD36" i="5"/>
  <c r="AE36" i="5" s="1"/>
  <c r="Y41" i="5"/>
  <c r="Y42" i="5" s="1"/>
  <c r="Y49" i="5" s="1"/>
  <c r="AV122" i="5"/>
  <c r="AU41" i="5"/>
  <c r="AU42" i="5" s="1"/>
  <c r="E47" i="5"/>
  <c r="E50" i="5"/>
  <c r="E48" i="5"/>
  <c r="E49" i="5"/>
  <c r="AD38" i="5"/>
  <c r="AE38" i="5" s="1"/>
  <c r="AR136" i="5"/>
  <c r="AR147" i="5"/>
  <c r="AR158" i="5"/>
  <c r="AT122" i="5"/>
  <c r="AX36" i="5"/>
  <c r="AY36" i="5" s="1"/>
  <c r="AS41" i="5"/>
  <c r="AS42" i="5" s="1"/>
  <c r="O49" i="5"/>
  <c r="O48" i="5"/>
  <c r="AU146" i="5"/>
  <c r="AU157" i="5"/>
  <c r="AU135" i="5"/>
  <c r="BF49" i="5"/>
  <c r="BP41" i="5"/>
  <c r="BP42" i="5" s="1"/>
  <c r="BC41" i="5"/>
  <c r="BC42" i="5" s="1"/>
  <c r="BC48" i="5" s="1"/>
  <c r="BH36" i="5"/>
  <c r="BI36" i="5" s="1"/>
  <c r="AT158" i="5"/>
  <c r="AT136" i="5"/>
  <c r="AT147" i="5"/>
  <c r="AT135" i="5"/>
  <c r="AT157" i="5"/>
  <c r="AT146" i="5"/>
  <c r="AT125" i="5"/>
  <c r="AX39" i="5"/>
  <c r="AY39" i="5" s="1"/>
  <c r="BD41" i="5"/>
  <c r="BD42" i="5" s="1"/>
  <c r="BD49" i="5" s="1"/>
  <c r="AN37" i="5"/>
  <c r="AO37" i="5" s="1"/>
  <c r="Q41" i="5"/>
  <c r="Q42" i="5" s="1"/>
  <c r="Q47" i="5" s="1"/>
  <c r="AN36" i="5"/>
  <c r="AO36" i="5" s="1"/>
  <c r="AI41" i="5"/>
  <c r="AI42" i="5" s="1"/>
  <c r="AU158" i="5"/>
  <c r="AU136" i="5"/>
  <c r="AU147" i="5"/>
  <c r="AX37" i="5"/>
  <c r="AY37" i="5" s="1"/>
  <c r="AT123" i="5"/>
  <c r="BN41" i="5"/>
  <c r="BN42" i="5" s="1"/>
  <c r="BN47" i="5" s="1"/>
  <c r="BH38" i="5"/>
  <c r="BI38" i="5" s="1"/>
  <c r="AS146" i="5"/>
  <c r="AS135" i="5"/>
  <c r="AS157" i="5"/>
  <c r="BF48" i="5"/>
  <c r="BF50" i="5"/>
  <c r="AU122" i="5"/>
  <c r="AT41" i="5"/>
  <c r="AT42" i="5" s="1"/>
  <c r="BE41" i="5"/>
  <c r="BE42" i="5" s="1"/>
  <c r="BE48" i="5" s="1"/>
  <c r="P41" i="5"/>
  <c r="P42" i="5" s="1"/>
  <c r="P47" i="5" s="1"/>
  <c r="R41" i="5"/>
  <c r="R42" i="5" s="1"/>
  <c r="R47" i="5" s="1"/>
  <c r="AT159" i="5"/>
  <c r="AT137" i="5"/>
  <c r="AT148" i="5"/>
  <c r="AJ41" i="5"/>
  <c r="AJ42" i="5" s="1"/>
  <c r="AJ47" i="5" s="1"/>
  <c r="AV41" i="5"/>
  <c r="AV42" i="5" s="1"/>
  <c r="AW122" i="5"/>
  <c r="BR36" i="5"/>
  <c r="BS36" i="5" s="1"/>
  <c r="AA137" i="5"/>
  <c r="X99" i="4"/>
  <c r="Y99" i="4" s="1"/>
  <c r="X98" i="4"/>
  <c r="Y98" i="4" s="1"/>
  <c r="U102" i="4"/>
  <c r="U103" i="4" s="1"/>
  <c r="U109" i="4" s="1"/>
  <c r="T102" i="4"/>
  <c r="T103" i="4" s="1"/>
  <c r="T110" i="4" s="1"/>
  <c r="X100" i="4"/>
  <c r="Y100" i="4" s="1"/>
  <c r="S102" i="4"/>
  <c r="S103" i="4" s="1"/>
  <c r="S108" i="4" s="1"/>
  <c r="X97" i="4"/>
  <c r="Y97" i="4" s="1"/>
  <c r="V102" i="4"/>
  <c r="V103" i="4" s="1"/>
  <c r="V109" i="4" s="1"/>
  <c r="AA159" i="5" l="1"/>
  <c r="G52" i="5"/>
  <c r="G53" i="5" s="1"/>
  <c r="V108" i="4"/>
  <c r="V110" i="4"/>
  <c r="S110" i="4"/>
  <c r="F52" i="5"/>
  <c r="F53" i="5" s="1"/>
  <c r="BO47" i="5"/>
  <c r="U111" i="4"/>
  <c r="Z47" i="5"/>
  <c r="AA122" i="5" s="1"/>
  <c r="Y134" i="5" s="1"/>
  <c r="U108" i="4"/>
  <c r="Z50" i="5"/>
  <c r="AA125" i="5" s="1"/>
  <c r="Y148" i="5" s="1"/>
  <c r="T109" i="4"/>
  <c r="V111" i="4"/>
  <c r="AA136" i="5"/>
  <c r="U110" i="4"/>
  <c r="AA158" i="5"/>
  <c r="T111" i="4"/>
  <c r="S109" i="4"/>
  <c r="S111" i="4"/>
  <c r="Y135" i="5"/>
  <c r="T108" i="4"/>
  <c r="BF52" i="5"/>
  <c r="BF53" i="5" s="1"/>
  <c r="Z49" i="5"/>
  <c r="AA124" i="5" s="1"/>
  <c r="Y158" i="5" s="1"/>
  <c r="BO50" i="5"/>
  <c r="Y146" i="5"/>
  <c r="BO49" i="5"/>
  <c r="J48" i="5"/>
  <c r="K48" i="5" s="1"/>
  <c r="F59" i="5" s="1"/>
  <c r="BD47" i="5"/>
  <c r="BC49" i="5"/>
  <c r="BC47" i="5"/>
  <c r="AA134" i="5"/>
  <c r="O52" i="5"/>
  <c r="O53" i="5" s="1"/>
  <c r="J49" i="5"/>
  <c r="K49" i="5" s="1"/>
  <c r="H60" i="5" s="1"/>
  <c r="AA156" i="5"/>
  <c r="AB52" i="5"/>
  <c r="AB53" i="5" s="1"/>
  <c r="Z136" i="5"/>
  <c r="Z147" i="5"/>
  <c r="Z158" i="5"/>
  <c r="Z124" i="5"/>
  <c r="X158" i="5" s="1"/>
  <c r="AL47" i="5"/>
  <c r="AL48" i="5"/>
  <c r="AL50" i="5"/>
  <c r="BC50" i="5"/>
  <c r="AK48" i="5"/>
  <c r="AK47" i="5"/>
  <c r="AK50" i="5"/>
  <c r="BE49" i="5"/>
  <c r="AA50" i="5"/>
  <c r="AB125" i="5" s="1"/>
  <c r="Z137" i="5" s="1"/>
  <c r="AA47" i="5"/>
  <c r="AB122" i="5" s="1"/>
  <c r="Z156" i="5" s="1"/>
  <c r="AA48" i="5"/>
  <c r="AB123" i="5" s="1"/>
  <c r="Z146" i="5" s="1"/>
  <c r="H52" i="5"/>
  <c r="H53" i="5" s="1"/>
  <c r="AL49" i="5"/>
  <c r="AR137" i="5"/>
  <c r="AR159" i="5"/>
  <c r="AR148" i="5"/>
  <c r="AR156" i="5"/>
  <c r="AR145" i="5"/>
  <c r="AR134" i="5"/>
  <c r="Y50" i="5"/>
  <c r="Y48" i="5"/>
  <c r="BP50" i="5"/>
  <c r="BP48" i="5"/>
  <c r="R49" i="5"/>
  <c r="R48" i="5"/>
  <c r="R50" i="5"/>
  <c r="P50" i="5"/>
  <c r="P49" i="5"/>
  <c r="P48" i="5"/>
  <c r="BM47" i="5"/>
  <c r="BM48" i="5"/>
  <c r="BM50" i="5"/>
  <c r="AU156" i="5"/>
  <c r="AU134" i="5"/>
  <c r="AU145" i="5"/>
  <c r="Q49" i="5"/>
  <c r="Q50" i="5"/>
  <c r="Q48" i="5"/>
  <c r="BE47" i="5"/>
  <c r="AJ48" i="5"/>
  <c r="AJ50" i="5"/>
  <c r="AJ49" i="5"/>
  <c r="BE50" i="5"/>
  <c r="J50" i="5"/>
  <c r="K50" i="5" s="1"/>
  <c r="E61" i="5" s="1"/>
  <c r="T47" i="5"/>
  <c r="U47" i="5" s="1"/>
  <c r="R58" i="5" s="1"/>
  <c r="AS156" i="5"/>
  <c r="AS145" i="5"/>
  <c r="AS134" i="5"/>
  <c r="AR157" i="5"/>
  <c r="AR135" i="5"/>
  <c r="AR146" i="5"/>
  <c r="BD50" i="5"/>
  <c r="BD48" i="5"/>
  <c r="BM49" i="5"/>
  <c r="J47" i="5"/>
  <c r="K47" i="5" s="1"/>
  <c r="E58" i="5" s="1"/>
  <c r="E52" i="5"/>
  <c r="E53" i="5" s="1"/>
  <c r="BP49" i="5"/>
  <c r="BN50" i="5"/>
  <c r="BN48" i="5"/>
  <c r="BP47" i="5"/>
  <c r="BN49" i="5"/>
  <c r="AI50" i="5"/>
  <c r="AI49" i="5"/>
  <c r="AI47" i="5"/>
  <c r="Y47" i="5"/>
  <c r="AT156" i="5"/>
  <c r="AT145" i="5"/>
  <c r="AT134" i="5"/>
  <c r="AI48" i="5"/>
  <c r="AA146" i="5"/>
  <c r="AA157" i="5"/>
  <c r="AA135" i="5"/>
  <c r="S119" i="4" l="1"/>
  <c r="X38" i="4" s="1"/>
  <c r="Y156" i="5"/>
  <c r="V113" i="4"/>
  <c r="V114" i="4" s="1"/>
  <c r="Y145" i="5"/>
  <c r="Y159" i="5"/>
  <c r="Y137" i="5"/>
  <c r="Y147" i="5"/>
  <c r="G59" i="5"/>
  <c r="X110" i="4"/>
  <c r="Y110" i="4" s="1"/>
  <c r="X108" i="4"/>
  <c r="Y108" i="4" s="1"/>
  <c r="U113" i="4"/>
  <c r="U114" i="4" s="1"/>
  <c r="Z52" i="5"/>
  <c r="Z53" i="5" s="1"/>
  <c r="X111" i="4"/>
  <c r="Y111" i="4" s="1"/>
  <c r="AD49" i="5"/>
  <c r="AE49" i="5" s="1"/>
  <c r="X109" i="4"/>
  <c r="Y109" i="4" s="1"/>
  <c r="T113" i="4"/>
  <c r="T114" i="4" s="1"/>
  <c r="S113" i="4"/>
  <c r="S114" i="4" s="1"/>
  <c r="Y136" i="5"/>
  <c r="BO52" i="5"/>
  <c r="BO53" i="5" s="1"/>
  <c r="E59" i="5"/>
  <c r="H59" i="5"/>
  <c r="BH49" i="5"/>
  <c r="BI49" i="5" s="1"/>
  <c r="BE60" i="5" s="1"/>
  <c r="BF124" i="5" s="1"/>
  <c r="BC52" i="5"/>
  <c r="BC53" i="5" s="1"/>
  <c r="F60" i="5"/>
  <c r="BH47" i="5"/>
  <c r="BI47" i="5" s="1"/>
  <c r="BE58" i="5" s="1"/>
  <c r="AK52" i="5"/>
  <c r="AK53" i="5" s="1"/>
  <c r="X136" i="5"/>
  <c r="X147" i="5"/>
  <c r="Z145" i="5"/>
  <c r="G60" i="5"/>
  <c r="E60" i="5"/>
  <c r="Z134" i="5"/>
  <c r="AL52" i="5"/>
  <c r="AL53" i="5" s="1"/>
  <c r="AJ52" i="5"/>
  <c r="AJ53" i="5" s="1"/>
  <c r="AN48" i="5"/>
  <c r="AO48" i="5" s="1"/>
  <c r="Z157" i="5"/>
  <c r="Z135" i="5"/>
  <c r="T49" i="5"/>
  <c r="U49" i="5" s="1"/>
  <c r="R60" i="5" s="1"/>
  <c r="T48" i="5"/>
  <c r="U48" i="5" s="1"/>
  <c r="Q59" i="5" s="1"/>
  <c r="Z148" i="5"/>
  <c r="Q52" i="5"/>
  <c r="Q53" i="5" s="1"/>
  <c r="AA52" i="5"/>
  <c r="AA53" i="5" s="1"/>
  <c r="Z159" i="5"/>
  <c r="BP52" i="5"/>
  <c r="BP53" i="5" s="1"/>
  <c r="BE52" i="5"/>
  <c r="BE53" i="5" s="1"/>
  <c r="T50" i="5"/>
  <c r="U50" i="5" s="1"/>
  <c r="R61" i="5" s="1"/>
  <c r="BF60" i="5"/>
  <c r="BG124" i="5" s="1"/>
  <c r="Z122" i="5"/>
  <c r="AD47" i="5"/>
  <c r="AE47" i="5" s="1"/>
  <c r="Y52" i="5"/>
  <c r="Y53" i="5" s="1"/>
  <c r="BD52" i="5"/>
  <c r="BD53" i="5" s="1"/>
  <c r="BH50" i="5"/>
  <c r="BI50" i="5" s="1"/>
  <c r="BE61" i="5" s="1"/>
  <c r="BF125" i="5" s="1"/>
  <c r="AN49" i="5"/>
  <c r="AO49" i="5" s="1"/>
  <c r="P52" i="5"/>
  <c r="P53" i="5" s="1"/>
  <c r="AN50" i="5"/>
  <c r="AO50" i="5" s="1"/>
  <c r="AI61" i="5" s="1"/>
  <c r="AJ125" i="5" s="1"/>
  <c r="P58" i="5"/>
  <c r="O58" i="5"/>
  <c r="Q58" i="5"/>
  <c r="BR50" i="5"/>
  <c r="BS50" i="5" s="1"/>
  <c r="BN61" i="5" s="1"/>
  <c r="BO125" i="5" s="1"/>
  <c r="BN52" i="5"/>
  <c r="BN53" i="5" s="1"/>
  <c r="G58" i="5"/>
  <c r="H58" i="5"/>
  <c r="F58" i="5"/>
  <c r="BR48" i="5"/>
  <c r="BS48" i="5" s="1"/>
  <c r="BO59" i="5" s="1"/>
  <c r="BP123" i="5" s="1"/>
  <c r="Z123" i="5"/>
  <c r="AD48" i="5"/>
  <c r="AE48" i="5" s="1"/>
  <c r="AI52" i="5"/>
  <c r="AI53" i="5" s="1"/>
  <c r="AN47" i="5"/>
  <c r="AO47" i="5" s="1"/>
  <c r="BH48" i="5"/>
  <c r="BI48" i="5" s="1"/>
  <c r="BD59" i="5" s="1"/>
  <c r="BE123" i="5" s="1"/>
  <c r="BR49" i="5"/>
  <c r="BS49" i="5" s="1"/>
  <c r="G61" i="5"/>
  <c r="F61" i="5"/>
  <c r="H61" i="5"/>
  <c r="R52" i="5"/>
  <c r="R53" i="5" s="1"/>
  <c r="BR47" i="5"/>
  <c r="BS47" i="5" s="1"/>
  <c r="BP58" i="5" s="1"/>
  <c r="BQ122" i="5" s="1"/>
  <c r="BM52" i="5"/>
  <c r="BM53" i="5" s="1"/>
  <c r="Z125" i="5"/>
  <c r="AD50" i="5"/>
  <c r="AE50" i="5" s="1"/>
  <c r="BC60" i="5" l="1"/>
  <c r="BD60" i="5"/>
  <c r="BE124" i="5" s="1"/>
  <c r="BC136" i="5" s="1"/>
  <c r="R59" i="5"/>
  <c r="BC58" i="5"/>
  <c r="BD58" i="5"/>
  <c r="BE122" i="5" s="1"/>
  <c r="J59" i="5"/>
  <c r="K59" i="5" s="1"/>
  <c r="BF58" i="5"/>
  <c r="J60" i="5"/>
  <c r="K60" i="5" s="1"/>
  <c r="E63" i="5"/>
  <c r="E64" i="5" s="1"/>
  <c r="E72" i="5" s="1"/>
  <c r="P60" i="5"/>
  <c r="E70" i="5"/>
  <c r="BN59" i="5"/>
  <c r="BO123" i="5" s="1"/>
  <c r="BM146" i="5" s="1"/>
  <c r="BP59" i="5"/>
  <c r="BQ123" i="5" s="1"/>
  <c r="BO135" i="5" s="1"/>
  <c r="I26" i="7" s="1"/>
  <c r="Q60" i="5"/>
  <c r="F63" i="5"/>
  <c r="F64" i="5" s="1"/>
  <c r="F69" i="5" s="1"/>
  <c r="H63" i="5"/>
  <c r="H64" i="5" s="1"/>
  <c r="H69" i="5" s="1"/>
  <c r="O59" i="5"/>
  <c r="AI59" i="5"/>
  <c r="AJ59" i="5"/>
  <c r="AK123" i="5" s="1"/>
  <c r="AI135" i="5" s="1"/>
  <c r="AL59" i="5"/>
  <c r="AM123" i="5" s="1"/>
  <c r="O60" i="5"/>
  <c r="AK59" i="5"/>
  <c r="AL123" i="5" s="1"/>
  <c r="BM59" i="5"/>
  <c r="P59" i="5"/>
  <c r="BD148" i="5"/>
  <c r="BD137" i="5"/>
  <c r="BD159" i="5"/>
  <c r="BC146" i="5"/>
  <c r="BC135" i="5"/>
  <c r="BC157" i="5"/>
  <c r="BF122" i="5"/>
  <c r="AI58" i="5"/>
  <c r="AK58" i="5"/>
  <c r="AJ58" i="5"/>
  <c r="AL58" i="5"/>
  <c r="AI60" i="5"/>
  <c r="AL60" i="5"/>
  <c r="AM124" i="5" s="1"/>
  <c r="AJ60" i="5"/>
  <c r="AK124" i="5" s="1"/>
  <c r="AK60" i="5"/>
  <c r="AL124" i="5" s="1"/>
  <c r="AJ158" i="5" s="1"/>
  <c r="X137" i="5"/>
  <c r="X159" i="5"/>
  <c r="X148" i="5"/>
  <c r="G63" i="5"/>
  <c r="G64" i="5" s="1"/>
  <c r="BG122" i="5"/>
  <c r="BO60" i="5"/>
  <c r="BP124" i="5" s="1"/>
  <c r="BM60" i="5"/>
  <c r="BN60" i="5"/>
  <c r="BO124" i="5" s="1"/>
  <c r="BP60" i="5"/>
  <c r="BQ124" i="5" s="1"/>
  <c r="BF59" i="5"/>
  <c r="BG123" i="5" s="1"/>
  <c r="BE59" i="5"/>
  <c r="BF123" i="5" s="1"/>
  <c r="BC59" i="5"/>
  <c r="J58" i="5"/>
  <c r="K58" i="5" s="1"/>
  <c r="BD122" i="5"/>
  <c r="X145" i="5"/>
  <c r="X134" i="5"/>
  <c r="X156" i="5"/>
  <c r="BD147" i="5"/>
  <c r="BD136" i="5"/>
  <c r="BD158" i="5"/>
  <c r="BC61" i="5"/>
  <c r="BF61" i="5"/>
  <c r="BG125" i="5" s="1"/>
  <c r="T58" i="5"/>
  <c r="U58" i="5" s="1"/>
  <c r="BD61" i="5"/>
  <c r="BE125" i="5" s="1"/>
  <c r="P61" i="5"/>
  <c r="O61" i="5"/>
  <c r="AH159" i="5"/>
  <c r="AH137" i="5"/>
  <c r="AH148" i="5"/>
  <c r="BD124" i="5"/>
  <c r="BE158" i="5"/>
  <c r="BE136" i="5"/>
  <c r="BE147" i="5"/>
  <c r="BM58" i="5"/>
  <c r="BO58" i="5"/>
  <c r="BN58" i="5"/>
  <c r="X135" i="5"/>
  <c r="X146" i="5"/>
  <c r="X157" i="5"/>
  <c r="Q61" i="5"/>
  <c r="BO134" i="5"/>
  <c r="I25" i="7" s="1"/>
  <c r="BO145" i="5"/>
  <c r="BO156" i="5"/>
  <c r="BO61" i="5"/>
  <c r="BP125" i="5" s="1"/>
  <c r="BP61" i="5"/>
  <c r="BQ125" i="5" s="1"/>
  <c r="BM61" i="5"/>
  <c r="J61" i="5"/>
  <c r="K61" i="5" s="1"/>
  <c r="BN146" i="5"/>
  <c r="BN135" i="5"/>
  <c r="H26" i="7" s="1"/>
  <c r="BN157" i="5"/>
  <c r="AL61" i="5"/>
  <c r="AM125" i="5" s="1"/>
  <c r="AK61" i="5"/>
  <c r="AL125" i="5" s="1"/>
  <c r="R63" i="5"/>
  <c r="R64" i="5" s="1"/>
  <c r="AJ61" i="5"/>
  <c r="AK125" i="5" s="1"/>
  <c r="AI137" i="5" s="1"/>
  <c r="BM159" i="5"/>
  <c r="BM137" i="5"/>
  <c r="G28" i="7" s="1"/>
  <c r="BM148" i="5"/>
  <c r="E69" i="5" l="1"/>
  <c r="BH58" i="5"/>
  <c r="BI58" i="5" s="1"/>
  <c r="E71" i="5"/>
  <c r="E74" i="5" s="1"/>
  <c r="E75" i="5" s="1"/>
  <c r="BC158" i="5"/>
  <c r="BH60" i="5"/>
  <c r="BI60" i="5" s="1"/>
  <c r="BC147" i="5"/>
  <c r="F71" i="5"/>
  <c r="F70" i="5"/>
  <c r="BO146" i="5"/>
  <c r="BO157" i="5"/>
  <c r="T59" i="5"/>
  <c r="U59" i="5" s="1"/>
  <c r="BE63" i="5"/>
  <c r="BE64" i="5" s="1"/>
  <c r="BR59" i="5"/>
  <c r="BS59" i="5" s="1"/>
  <c r="BM157" i="5"/>
  <c r="T60" i="5"/>
  <c r="U60" i="5" s="1"/>
  <c r="BM135" i="5"/>
  <c r="G26" i="7" s="1"/>
  <c r="AI157" i="5"/>
  <c r="Q63" i="5"/>
  <c r="Q64" i="5" s="1"/>
  <c r="Q71" i="5" s="1"/>
  <c r="AI146" i="5"/>
  <c r="BP63" i="5"/>
  <c r="BP64" i="5" s="1"/>
  <c r="BN123" i="5"/>
  <c r="BL146" i="5" s="1"/>
  <c r="AJ147" i="5"/>
  <c r="AK135" i="5"/>
  <c r="AK146" i="5"/>
  <c r="AK157" i="5"/>
  <c r="AJ123" i="5"/>
  <c r="AN59" i="5"/>
  <c r="AO59" i="5" s="1"/>
  <c r="AJ136" i="5"/>
  <c r="H71" i="5"/>
  <c r="AJ157" i="5"/>
  <c r="AJ146" i="5"/>
  <c r="AJ135" i="5"/>
  <c r="AI148" i="5"/>
  <c r="AI159" i="5"/>
  <c r="H70" i="5"/>
  <c r="H72" i="5"/>
  <c r="T61" i="5"/>
  <c r="U61" i="5" s="1"/>
  <c r="AN61" i="5"/>
  <c r="AO61" i="5" s="1"/>
  <c r="F72" i="5"/>
  <c r="BC145" i="5"/>
  <c r="BC134" i="5"/>
  <c r="BC156" i="5"/>
  <c r="BN148" i="5"/>
  <c r="BN137" i="5"/>
  <c r="H28" i="7" s="1"/>
  <c r="BN159" i="5"/>
  <c r="BD123" i="5"/>
  <c r="BH59" i="5"/>
  <c r="BI59" i="5" s="1"/>
  <c r="AI147" i="5"/>
  <c r="AI136" i="5"/>
  <c r="AI158" i="5"/>
  <c r="BD146" i="5"/>
  <c r="BD135" i="5"/>
  <c r="BD157" i="5"/>
  <c r="BC148" i="5"/>
  <c r="BC159" i="5"/>
  <c r="BC137" i="5"/>
  <c r="G70" i="5"/>
  <c r="G72" i="5"/>
  <c r="G69" i="5"/>
  <c r="G71" i="5"/>
  <c r="BO147" i="5"/>
  <c r="BO136" i="5"/>
  <c r="I27" i="7" s="1"/>
  <c r="BO158" i="5"/>
  <c r="BP122" i="5"/>
  <c r="BO63" i="5"/>
  <c r="BO64" i="5" s="1"/>
  <c r="BN147" i="5"/>
  <c r="BN136" i="5"/>
  <c r="H27" i="7" s="1"/>
  <c r="BN158" i="5"/>
  <c r="AM122" i="5"/>
  <c r="AL63" i="5"/>
  <c r="AL64" i="5" s="1"/>
  <c r="AK158" i="5"/>
  <c r="AK147" i="5"/>
  <c r="AK136" i="5"/>
  <c r="AJ124" i="5"/>
  <c r="AN60" i="5"/>
  <c r="AO60" i="5" s="1"/>
  <c r="BE137" i="5"/>
  <c r="BE148" i="5"/>
  <c r="BE159" i="5"/>
  <c r="AK122" i="5"/>
  <c r="AJ63" i="5"/>
  <c r="AJ64" i="5" s="1"/>
  <c r="BD145" i="5"/>
  <c r="BD156" i="5"/>
  <c r="BD134" i="5"/>
  <c r="BR58" i="5"/>
  <c r="BS58" i="5" s="1"/>
  <c r="BN122" i="5"/>
  <c r="BM63" i="5"/>
  <c r="BM64" i="5" s="1"/>
  <c r="R71" i="5"/>
  <c r="R69" i="5"/>
  <c r="R70" i="5"/>
  <c r="R72" i="5"/>
  <c r="BC63" i="5"/>
  <c r="BC64" i="5" s="1"/>
  <c r="AJ137" i="5"/>
  <c r="AJ148" i="5"/>
  <c r="AJ159" i="5"/>
  <c r="AK137" i="5"/>
  <c r="AK159" i="5"/>
  <c r="AK148" i="5"/>
  <c r="BN125" i="5"/>
  <c r="BR61" i="5"/>
  <c r="BS61" i="5" s="1"/>
  <c r="BD125" i="5"/>
  <c r="BH61" i="5"/>
  <c r="BI61" i="5" s="1"/>
  <c r="BB145" i="5"/>
  <c r="BB134" i="5"/>
  <c r="BB156" i="5"/>
  <c r="BF63" i="5"/>
  <c r="BF64" i="5" s="1"/>
  <c r="AL122" i="5"/>
  <c r="AK63" i="5"/>
  <c r="AK64" i="5" s="1"/>
  <c r="BE146" i="5"/>
  <c r="BE157" i="5"/>
  <c r="BE135" i="5"/>
  <c r="BO122" i="5"/>
  <c r="BN63" i="5"/>
  <c r="BN64" i="5" s="1"/>
  <c r="BM136" i="5"/>
  <c r="G27" i="7" s="1"/>
  <c r="BM147" i="5"/>
  <c r="BM158" i="5"/>
  <c r="BR60" i="5"/>
  <c r="BS60" i="5" s="1"/>
  <c r="BN124" i="5"/>
  <c r="O63" i="5"/>
  <c r="O64" i="5" s="1"/>
  <c r="P63" i="5"/>
  <c r="P64" i="5" s="1"/>
  <c r="P72" i="5" s="1"/>
  <c r="BO148" i="5"/>
  <c r="BO159" i="5"/>
  <c r="BO137" i="5"/>
  <c r="I28" i="7" s="1"/>
  <c r="BB136" i="5"/>
  <c r="BB147" i="5"/>
  <c r="BB158" i="5"/>
  <c r="BD63" i="5"/>
  <c r="BD64" i="5" s="1"/>
  <c r="BE156" i="5"/>
  <c r="BE134" i="5"/>
  <c r="BE145" i="5"/>
  <c r="AJ122" i="5"/>
  <c r="AI63" i="5"/>
  <c r="AI64" i="5" s="1"/>
  <c r="AN58" i="5"/>
  <c r="AO58" i="5" s="1"/>
  <c r="F74" i="5" l="1"/>
  <c r="F75" i="5" s="1"/>
  <c r="Q72" i="5"/>
  <c r="Q70" i="5"/>
  <c r="BL157" i="5"/>
  <c r="Q69" i="5"/>
  <c r="BL135" i="5"/>
  <c r="F26" i="7" s="1"/>
  <c r="H74" i="5"/>
  <c r="H75" i="5" s="1"/>
  <c r="J72" i="5"/>
  <c r="K72" i="5" s="1"/>
  <c r="H83" i="5" s="1"/>
  <c r="J71" i="5"/>
  <c r="K71" i="5" s="1"/>
  <c r="F82" i="5" s="1"/>
  <c r="J70" i="5"/>
  <c r="K70" i="5" s="1"/>
  <c r="G81" i="5" s="1"/>
  <c r="AH146" i="5"/>
  <c r="AH135" i="5"/>
  <c r="AH157" i="5"/>
  <c r="R74" i="5"/>
  <c r="R75" i="5" s="1"/>
  <c r="AI156" i="5"/>
  <c r="AI134" i="5"/>
  <c r="AI145" i="5"/>
  <c r="BL148" i="5"/>
  <c r="BL159" i="5"/>
  <c r="BL137" i="5"/>
  <c r="F28" i="7" s="1"/>
  <c r="J69" i="5"/>
  <c r="K69" i="5" s="1"/>
  <c r="G74" i="5"/>
  <c r="G75" i="5" s="1"/>
  <c r="BB157" i="5"/>
  <c r="BB135" i="5"/>
  <c r="BB146" i="5"/>
  <c r="O72" i="5"/>
  <c r="O69" i="5"/>
  <c r="O71" i="5"/>
  <c r="O70" i="5"/>
  <c r="BB159" i="5"/>
  <c r="BB137" i="5"/>
  <c r="BB148" i="5"/>
  <c r="BM156" i="5"/>
  <c r="BM134" i="5"/>
  <c r="G25" i="7" s="1"/>
  <c r="BM145" i="5"/>
  <c r="BL156" i="5"/>
  <c r="BL134" i="5"/>
  <c r="F25" i="7" s="1"/>
  <c r="BL145" i="5"/>
  <c r="AH156" i="5"/>
  <c r="AH134" i="5"/>
  <c r="AH145" i="5"/>
  <c r="AJ156" i="5"/>
  <c r="AJ134" i="5"/>
  <c r="AJ145" i="5"/>
  <c r="BN134" i="5"/>
  <c r="H25" i="7" s="1"/>
  <c r="BN156" i="5"/>
  <c r="BN145" i="5"/>
  <c r="E83" i="5"/>
  <c r="AK134" i="5"/>
  <c r="AK156" i="5"/>
  <c r="AK145" i="5"/>
  <c r="P69" i="5"/>
  <c r="P70" i="5"/>
  <c r="P71" i="5"/>
  <c r="BL147" i="5"/>
  <c r="BL136" i="5"/>
  <c r="F27" i="7" s="1"/>
  <c r="BL158" i="5"/>
  <c r="AH147" i="5"/>
  <c r="AH158" i="5"/>
  <c r="AH136" i="5"/>
  <c r="Q74" i="5" l="1"/>
  <c r="Q75" i="5" s="1"/>
  <c r="G83" i="5"/>
  <c r="E82" i="5"/>
  <c r="H82" i="5"/>
  <c r="F83" i="5"/>
  <c r="G82" i="5"/>
  <c r="J82" i="5" s="1"/>
  <c r="K82" i="5" s="1"/>
  <c r="F81" i="5"/>
  <c r="H81" i="5"/>
  <c r="E81" i="5"/>
  <c r="T71" i="5"/>
  <c r="U71" i="5" s="1"/>
  <c r="O82" i="5" s="1"/>
  <c r="T72" i="5"/>
  <c r="U72" i="5" s="1"/>
  <c r="O83" i="5" s="1"/>
  <c r="T69" i="5"/>
  <c r="U69" i="5" s="1"/>
  <c r="O80" i="5" s="1"/>
  <c r="O74" i="5"/>
  <c r="O75" i="5" s="1"/>
  <c r="G80" i="5"/>
  <c r="H80" i="5"/>
  <c r="E80" i="5"/>
  <c r="F80" i="5"/>
  <c r="P74" i="5"/>
  <c r="P75" i="5" s="1"/>
  <c r="T70" i="5"/>
  <c r="U70" i="5" s="1"/>
  <c r="O81" i="5" s="1"/>
  <c r="J81" i="5" l="1"/>
  <c r="K81" i="5" s="1"/>
  <c r="J83" i="5"/>
  <c r="K83" i="5" s="1"/>
  <c r="F85" i="5"/>
  <c r="F86" i="5" s="1"/>
  <c r="F92" i="5" s="1"/>
  <c r="G85" i="5"/>
  <c r="G86" i="5" s="1"/>
  <c r="G94" i="5" s="1"/>
  <c r="P82" i="5"/>
  <c r="O85" i="5"/>
  <c r="O86" i="5" s="1"/>
  <c r="O93" i="5" s="1"/>
  <c r="G93" i="5"/>
  <c r="Q80" i="5"/>
  <c r="R80" i="5"/>
  <c r="G91" i="5"/>
  <c r="G96" i="5" s="1"/>
  <c r="G97" i="5" s="1"/>
  <c r="Q83" i="5"/>
  <c r="P83" i="5"/>
  <c r="R83" i="5"/>
  <c r="R82" i="5"/>
  <c r="Q82" i="5"/>
  <c r="P81" i="5"/>
  <c r="R81" i="5"/>
  <c r="Q81" i="5"/>
  <c r="G92" i="5"/>
  <c r="P80" i="5"/>
  <c r="J80" i="5"/>
  <c r="K80" i="5" s="1"/>
  <c r="E85" i="5"/>
  <c r="E86" i="5" s="1"/>
  <c r="H85" i="5"/>
  <c r="H86" i="5" s="1"/>
  <c r="H91" i="5" s="1"/>
  <c r="T82" i="5" l="1"/>
  <c r="U82" i="5" s="1"/>
  <c r="F94" i="5"/>
  <c r="F93" i="5"/>
  <c r="F91" i="5"/>
  <c r="F96" i="5" s="1"/>
  <c r="F97" i="5" s="1"/>
  <c r="O91" i="5"/>
  <c r="P85" i="5"/>
  <c r="P86" i="5" s="1"/>
  <c r="P93" i="5" s="1"/>
  <c r="Q85" i="5"/>
  <c r="Q86" i="5" s="1"/>
  <c r="Q94" i="5" s="1"/>
  <c r="O92" i="5"/>
  <c r="E92" i="5"/>
  <c r="E93" i="5"/>
  <c r="J93" i="5" s="1"/>
  <c r="K93" i="5" s="1"/>
  <c r="E94" i="5"/>
  <c r="J94" i="5" s="1"/>
  <c r="K94" i="5" s="1"/>
  <c r="F105" i="5" s="1"/>
  <c r="E91" i="5"/>
  <c r="R85" i="5"/>
  <c r="R86" i="5" s="1"/>
  <c r="R91" i="5" s="1"/>
  <c r="T80" i="5"/>
  <c r="U80" i="5" s="1"/>
  <c r="T81" i="5"/>
  <c r="U81" i="5" s="1"/>
  <c r="O94" i="5"/>
  <c r="H93" i="5"/>
  <c r="H94" i="5"/>
  <c r="H92" i="5"/>
  <c r="T83" i="5"/>
  <c r="U83" i="5" s="1"/>
  <c r="H96" i="5" l="1"/>
  <c r="H97" i="5" s="1"/>
  <c r="Q93" i="5"/>
  <c r="R94" i="5"/>
  <c r="R93" i="5"/>
  <c r="P92" i="5"/>
  <c r="R92" i="5"/>
  <c r="Q91" i="5"/>
  <c r="P94" i="5"/>
  <c r="T94" i="5" s="1"/>
  <c r="U94" i="5" s="1"/>
  <c r="Q105" i="5" s="1"/>
  <c r="P91" i="5"/>
  <c r="J92" i="5"/>
  <c r="K92" i="5" s="1"/>
  <c r="E103" i="5" s="1"/>
  <c r="G105" i="5"/>
  <c r="Q92" i="5"/>
  <c r="T92" i="5" s="1"/>
  <c r="U92" i="5" s="1"/>
  <c r="O103" i="5" s="1"/>
  <c r="F104" i="5"/>
  <c r="G104" i="5"/>
  <c r="H105" i="5"/>
  <c r="E104" i="5"/>
  <c r="E105" i="5"/>
  <c r="O96" i="5"/>
  <c r="O97" i="5" s="1"/>
  <c r="R96" i="5"/>
  <c r="R97" i="5" s="1"/>
  <c r="H104" i="5"/>
  <c r="E96" i="5"/>
  <c r="E97" i="5" s="1"/>
  <c r="J91" i="5"/>
  <c r="K91" i="5" s="1"/>
  <c r="P96" i="5" l="1"/>
  <c r="P97" i="5" s="1"/>
  <c r="T93" i="5"/>
  <c r="U93" i="5" s="1"/>
  <c r="O104" i="5" s="1"/>
  <c r="T91" i="5"/>
  <c r="U91" i="5" s="1"/>
  <c r="Q96" i="5"/>
  <c r="Q97" i="5" s="1"/>
  <c r="J105" i="5"/>
  <c r="K105" i="5" s="1"/>
  <c r="G103" i="5"/>
  <c r="F103" i="5"/>
  <c r="J104" i="5"/>
  <c r="K104" i="5" s="1"/>
  <c r="H103" i="5"/>
  <c r="P102" i="5"/>
  <c r="R102" i="5"/>
  <c r="O102" i="5"/>
  <c r="H102" i="5"/>
  <c r="F102" i="5"/>
  <c r="G102" i="5"/>
  <c r="E102" i="5"/>
  <c r="Q102" i="5"/>
  <c r="R105" i="5"/>
  <c r="P105" i="5"/>
  <c r="O105" i="5"/>
  <c r="T105" i="5" s="1"/>
  <c r="U105" i="5" s="1"/>
  <c r="P103" i="5"/>
  <c r="R103" i="5"/>
  <c r="Q103" i="5"/>
  <c r="G107" i="5" l="1"/>
  <c r="G108" i="5" s="1"/>
  <c r="R104" i="5"/>
  <c r="P104" i="5"/>
  <c r="Q104" i="5"/>
  <c r="J103" i="5"/>
  <c r="K103" i="5" s="1"/>
  <c r="H107" i="5"/>
  <c r="H108" i="5" s="1"/>
  <c r="H114" i="5" s="1"/>
  <c r="H123" i="5" s="1"/>
  <c r="H157" i="5" s="1"/>
  <c r="Q107" i="5"/>
  <c r="Q108" i="5" s="1"/>
  <c r="Q115" i="5" s="1"/>
  <c r="R124" i="5" s="1"/>
  <c r="Q136" i="5" s="1"/>
  <c r="F107" i="5"/>
  <c r="F108" i="5" s="1"/>
  <c r="F114" i="5" s="1"/>
  <c r="F123" i="5" s="1"/>
  <c r="G113" i="5"/>
  <c r="G116" i="5"/>
  <c r="G125" i="5" s="1"/>
  <c r="G114" i="5"/>
  <c r="G123" i="5" s="1"/>
  <c r="G115" i="5"/>
  <c r="G124" i="5" s="1"/>
  <c r="J102" i="5"/>
  <c r="K102" i="5" s="1"/>
  <c r="E107" i="5"/>
  <c r="E108" i="5" s="1"/>
  <c r="T103" i="5"/>
  <c r="U103" i="5" s="1"/>
  <c r="O107" i="5"/>
  <c r="O108" i="5" s="1"/>
  <c r="T102" i="5"/>
  <c r="U102" i="5" s="1"/>
  <c r="P107" i="5"/>
  <c r="P108" i="5" s="1"/>
  <c r="P114" i="5" s="1"/>
  <c r="Q123" i="5" s="1"/>
  <c r="H135" i="5" l="1"/>
  <c r="C39" i="7" s="1"/>
  <c r="I61" i="7" s="1"/>
  <c r="T55" i="7" s="1"/>
  <c r="Q116" i="5"/>
  <c r="R125" i="5" s="1"/>
  <c r="Q148" i="5" s="1"/>
  <c r="H115" i="5"/>
  <c r="H124" i="5" s="1"/>
  <c r="H147" i="5" s="1"/>
  <c r="H116" i="5"/>
  <c r="H125" i="5" s="1"/>
  <c r="H148" i="5" s="1"/>
  <c r="T104" i="5"/>
  <c r="U104" i="5" s="1"/>
  <c r="F113" i="5"/>
  <c r="F122" i="5" s="1"/>
  <c r="F134" i="5" s="1"/>
  <c r="R107" i="5"/>
  <c r="R108" i="5" s="1"/>
  <c r="R114" i="5" s="1"/>
  <c r="S123" i="5" s="1"/>
  <c r="Q113" i="5"/>
  <c r="R122" i="5" s="1"/>
  <c r="Q156" i="5" s="1"/>
  <c r="Q114" i="5"/>
  <c r="R123" i="5" s="1"/>
  <c r="Q135" i="5" s="1"/>
  <c r="Q158" i="5"/>
  <c r="P113" i="5"/>
  <c r="Q122" i="5" s="1"/>
  <c r="Q147" i="5"/>
  <c r="H146" i="5"/>
  <c r="H113" i="5"/>
  <c r="H122" i="5" s="1"/>
  <c r="H156" i="5" s="1"/>
  <c r="P115" i="5"/>
  <c r="Q124" i="5" s="1"/>
  <c r="P158" i="5" s="1"/>
  <c r="F116" i="5"/>
  <c r="F125" i="5" s="1"/>
  <c r="F115" i="5"/>
  <c r="F124" i="5" s="1"/>
  <c r="P116" i="5"/>
  <c r="Q125" i="5" s="1"/>
  <c r="P137" i="5" s="1"/>
  <c r="E114" i="5"/>
  <c r="E116" i="5"/>
  <c r="E115" i="5"/>
  <c r="E113" i="5"/>
  <c r="O116" i="5"/>
  <c r="O113" i="5"/>
  <c r="O114" i="5"/>
  <c r="Q159" i="5"/>
  <c r="G135" i="5"/>
  <c r="C38" i="7" s="1"/>
  <c r="I60" i="7" s="1"/>
  <c r="T50" i="7" s="1"/>
  <c r="G157" i="5"/>
  <c r="G146" i="5"/>
  <c r="O115" i="5"/>
  <c r="G137" i="5"/>
  <c r="G159" i="5"/>
  <c r="G148" i="5"/>
  <c r="Q137" i="5"/>
  <c r="G136" i="5"/>
  <c r="G158" i="5"/>
  <c r="G147" i="5"/>
  <c r="P157" i="5"/>
  <c r="P135" i="5"/>
  <c r="P146" i="5"/>
  <c r="G122" i="5"/>
  <c r="G118" i="5"/>
  <c r="G119" i="5" s="1"/>
  <c r="F145" i="5"/>
  <c r="F157" i="5"/>
  <c r="F146" i="5"/>
  <c r="F135" i="5"/>
  <c r="H134" i="5"/>
  <c r="C37" i="7" s="1"/>
  <c r="I59" i="7" s="1"/>
  <c r="T44" i="7" s="1"/>
  <c r="H158" i="5" l="1"/>
  <c r="H145" i="5"/>
  <c r="Q146" i="5"/>
  <c r="Q145" i="5"/>
  <c r="Q134" i="5"/>
  <c r="H159" i="5"/>
  <c r="R116" i="5"/>
  <c r="S125" i="5" s="1"/>
  <c r="H137" i="5"/>
  <c r="Q157" i="5"/>
  <c r="F156" i="5"/>
  <c r="R115" i="5"/>
  <c r="S124" i="5" s="1"/>
  <c r="R147" i="5" s="1"/>
  <c r="H136" i="5"/>
  <c r="Q118" i="5"/>
  <c r="Q119" i="5" s="1"/>
  <c r="R113" i="5"/>
  <c r="S122" i="5" s="1"/>
  <c r="F118" i="5"/>
  <c r="F119" i="5" s="1"/>
  <c r="P118" i="5"/>
  <c r="P119" i="5" s="1"/>
  <c r="P136" i="5"/>
  <c r="H118" i="5"/>
  <c r="H119" i="5" s="1"/>
  <c r="P147" i="5"/>
  <c r="P159" i="5"/>
  <c r="P148" i="5"/>
  <c r="F158" i="5"/>
  <c r="F147" i="5"/>
  <c r="F136" i="5"/>
  <c r="F148" i="5"/>
  <c r="F137" i="5"/>
  <c r="F159" i="5"/>
  <c r="P124" i="5"/>
  <c r="P122" i="5"/>
  <c r="O118" i="5"/>
  <c r="O119" i="5" s="1"/>
  <c r="P125" i="5"/>
  <c r="T116" i="5"/>
  <c r="U116" i="5" s="1"/>
  <c r="R159" i="5"/>
  <c r="R137" i="5"/>
  <c r="R148" i="5"/>
  <c r="J113" i="5"/>
  <c r="K113" i="5" s="1"/>
  <c r="E122" i="5"/>
  <c r="E118" i="5"/>
  <c r="E119" i="5" s="1"/>
  <c r="J115" i="5"/>
  <c r="K115" i="5" s="1"/>
  <c r="E124" i="5"/>
  <c r="R157" i="5"/>
  <c r="R146" i="5"/>
  <c r="R135" i="5"/>
  <c r="J116" i="5"/>
  <c r="K116" i="5" s="1"/>
  <c r="E125" i="5"/>
  <c r="E123" i="5"/>
  <c r="J114" i="5"/>
  <c r="K114" i="5" s="1"/>
  <c r="G134" i="5"/>
  <c r="C36" i="7" s="1"/>
  <c r="I58" i="7" s="1"/>
  <c r="T36" i="7" s="1"/>
  <c r="G156" i="5"/>
  <c r="G145" i="5"/>
  <c r="P145" i="5"/>
  <c r="P134" i="5"/>
  <c r="P156" i="5"/>
  <c r="T114" i="5"/>
  <c r="U114" i="5" s="1"/>
  <c r="P123" i="5"/>
  <c r="R136" i="5" l="1"/>
  <c r="T113" i="5"/>
  <c r="U113" i="5" s="1"/>
  <c r="R118" i="5"/>
  <c r="R119" i="5" s="1"/>
  <c r="T115" i="5"/>
  <c r="U115" i="5" s="1"/>
  <c r="R158" i="5"/>
  <c r="O146" i="5"/>
  <c r="O157" i="5"/>
  <c r="O135" i="5"/>
  <c r="E134" i="5"/>
  <c r="E145" i="5"/>
  <c r="E156" i="5"/>
  <c r="E137" i="5"/>
  <c r="E148" i="5"/>
  <c r="E159" i="5"/>
  <c r="E147" i="5"/>
  <c r="E158" i="5"/>
  <c r="E136" i="5"/>
  <c r="R134" i="5"/>
  <c r="R145" i="5"/>
  <c r="R156" i="5"/>
  <c r="O156" i="5"/>
  <c r="O134" i="5"/>
  <c r="O145" i="5"/>
  <c r="O137" i="5"/>
  <c r="O159" i="5"/>
  <c r="O148" i="5"/>
  <c r="E146" i="5"/>
  <c r="E157" i="5"/>
  <c r="E135" i="5"/>
  <c r="O158" i="5"/>
  <c r="O136" i="5"/>
  <c r="O147" i="5"/>
</calcChain>
</file>

<file path=xl/sharedStrings.xml><?xml version="1.0" encoding="utf-8"?>
<sst xmlns="http://schemas.openxmlformats.org/spreadsheetml/2006/main" count="2044" uniqueCount="259">
  <si>
    <t>Travel time = FFTT(1+0.17(Link flow/Capacity)^3.8)</t>
  </si>
  <si>
    <t>Consider 30 years</t>
  </si>
  <si>
    <t>Time</t>
  </si>
  <si>
    <t>Cost</t>
  </si>
  <si>
    <t>Auto</t>
  </si>
  <si>
    <t>Link [one way]</t>
  </si>
  <si>
    <t>Speed limit (km/h)</t>
  </si>
  <si>
    <t>Distance (km)</t>
  </si>
  <si>
    <t>FFTT (min)</t>
  </si>
  <si>
    <t>Capacity (PCU/hr)</t>
  </si>
  <si>
    <t>Cij</t>
  </si>
  <si>
    <t>A</t>
  </si>
  <si>
    <t>B</t>
  </si>
  <si>
    <t>C</t>
  </si>
  <si>
    <t>D</t>
  </si>
  <si>
    <t xml:space="preserve">Vc = b0c + ba1*time </t>
  </si>
  <si>
    <t>Vb = bt0 + bt1*time + bt2*cost</t>
  </si>
  <si>
    <t>Vbi =bb1*time</t>
  </si>
  <si>
    <r>
      <t>Travel time = FFTT(1+0.17(V/Capacity)</t>
    </r>
    <r>
      <rPr>
        <vertAlign val="superscript"/>
        <sz val="11"/>
        <color theme="1"/>
        <rFont val="Calibri"/>
        <family val="2"/>
        <scheme val="minor"/>
      </rPr>
      <t>3.8</t>
    </r>
    <r>
      <rPr>
        <sz val="11"/>
        <color theme="1"/>
        <rFont val="Calibri"/>
        <family val="2"/>
        <scheme val="minor"/>
      </rPr>
      <t>)</t>
    </r>
  </si>
  <si>
    <r>
      <t>intrigrate(TT) = FFTT*V + FFTT*0.17*((V</t>
    </r>
    <r>
      <rPr>
        <vertAlign val="superscript"/>
        <sz val="11"/>
        <color theme="1"/>
        <rFont val="Calibri"/>
        <family val="2"/>
        <scheme val="minor"/>
      </rPr>
      <t>4.8</t>
    </r>
    <r>
      <rPr>
        <sz val="11"/>
        <color theme="1"/>
        <rFont val="Calibri"/>
        <family val="2"/>
        <scheme val="minor"/>
      </rPr>
      <t>)/(3000</t>
    </r>
    <r>
      <rPr>
        <vertAlign val="superscript"/>
        <sz val="11"/>
        <color theme="1"/>
        <rFont val="Calibri"/>
        <family val="2"/>
        <scheme val="minor"/>
      </rPr>
      <t>3.8</t>
    </r>
    <r>
      <rPr>
        <sz val="11"/>
        <color theme="1"/>
        <rFont val="Calibri"/>
        <family val="2"/>
        <scheme val="minor"/>
      </rPr>
      <t>)4.8)</t>
    </r>
  </si>
  <si>
    <t>b0</t>
  </si>
  <si>
    <t>Transit</t>
  </si>
  <si>
    <t>Avg speed</t>
  </si>
  <si>
    <t>30 km/h</t>
  </si>
  <si>
    <t>ba1</t>
  </si>
  <si>
    <t>bt0</t>
  </si>
  <si>
    <t>bt1</t>
  </si>
  <si>
    <t>bt2</t>
  </si>
  <si>
    <t>Bike</t>
  </si>
  <si>
    <t>12 km/h</t>
  </si>
  <si>
    <t>bb1</t>
  </si>
  <si>
    <t>Transit and Bike lane are in the street right of way.</t>
  </si>
  <si>
    <t>Route</t>
  </si>
  <si>
    <t>Intrigrate(Time)</t>
  </si>
  <si>
    <t>No. Route</t>
  </si>
  <si>
    <t>TotalTime</t>
  </si>
  <si>
    <t>Flow</t>
  </si>
  <si>
    <t>Flow'</t>
  </si>
  <si>
    <t>Flow In</t>
  </si>
  <si>
    <t>=</t>
  </si>
  <si>
    <t>Flow max</t>
  </si>
  <si>
    <r>
      <t>δ</t>
    </r>
    <r>
      <rPr>
        <b/>
        <vertAlign val="superscript"/>
        <sz val="11"/>
        <color theme="1"/>
        <rFont val="Calibri"/>
        <family val="2"/>
      </rPr>
      <t>ij</t>
    </r>
    <r>
      <rPr>
        <b/>
        <vertAlign val="subscript"/>
        <sz val="11"/>
        <color theme="1"/>
        <rFont val="Calibri"/>
        <family val="2"/>
      </rPr>
      <t>a</t>
    </r>
    <r>
      <rPr>
        <b/>
        <sz val="11"/>
        <color theme="1"/>
        <rFont val="Calibri"/>
        <family val="2"/>
      </rPr>
      <t xml:space="preserve"> * Route</t>
    </r>
  </si>
  <si>
    <t>V1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</si>
  <si>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</si>
  <si>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</si>
  <si>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</si>
  <si>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</si>
  <si>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</si>
  <si>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</si>
  <si>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</si>
  <si>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</si>
  <si>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</si>
  <si>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</si>
  <si>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V12</t>
  </si>
  <si>
    <t>V13</t>
  </si>
  <si>
    <t>V14</t>
  </si>
  <si>
    <t>V15</t>
  </si>
  <si>
    <t>V16</t>
  </si>
  <si>
    <t>V17</t>
  </si>
  <si>
    <t>V18</t>
  </si>
  <si>
    <t>V19</t>
  </si>
  <si>
    <t>AC</t>
  </si>
  <si>
    <t>intrigrate(t1)</t>
  </si>
  <si>
    <t>t1</t>
  </si>
  <si>
    <t>1,19,16</t>
  </si>
  <si>
    <t>f1</t>
  </si>
  <si>
    <t>AD</t>
  </si>
  <si>
    <t>intrigrate(t2)</t>
  </si>
  <si>
    <t>t2</t>
  </si>
  <si>
    <t>1,12,4,5,16</t>
  </si>
  <si>
    <t>f2</t>
  </si>
  <si>
    <t>BC</t>
  </si>
  <si>
    <t>intrigrate(t3)</t>
  </si>
  <si>
    <t>t3</t>
  </si>
  <si>
    <t>1,12,4,14,8</t>
  </si>
  <si>
    <t>f3</t>
  </si>
  <si>
    <t>BD</t>
  </si>
  <si>
    <t>intrigrate(t4)</t>
  </si>
  <si>
    <t>t4</t>
  </si>
  <si>
    <t>1,12,13,7,8</t>
  </si>
  <si>
    <t>f4</t>
  </si>
  <si>
    <t>intrigrate(t5)</t>
  </si>
  <si>
    <t>t5</t>
  </si>
  <si>
    <t>10,3,4,5,16</t>
  </si>
  <si>
    <t>f5</t>
  </si>
  <si>
    <t>intrigrate(t6)</t>
  </si>
  <si>
    <t>t6</t>
  </si>
  <si>
    <t>10,3,4,14,8</t>
  </si>
  <si>
    <t>f6</t>
  </si>
  <si>
    <t>intrigrate(t7)</t>
  </si>
  <si>
    <t>t7</t>
  </si>
  <si>
    <t>10,3,13,7,8</t>
  </si>
  <si>
    <t>f7</t>
  </si>
  <si>
    <t>intrigrate(t8)</t>
  </si>
  <si>
    <t>t8</t>
  </si>
  <si>
    <t>10,11,6,7,8</t>
  </si>
  <si>
    <t>f8</t>
  </si>
  <si>
    <t>intrigrate(t9)</t>
  </si>
  <si>
    <t>t9</t>
  </si>
  <si>
    <t>1,12,4,14,15</t>
  </si>
  <si>
    <t>f9</t>
  </si>
  <si>
    <t>intrigrate(t10)</t>
  </si>
  <si>
    <t>t10</t>
  </si>
  <si>
    <t>1,12,13,7,15</t>
  </si>
  <si>
    <t>f10</t>
  </si>
  <si>
    <t>intrigrate(t11)</t>
  </si>
  <si>
    <t>t11</t>
  </si>
  <si>
    <t>10,3,4,14,15</t>
  </si>
  <si>
    <t>f11</t>
  </si>
  <si>
    <t>intrigrate(t12)</t>
  </si>
  <si>
    <t>t12</t>
  </si>
  <si>
    <t>10,3,13,7,15</t>
  </si>
  <si>
    <t>f12</t>
  </si>
  <si>
    <t>intrigrate(t13)</t>
  </si>
  <si>
    <t>t13</t>
  </si>
  <si>
    <t>10,11,6,7,15</t>
  </si>
  <si>
    <t>f13</t>
  </si>
  <si>
    <t>intrigrate(t14)</t>
  </si>
  <si>
    <t>t14</t>
  </si>
  <si>
    <t>10,11,18,9</t>
  </si>
  <si>
    <t>f14</t>
  </si>
  <si>
    <t>intrigrate(t15)</t>
  </si>
  <si>
    <t>t15</t>
  </si>
  <si>
    <t>2,11,6,7,8</t>
  </si>
  <si>
    <t>f15</t>
  </si>
  <si>
    <t>intrigrate(t16)</t>
  </si>
  <si>
    <t>t16</t>
  </si>
  <si>
    <t>2,3,4,5,16</t>
  </si>
  <si>
    <t>f16</t>
  </si>
  <si>
    <t>intrigrate(t17)</t>
  </si>
  <si>
    <t>t17</t>
  </si>
  <si>
    <t>2,3,4,14,8</t>
  </si>
  <si>
    <t>f17</t>
  </si>
  <si>
    <t>intrigrate(t18)</t>
  </si>
  <si>
    <t>t18</t>
  </si>
  <si>
    <t>2,3,13,7,8</t>
  </si>
  <si>
    <t>f18</t>
  </si>
  <si>
    <t>intrigrate(t19)</t>
  </si>
  <si>
    <t>t19</t>
  </si>
  <si>
    <t>17,6,7,8</t>
  </si>
  <si>
    <t>f19</t>
  </si>
  <si>
    <t>minZ</t>
  </si>
  <si>
    <t>2,3,4,14,15</t>
  </si>
  <si>
    <t>f20</t>
  </si>
  <si>
    <t>2,3,13,7,15</t>
  </si>
  <si>
    <t>f21</t>
  </si>
  <si>
    <t>Input Flow</t>
  </si>
  <si>
    <t>2,11,6,7,15</t>
  </si>
  <si>
    <t>f22</t>
  </si>
  <si>
    <t>2,11,18,9</t>
  </si>
  <si>
    <t>f23</t>
  </si>
  <si>
    <t>17,18,9</t>
  </si>
  <si>
    <t>f24</t>
  </si>
  <si>
    <t>17,6,7,15</t>
  </si>
  <si>
    <t>f25</t>
  </si>
  <si>
    <t>TotalTIme</t>
  </si>
  <si>
    <t>Link Flow</t>
  </si>
  <si>
    <t>&lt;=</t>
  </si>
  <si>
    <t>Link Capacity</t>
  </si>
  <si>
    <t>V/C</t>
  </si>
  <si>
    <t>LinkFLow</t>
  </si>
  <si>
    <t>OD</t>
  </si>
  <si>
    <t>TravelTime</t>
  </si>
  <si>
    <t>Production = 250+1.14*Pop+0.15*Stu</t>
  </si>
  <si>
    <t>Attraction = 150+0.48*Pop+0.2*Stu+0.65*Emp</t>
  </si>
  <si>
    <t>Growth %/yr</t>
  </si>
  <si>
    <t>Population</t>
  </si>
  <si>
    <t>Student</t>
  </si>
  <si>
    <t>Employee</t>
  </si>
  <si>
    <t>A,B,C,D</t>
  </si>
  <si>
    <t>Year 0</t>
  </si>
  <si>
    <t>Zone</t>
  </si>
  <si>
    <t>Production</t>
  </si>
  <si>
    <t>Attraction</t>
  </si>
  <si>
    <t>Year 20</t>
  </si>
  <si>
    <t>Year 5</t>
  </si>
  <si>
    <t>Year 25</t>
  </si>
  <si>
    <t>Year 10</t>
  </si>
  <si>
    <t>Year 30</t>
  </si>
  <si>
    <t>Year 15</t>
  </si>
  <si>
    <t>Calibrate</t>
  </si>
  <si>
    <t>Sum</t>
  </si>
  <si>
    <t>Correlation</t>
  </si>
  <si>
    <t>Year</t>
  </si>
  <si>
    <r>
      <t>f(C</t>
    </r>
    <r>
      <rPr>
        <vertAlign val="subscript"/>
        <sz val="26"/>
        <color theme="1"/>
        <rFont val="Calibri"/>
        <family val="2"/>
        <scheme val="minor"/>
      </rPr>
      <t>ij</t>
    </r>
    <r>
      <rPr>
        <sz val="26"/>
        <color theme="1"/>
        <rFont val="Calibri"/>
        <family val="2"/>
        <scheme val="minor"/>
      </rPr>
      <t>) =  C</t>
    </r>
    <r>
      <rPr>
        <vertAlign val="subscript"/>
        <sz val="26"/>
        <color theme="1"/>
        <rFont val="Calibri"/>
        <family val="2"/>
        <scheme val="minor"/>
      </rPr>
      <t>ij</t>
    </r>
    <r>
      <rPr>
        <vertAlign val="superscript"/>
        <sz val="26"/>
        <color theme="1"/>
        <rFont val="Calibri"/>
        <family val="2"/>
        <scheme val="minor"/>
      </rPr>
      <t xml:space="preserve">2.5 </t>
    </r>
    <r>
      <rPr>
        <sz val="26"/>
        <color theme="1"/>
        <rFont val="Calibri"/>
        <family val="2"/>
        <scheme val="minor"/>
      </rPr>
      <t>×</t>
    </r>
    <r>
      <rPr>
        <vertAlign val="superscript"/>
        <sz val="26"/>
        <color theme="1"/>
        <rFont val="Calibri"/>
        <family val="2"/>
        <scheme val="minor"/>
      </rPr>
      <t xml:space="preserve">  </t>
    </r>
    <r>
      <rPr>
        <sz val="26"/>
        <color theme="1"/>
        <rFont val="Calibri"/>
        <family val="2"/>
        <scheme val="minor"/>
      </rPr>
      <t>e</t>
    </r>
    <r>
      <rPr>
        <vertAlign val="superscript"/>
        <sz val="26"/>
        <color theme="1"/>
        <rFont val="Calibri"/>
        <family val="2"/>
        <scheme val="minor"/>
      </rPr>
      <t>(-0.168 × Cij)</t>
    </r>
  </si>
  <si>
    <t>Cal</t>
  </si>
  <si>
    <t>F</t>
  </si>
  <si>
    <t>Travel time (min)</t>
  </si>
  <si>
    <t>Trip Length Frequency</t>
  </si>
  <si>
    <r>
      <t>f(Cij)--&gt;(Cij^2.25)*e</t>
    </r>
    <r>
      <rPr>
        <b/>
        <vertAlign val="superscript"/>
        <sz val="12"/>
        <color theme="1"/>
        <rFont val="Calibri"/>
        <family val="2"/>
        <scheme val="minor"/>
      </rPr>
      <t>(-0.615*Cij)</t>
    </r>
  </si>
  <si>
    <t>a</t>
  </si>
  <si>
    <t>Mean (TLF)</t>
  </si>
  <si>
    <t>mean</t>
  </si>
  <si>
    <t>n</t>
  </si>
  <si>
    <t>Correction</t>
  </si>
  <si>
    <t>A Cal</t>
  </si>
  <si>
    <t>A target</t>
  </si>
  <si>
    <t>P Cal</t>
  </si>
  <si>
    <t>P target</t>
  </si>
  <si>
    <t>O/D</t>
  </si>
  <si>
    <t>IT5</t>
  </si>
  <si>
    <t>IT4</t>
  </si>
  <si>
    <t>Trips</t>
  </si>
  <si>
    <t>IT3</t>
  </si>
  <si>
    <t>IT2</t>
  </si>
  <si>
    <t>IT1</t>
  </si>
  <si>
    <t>Production &amp; Attraction Balancing</t>
  </si>
  <si>
    <t xml:space="preserve">f(Cij) </t>
  </si>
  <si>
    <r>
      <t>f(Cij)--&gt;(Cij^n)*e</t>
    </r>
    <r>
      <rPr>
        <vertAlign val="superscript"/>
        <sz val="12"/>
        <color theme="1"/>
        <rFont val="Calibri"/>
        <family val="2"/>
        <scheme val="minor"/>
      </rPr>
      <t>(-a*Cij)</t>
    </r>
  </si>
  <si>
    <r>
      <t>f(C</t>
    </r>
    <r>
      <rPr>
        <vertAlign val="subscript"/>
        <sz val="12"/>
        <color theme="1"/>
        <rFont val="Calibri"/>
        <family val="2"/>
        <scheme val="minor"/>
      </rPr>
      <t>ij</t>
    </r>
    <r>
      <rPr>
        <sz val="12"/>
        <color theme="1"/>
        <rFont val="Calibri"/>
        <family val="2"/>
        <scheme val="minor"/>
      </rPr>
      <t>) =  C</t>
    </r>
    <r>
      <rPr>
        <vertAlign val="subscript"/>
        <sz val="12"/>
        <color theme="1"/>
        <rFont val="Calibri"/>
        <family val="2"/>
        <scheme val="minor"/>
      </rPr>
      <t>ij</t>
    </r>
    <r>
      <rPr>
        <vertAlign val="superscript"/>
        <sz val="12"/>
        <color theme="1"/>
        <rFont val="Calibri"/>
        <family val="2"/>
        <scheme val="minor"/>
      </rPr>
      <t xml:space="preserve">n </t>
    </r>
    <r>
      <rPr>
        <sz val="12"/>
        <color theme="1"/>
        <rFont val="Calibri"/>
        <family val="2"/>
        <scheme val="minor"/>
      </rPr>
      <t>×</t>
    </r>
    <r>
      <rPr>
        <vertAlign val="superscript"/>
        <sz val="12"/>
        <color theme="1"/>
        <rFont val="Calibri"/>
        <family val="2"/>
        <scheme val="minor"/>
      </rPr>
      <t xml:space="preserve">  </t>
    </r>
    <r>
      <rPr>
        <sz val="12"/>
        <color theme="1"/>
        <rFont val="Calibri"/>
        <family val="2"/>
        <scheme val="minor"/>
      </rPr>
      <t>e</t>
    </r>
    <r>
      <rPr>
        <vertAlign val="superscript"/>
        <sz val="12"/>
        <color theme="1"/>
        <rFont val="Calibri"/>
        <family val="2"/>
        <scheme val="minor"/>
      </rPr>
      <t>(-a × Cij)</t>
    </r>
  </si>
  <si>
    <t>O-D Matrix</t>
  </si>
  <si>
    <t>Hybrid Function</t>
  </si>
  <si>
    <t>Friction Calibration</t>
  </si>
  <si>
    <t>Mean</t>
  </si>
  <si>
    <t>Frequency</t>
  </si>
  <si>
    <t>Probability : Bike</t>
  </si>
  <si>
    <t>Probability : transit</t>
  </si>
  <si>
    <t>Probability : Auto</t>
  </si>
  <si>
    <t>Done</t>
  </si>
  <si>
    <t>Year30</t>
  </si>
  <si>
    <t>Year25</t>
  </si>
  <si>
    <t>Year20</t>
  </si>
  <si>
    <t>Year15</t>
  </si>
  <si>
    <t>Year10</t>
  </si>
  <si>
    <t>Year5</t>
  </si>
  <si>
    <t>Bus</t>
  </si>
  <si>
    <t>V</t>
  </si>
  <si>
    <t>e</t>
  </si>
  <si>
    <t>Prop</t>
  </si>
  <si>
    <t>LL</t>
  </si>
  <si>
    <t>Y_A</t>
  </si>
  <si>
    <t>Y_B</t>
  </si>
  <si>
    <t>Y_Bi</t>
  </si>
  <si>
    <t>SUM</t>
  </si>
  <si>
    <r>
      <t>V</t>
    </r>
    <r>
      <rPr>
        <vertAlign val="subscript"/>
        <sz val="28"/>
        <color theme="1"/>
        <rFont val="Dutch801 Rm BT"/>
        <family val="1"/>
      </rPr>
      <t xml:space="preserve">auto     </t>
    </r>
    <r>
      <rPr>
        <sz val="28"/>
        <color theme="1"/>
        <rFont val="Dutch801 Rm BT"/>
        <family val="1"/>
      </rPr>
      <t>= 11.561 - 21.719time</t>
    </r>
  </si>
  <si>
    <r>
      <t>V</t>
    </r>
    <r>
      <rPr>
        <vertAlign val="subscript"/>
        <sz val="28"/>
        <color theme="1"/>
        <rFont val="Dutch801 Rm BT"/>
        <family val="1"/>
      </rPr>
      <t>transit</t>
    </r>
    <r>
      <rPr>
        <sz val="28"/>
        <color theme="1"/>
        <rFont val="Dutch801 Rm BT"/>
        <family val="1"/>
      </rPr>
      <t xml:space="preserve"> = 0.1 -8.536time -25.318cost</t>
    </r>
  </si>
  <si>
    <r>
      <t>V</t>
    </r>
    <r>
      <rPr>
        <vertAlign val="subscript"/>
        <sz val="28"/>
        <color theme="1"/>
        <rFont val="Dutch801 Rm BT"/>
        <family val="1"/>
      </rPr>
      <t>bike</t>
    </r>
    <r>
      <rPr>
        <sz val="28"/>
        <color theme="1"/>
        <rFont val="Dutch801 Rm BT"/>
        <family val="1"/>
      </rPr>
      <t xml:space="preserve">    = -7.43time</t>
    </r>
  </si>
  <si>
    <t>V(Auto)</t>
  </si>
  <si>
    <t>V(transit)</t>
  </si>
  <si>
    <t>V(Bike)</t>
  </si>
  <si>
    <t>Exp(Auto)</t>
  </si>
  <si>
    <t>Exp(transit)</t>
  </si>
  <si>
    <t>Exp(Bike)</t>
  </si>
  <si>
    <t>Dij</t>
  </si>
  <si>
    <t>IT6</t>
  </si>
  <si>
    <t>IT7</t>
  </si>
  <si>
    <t>IT8</t>
  </si>
  <si>
    <t>IT9</t>
  </si>
  <si>
    <t>IT10</t>
  </si>
  <si>
    <t>Base Year</t>
  </si>
  <si>
    <t>.</t>
  </si>
  <si>
    <t>New Time&amp;OD</t>
  </si>
  <si>
    <t>CA</t>
  </si>
  <si>
    <t>CB</t>
  </si>
  <si>
    <t>CD</t>
  </si>
  <si>
    <t>DA</t>
  </si>
  <si>
    <t>DB</t>
  </si>
  <si>
    <t>To Loop Feedback</t>
  </si>
  <si>
    <t>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</si>
</sst>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0"/>
    <numFmt numFmtId="166" formatCode="0.0000"/>
    <numFmt numFmtId="167" formatCode="0.000E+00"/>
  </numFmts>
  <fonts count="3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vertAlign val="superscript"/>
      <sz val="11"/>
      <color theme="1"/>
      <name val="Calibri"/>
      <family val="2"/>
    </font>
    <font>
      <b/>
      <vertAlign val="subscript"/>
      <sz val="11"/>
      <color theme="1"/>
      <name val="Calibri"/>
      <family val="2"/>
    </font>
    <font>
      <sz val="11"/>
      <color rgb="FF0000FF"/>
      <name val="Calibri"/>
      <family val="2"/>
      <scheme val="minor"/>
    </font>
    <font>
      <b/>
      <sz val="11"/>
      <color rgb="FF3C02BE"/>
      <name val="Calibri"/>
      <family val="2"/>
      <scheme val="minor"/>
    </font>
    <font>
      <sz val="11"/>
      <color rgb="FF3C02BE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vertAlign val="subscript"/>
      <sz val="26"/>
      <color theme="1"/>
      <name val="Calibri"/>
      <family val="2"/>
      <scheme val="minor"/>
    </font>
    <font>
      <vertAlign val="superscript"/>
      <sz val="2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vertAlign val="superscript"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sz val="12"/>
      <color rgb="FF0000FF"/>
      <name val="Calibri"/>
      <family val="2"/>
      <scheme val="minor"/>
    </font>
    <font>
      <sz val="12"/>
      <color rgb="FFFF0000"/>
      <name val="Calibri"/>
      <family val="2"/>
      <scheme val="minor"/>
    </font>
    <font>
      <vertAlign val="superscript"/>
      <sz val="12"/>
      <color theme="1"/>
      <name val="Calibri"/>
      <family val="2"/>
      <scheme val="minor"/>
    </font>
    <font>
      <vertAlign val="subscript"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sz val="11"/>
      <color theme="1"/>
      <name val="Dutch801 Rm BT"/>
      <family val="1"/>
    </font>
    <font>
      <sz val="28"/>
      <color theme="1"/>
      <name val="Dutch801 Rm BT"/>
      <family val="1"/>
    </font>
    <font>
      <vertAlign val="subscript"/>
      <sz val="28"/>
      <color theme="1"/>
      <name val="Dutch801 Rm BT"/>
      <family val="1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2" fillId="0" borderId="0"/>
  </cellStyleXfs>
  <cellXfs count="265">
    <xf numFmtId="0" fontId="0" fillId="0" borderId="0" xfId="0"/>
    <xf numFmtId="0" fontId="3" fillId="0" borderId="0" xfId="0" applyFont="1"/>
    <xf numFmtId="0" fontId="2" fillId="0" borderId="1" xfId="0" applyFont="1" applyBorder="1"/>
    <xf numFmtId="0" fontId="0" fillId="2" borderId="1" xfId="0" applyFill="1" applyBorder="1" applyAlignment="1">
      <alignment horizontal="center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2" fillId="0" borderId="0" xfId="0" applyFont="1" applyAlignment="1">
      <alignment horizontal="left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2" fontId="0" fillId="0" borderId="4" xfId="0" applyNumberFormat="1" applyBorder="1" applyAlignment="1">
      <alignment horizontal="center"/>
    </xf>
    <xf numFmtId="0" fontId="0" fillId="3" borderId="7" xfId="0" applyFill="1" applyBorder="1"/>
    <xf numFmtId="0" fontId="0" fillId="3" borderId="2" xfId="0" applyFill="1" applyBorder="1"/>
    <xf numFmtId="0" fontId="0" fillId="3" borderId="6" xfId="0" applyFill="1" applyBorder="1"/>
    <xf numFmtId="0" fontId="0" fillId="4" borderId="0" xfId="0" applyFill="1"/>
    <xf numFmtId="0" fontId="0" fillId="5" borderId="1" xfId="0" applyFill="1" applyBorder="1"/>
    <xf numFmtId="0" fontId="2" fillId="8" borderId="1" xfId="0" applyFont="1" applyFill="1" applyBorder="1"/>
    <xf numFmtId="0" fontId="2" fillId="8" borderId="1" xfId="0" applyFont="1" applyFill="1" applyBorder="1" applyAlignment="1">
      <alignment horizontal="center"/>
    </xf>
    <xf numFmtId="0" fontId="2" fillId="9" borderId="11" xfId="0" applyFont="1" applyFill="1" applyBorder="1"/>
    <xf numFmtId="0" fontId="2" fillId="9" borderId="1" xfId="0" applyFont="1" applyFill="1" applyBorder="1"/>
    <xf numFmtId="0" fontId="2" fillId="9" borderId="9" xfId="0" applyFont="1" applyFill="1" applyBorder="1" applyAlignment="1">
      <alignment horizontal="center"/>
    </xf>
    <xf numFmtId="0" fontId="2" fillId="9" borderId="12" xfId="0" applyFont="1" applyFill="1" applyBorder="1" applyAlignment="1">
      <alignment horizontal="center"/>
    </xf>
    <xf numFmtId="0" fontId="2" fillId="9" borderId="10" xfId="0" applyFont="1" applyFill="1" applyBorder="1"/>
    <xf numFmtId="0" fontId="5" fillId="4" borderId="11" xfId="0" applyFont="1" applyFill="1" applyBorder="1"/>
    <xf numFmtId="0" fontId="2" fillId="9" borderId="11" xfId="0" applyFont="1" applyFill="1" applyBorder="1" applyAlignment="1">
      <alignment horizontal="center"/>
    </xf>
    <xf numFmtId="0" fontId="0" fillId="5" borderId="11" xfId="0" applyFill="1" applyBorder="1"/>
    <xf numFmtId="2" fontId="0" fillId="0" borderId="0" xfId="0" applyNumberFormat="1"/>
    <xf numFmtId="0" fontId="2" fillId="5" borderId="7" xfId="0" applyFont="1" applyFill="1" applyBorder="1"/>
    <xf numFmtId="2" fontId="2" fillId="5" borderId="11" xfId="0" applyNumberFormat="1" applyFont="1" applyFill="1" applyBorder="1"/>
    <xf numFmtId="0" fontId="0" fillId="5" borderId="13" xfId="0" applyFill="1" applyBorder="1"/>
    <xf numFmtId="0" fontId="2" fillId="5" borderId="8" xfId="0" applyFont="1" applyFill="1" applyBorder="1" applyAlignment="1">
      <alignment horizontal="center"/>
    </xf>
    <xf numFmtId="0" fontId="0" fillId="5" borderId="8" xfId="0" applyFill="1" applyBorder="1"/>
    <xf numFmtId="2" fontId="0" fillId="8" borderId="7" xfId="0" applyNumberFormat="1" applyFill="1" applyBorder="1"/>
    <xf numFmtId="0" fontId="0" fillId="2" borderId="11" xfId="0" applyFill="1" applyBorder="1"/>
    <xf numFmtId="0" fontId="8" fillId="5" borderId="11" xfId="0" applyFont="1" applyFill="1" applyBorder="1" applyAlignment="1">
      <alignment horizontal="center"/>
    </xf>
    <xf numFmtId="0" fontId="3" fillId="0" borderId="11" xfId="0" applyFont="1" applyBorder="1" applyAlignment="1">
      <alignment horizontal="center" vertical="center"/>
    </xf>
    <xf numFmtId="0" fontId="2" fillId="5" borderId="11" xfId="0" applyFont="1" applyFill="1" applyBorder="1" applyAlignment="1">
      <alignment horizontal="center"/>
    </xf>
    <xf numFmtId="0" fontId="0" fillId="5" borderId="11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2" fillId="5" borderId="2" xfId="0" applyFont="1" applyFill="1" applyBorder="1"/>
    <xf numFmtId="0" fontId="2" fillId="5" borderId="3" xfId="0" applyFont="1" applyFill="1" applyBorder="1" applyAlignment="1">
      <alignment horizontal="center"/>
    </xf>
    <xf numFmtId="0" fontId="0" fillId="5" borderId="3" xfId="0" applyFill="1" applyBorder="1"/>
    <xf numFmtId="2" fontId="0" fillId="8" borderId="2" xfId="0" applyNumberFormat="1" applyFill="1" applyBorder="1"/>
    <xf numFmtId="0" fontId="0" fillId="2" borderId="13" xfId="0" applyFill="1" applyBorder="1"/>
    <xf numFmtId="0" fontId="3" fillId="0" borderId="13" xfId="0" applyFont="1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15" xfId="0" applyFill="1" applyBorder="1"/>
    <xf numFmtId="0" fontId="2" fillId="5" borderId="5" xfId="0" applyFont="1" applyFill="1" applyBorder="1" applyAlignment="1">
      <alignment horizontal="center"/>
    </xf>
    <xf numFmtId="0" fontId="0" fillId="5" borderId="5" xfId="0" applyFill="1" applyBorder="1"/>
    <xf numFmtId="2" fontId="0" fillId="8" borderId="6" xfId="0" applyNumberFormat="1" applyFill="1" applyBorder="1"/>
    <xf numFmtId="0" fontId="0" fillId="2" borderId="15" xfId="0" applyFill="1" applyBorder="1"/>
    <xf numFmtId="0" fontId="3" fillId="0" borderId="15" xfId="0" applyFont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2" fillId="5" borderId="6" xfId="0" applyFont="1" applyFill="1" applyBorder="1"/>
    <xf numFmtId="0" fontId="2" fillId="5" borderId="1" xfId="0" applyFont="1" applyFill="1" applyBorder="1" applyAlignment="1">
      <alignment horizontal="left"/>
    </xf>
    <xf numFmtId="2" fontId="2" fillId="4" borderId="10" xfId="0" applyNumberFormat="1" applyFont="1" applyFill="1" applyBorder="1"/>
    <xf numFmtId="0" fontId="2" fillId="0" borderId="9" xfId="0" applyFont="1" applyBorder="1"/>
    <xf numFmtId="0" fontId="2" fillId="5" borderId="1" xfId="0" applyFont="1" applyFill="1" applyBorder="1"/>
    <xf numFmtId="0" fontId="2" fillId="5" borderId="10" xfId="0" applyFont="1" applyFill="1" applyBorder="1" applyAlignment="1">
      <alignment horizontal="left"/>
    </xf>
    <xf numFmtId="0" fontId="0" fillId="0" borderId="7" xfId="0" applyBorder="1"/>
    <xf numFmtId="0" fontId="0" fillId="0" borderId="13" xfId="0" applyBorder="1"/>
    <xf numFmtId="0" fontId="0" fillId="0" borderId="13" xfId="0" applyBorder="1" applyAlignment="1">
      <alignment horizontal="center"/>
    </xf>
    <xf numFmtId="0" fontId="0" fillId="0" borderId="3" xfId="0" applyBorder="1"/>
    <xf numFmtId="0" fontId="0" fillId="0" borderId="2" xfId="0" applyBorder="1"/>
    <xf numFmtId="0" fontId="8" fillId="5" borderId="1" xfId="0" applyFont="1" applyFill="1" applyBorder="1" applyAlignment="1">
      <alignment horizontal="center"/>
    </xf>
    <xf numFmtId="0" fontId="0" fillId="0" borderId="6" xfId="0" applyBorder="1"/>
    <xf numFmtId="0" fontId="0" fillId="0" borderId="15" xfId="0" applyBorder="1"/>
    <xf numFmtId="0" fontId="0" fillId="0" borderId="15" xfId="0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2" fontId="0" fillId="0" borderId="1" xfId="0" applyNumberFormat="1" applyBorder="1"/>
    <xf numFmtId="0" fontId="9" fillId="0" borderId="1" xfId="0" applyFont="1" applyBorder="1" applyAlignment="1">
      <alignment horizontal="center"/>
    </xf>
    <xf numFmtId="0" fontId="10" fillId="0" borderId="15" xfId="0" applyFont="1" applyBorder="1" applyAlignment="1">
      <alignment horizontal="center" vertical="center"/>
    </xf>
    <xf numFmtId="0" fontId="3" fillId="5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1" xfId="0" applyBorder="1"/>
    <xf numFmtId="164" fontId="0" fillId="0" borderId="0" xfId="0" applyNumberFormat="1"/>
    <xf numFmtId="0" fontId="8" fillId="0" borderId="0" xfId="0" applyFont="1"/>
    <xf numFmtId="10" fontId="0" fillId="0" borderId="0" xfId="0" applyNumberFormat="1"/>
    <xf numFmtId="9" fontId="0" fillId="0" borderId="0" xfId="0" applyNumberFormat="1"/>
    <xf numFmtId="0" fontId="2" fillId="0" borderId="11" xfId="0" applyFont="1" applyBorder="1"/>
    <xf numFmtId="0" fontId="0" fillId="0" borderId="14" xfId="0" applyBorder="1"/>
    <xf numFmtId="0" fontId="2" fillId="0" borderId="8" xfId="0" applyFont="1" applyBorder="1"/>
    <xf numFmtId="0" fontId="0" fillId="0" borderId="8" xfId="0" applyBorder="1"/>
    <xf numFmtId="0" fontId="2" fillId="0" borderId="13" xfId="0" applyFont="1" applyBorder="1"/>
    <xf numFmtId="0" fontId="2" fillId="0" borderId="3" xfId="0" applyFont="1" applyBorder="1"/>
    <xf numFmtId="0" fontId="2" fillId="0" borderId="15" xfId="0" applyFont="1" applyBorder="1"/>
    <xf numFmtId="0" fontId="0" fillId="0" borderId="4" xfId="0" applyBorder="1"/>
    <xf numFmtId="0" fontId="0" fillId="0" borderId="5" xfId="0" applyBorder="1"/>
    <xf numFmtId="0" fontId="2" fillId="0" borderId="5" xfId="0" applyFont="1" applyBorder="1"/>
    <xf numFmtId="0" fontId="0" fillId="0" borderId="0" xfId="0" applyAlignment="1">
      <alignment vertical="center"/>
    </xf>
    <xf numFmtId="0" fontId="0" fillId="0" borderId="14" xfId="0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/>
    <xf numFmtId="0" fontId="2" fillId="10" borderId="1" xfId="0" applyFont="1" applyFill="1" applyBorder="1"/>
    <xf numFmtId="0" fontId="11" fillId="0" borderId="9" xfId="0" applyFont="1" applyBorder="1"/>
    <xf numFmtId="0" fontId="0" fillId="4" borderId="11" xfId="0" applyFill="1" applyBorder="1"/>
    <xf numFmtId="0" fontId="0" fillId="4" borderId="7" xfId="0" applyFill="1" applyBorder="1"/>
    <xf numFmtId="0" fontId="0" fillId="4" borderId="13" xfId="0" applyFill="1" applyBorder="1"/>
    <xf numFmtId="0" fontId="0" fillId="4" borderId="2" xfId="0" applyFill="1" applyBorder="1"/>
    <xf numFmtId="0" fontId="0" fillId="4" borderId="15" xfId="0" applyFill="1" applyBorder="1"/>
    <xf numFmtId="0" fontId="0" fillId="4" borderId="6" xfId="0" applyFill="1" applyBorder="1"/>
    <xf numFmtId="165" fontId="2" fillId="10" borderId="15" xfId="0" applyNumberFormat="1" applyFont="1" applyFill="1" applyBorder="1"/>
    <xf numFmtId="0" fontId="2" fillId="10" borderId="15" xfId="0" applyFont="1" applyFill="1" applyBorder="1"/>
    <xf numFmtId="0" fontId="0" fillId="5" borderId="0" xfId="0" applyFill="1"/>
    <xf numFmtId="0" fontId="2" fillId="0" borderId="10" xfId="0" applyFont="1" applyBorder="1"/>
    <xf numFmtId="0" fontId="1" fillId="0" borderId="10" xfId="0" applyFont="1" applyBorder="1"/>
    <xf numFmtId="166" fontId="0" fillId="5" borderId="1" xfId="0" applyNumberFormat="1" applyFill="1" applyBorder="1"/>
    <xf numFmtId="165" fontId="0" fillId="5" borderId="1" xfId="0" applyNumberFormat="1" applyFill="1" applyBorder="1"/>
    <xf numFmtId="0" fontId="11" fillId="0" borderId="12" xfId="0" applyFont="1" applyBorder="1"/>
    <xf numFmtId="0" fontId="13" fillId="5" borderId="0" xfId="1" applyFont="1" applyFill="1"/>
    <xf numFmtId="0" fontId="0" fillId="8" borderId="1" xfId="0" applyFill="1" applyBorder="1"/>
    <xf numFmtId="0" fontId="0" fillId="10" borderId="11" xfId="0" applyFill="1" applyBorder="1"/>
    <xf numFmtId="0" fontId="2" fillId="0" borderId="0" xfId="0" applyFont="1"/>
    <xf numFmtId="0" fontId="12" fillId="0" borderId="0" xfId="1"/>
    <xf numFmtId="0" fontId="16" fillId="0" borderId="0" xfId="1" applyFont="1"/>
    <xf numFmtId="0" fontId="0" fillId="0" borderId="9" xfId="0" applyBorder="1" applyAlignment="1">
      <alignment horizontal="center"/>
    </xf>
    <xf numFmtId="0" fontId="16" fillId="0" borderId="5" xfId="1" applyFont="1" applyBorder="1"/>
    <xf numFmtId="0" fontId="16" fillId="0" borderId="4" xfId="1" applyFont="1" applyBorder="1"/>
    <xf numFmtId="0" fontId="12" fillId="0" borderId="4" xfId="1" applyBorder="1"/>
    <xf numFmtId="0" fontId="19" fillId="0" borderId="4" xfId="1" applyFont="1" applyBorder="1"/>
    <xf numFmtId="164" fontId="16" fillId="0" borderId="4" xfId="1" applyNumberFormat="1" applyFont="1" applyBorder="1"/>
    <xf numFmtId="0" fontId="12" fillId="0" borderId="2" xfId="1" applyBorder="1"/>
    <xf numFmtId="0" fontId="12" fillId="0" borderId="3" xfId="1" applyBorder="1"/>
    <xf numFmtId="0" fontId="12" fillId="0" borderId="1" xfId="1" applyBorder="1"/>
    <xf numFmtId="0" fontId="12" fillId="0" borderId="1" xfId="1" applyBorder="1" applyAlignment="1">
      <alignment horizontal="center"/>
    </xf>
    <xf numFmtId="0" fontId="12" fillId="0" borderId="7" xfId="1" applyBorder="1" applyAlignment="1">
      <alignment horizontal="center"/>
    </xf>
    <xf numFmtId="0" fontId="12" fillId="0" borderId="8" xfId="1" applyBorder="1" applyAlignment="1">
      <alignment horizontal="center"/>
    </xf>
    <xf numFmtId="0" fontId="12" fillId="0" borderId="14" xfId="1" applyBorder="1" applyAlignment="1">
      <alignment horizontal="center"/>
    </xf>
    <xf numFmtId="0" fontId="0" fillId="0" borderId="10" xfId="0" applyBorder="1"/>
    <xf numFmtId="0" fontId="0" fillId="0" borderId="12" xfId="0" applyBorder="1"/>
    <xf numFmtId="0" fontId="0" fillId="0" borderId="9" xfId="0" applyBorder="1"/>
    <xf numFmtId="0" fontId="16" fillId="0" borderId="1" xfId="0" applyFont="1" applyBorder="1" applyAlignment="1">
      <alignment horizontal="center"/>
    </xf>
    <xf numFmtId="0" fontId="12" fillId="7" borderId="7" xfId="1" applyFill="1" applyBorder="1" applyAlignment="1">
      <alignment horizontal="center"/>
    </xf>
    <xf numFmtId="0" fontId="11" fillId="0" borderId="1" xfId="0" applyFont="1" applyBorder="1"/>
    <xf numFmtId="0" fontId="11" fillId="0" borderId="10" xfId="0" applyFont="1" applyBorder="1"/>
    <xf numFmtId="0" fontId="3" fillId="0" borderId="14" xfId="0" applyFont="1" applyBorder="1" applyAlignment="1">
      <alignment horizontal="left"/>
    </xf>
    <xf numFmtId="0" fontId="16" fillId="4" borderId="8" xfId="0" applyFont="1" applyFill="1" applyBorder="1"/>
    <xf numFmtId="0" fontId="16" fillId="4" borderId="7" xfId="1" applyFont="1" applyFill="1" applyBorder="1"/>
    <xf numFmtId="0" fontId="0" fillId="10" borderId="15" xfId="0" applyFill="1" applyBorder="1"/>
    <xf numFmtId="0" fontId="0" fillId="10" borderId="13" xfId="0" applyFill="1" applyBorder="1"/>
    <xf numFmtId="0" fontId="0" fillId="4" borderId="1" xfId="0" applyFill="1" applyBorder="1"/>
    <xf numFmtId="0" fontId="12" fillId="4" borderId="1" xfId="1" applyFill="1" applyBorder="1"/>
    <xf numFmtId="11" fontId="12" fillId="0" borderId="1" xfId="1" applyNumberFormat="1" applyBorder="1"/>
    <xf numFmtId="0" fontId="12" fillId="5" borderId="0" xfId="1" applyFill="1"/>
    <xf numFmtId="0" fontId="12" fillId="5" borderId="5" xfId="1" applyFill="1" applyBorder="1"/>
    <xf numFmtId="0" fontId="12" fillId="5" borderId="4" xfId="1" applyFill="1" applyBorder="1"/>
    <xf numFmtId="0" fontId="12" fillId="5" borderId="1" xfId="1" applyFill="1" applyBorder="1" applyAlignment="1">
      <alignment horizontal="center"/>
    </xf>
    <xf numFmtId="0" fontId="12" fillId="5" borderId="9" xfId="1" applyFill="1" applyBorder="1" applyAlignment="1">
      <alignment horizontal="center"/>
    </xf>
    <xf numFmtId="0" fontId="12" fillId="5" borderId="6" xfId="1" applyFill="1" applyBorder="1" applyAlignment="1">
      <alignment horizontal="center"/>
    </xf>
    <xf numFmtId="0" fontId="12" fillId="5" borderId="6" xfId="1" applyFill="1" applyBorder="1"/>
    <xf numFmtId="0" fontId="12" fillId="5" borderId="3" xfId="1" applyFill="1" applyBorder="1"/>
    <xf numFmtId="0" fontId="12" fillId="5" borderId="11" xfId="1" applyFill="1" applyBorder="1" applyAlignment="1">
      <alignment horizontal="center"/>
    </xf>
    <xf numFmtId="0" fontId="12" fillId="5" borderId="7" xfId="1" applyFill="1" applyBorder="1" applyAlignment="1">
      <alignment horizontal="center"/>
    </xf>
    <xf numFmtId="0" fontId="12" fillId="5" borderId="2" xfId="1" applyFill="1" applyBorder="1" applyAlignment="1">
      <alignment horizontal="center"/>
    </xf>
    <xf numFmtId="0" fontId="12" fillId="5" borderId="2" xfId="1" applyFill="1" applyBorder="1"/>
    <xf numFmtId="0" fontId="12" fillId="5" borderId="8" xfId="1" applyFill="1" applyBorder="1" applyAlignment="1">
      <alignment horizontal="center"/>
    </xf>
    <xf numFmtId="0" fontId="12" fillId="5" borderId="14" xfId="1" applyFill="1" applyBorder="1" applyAlignment="1">
      <alignment horizontal="center"/>
    </xf>
    <xf numFmtId="0" fontId="25" fillId="5" borderId="1" xfId="1" applyFont="1" applyFill="1" applyBorder="1"/>
    <xf numFmtId="0" fontId="12" fillId="0" borderId="0" xfId="1" applyAlignment="1">
      <alignment horizontal="center"/>
    </xf>
    <xf numFmtId="0" fontId="12" fillId="0" borderId="8" xfId="1" applyBorder="1"/>
    <xf numFmtId="0" fontId="12" fillId="0" borderId="14" xfId="1" applyBorder="1"/>
    <xf numFmtId="0" fontId="22" fillId="0" borderId="14" xfId="1" applyFont="1" applyBorder="1"/>
    <xf numFmtId="0" fontId="12" fillId="0" borderId="7" xfId="1" applyBorder="1"/>
    <xf numFmtId="0" fontId="19" fillId="0" borderId="1" xfId="1" applyFont="1" applyBorder="1" applyAlignment="1">
      <alignment vertical="center"/>
    </xf>
    <xf numFmtId="0" fontId="0" fillId="11" borderId="11" xfId="0" applyFill="1" applyBorder="1" applyAlignment="1">
      <alignment horizontal="center"/>
    </xf>
    <xf numFmtId="0" fontId="0" fillId="11" borderId="10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11" borderId="1" xfId="0" applyFill="1" applyBorder="1"/>
    <xf numFmtId="0" fontId="0" fillId="11" borderId="15" xfId="0" applyFill="1" applyBorder="1" applyAlignment="1">
      <alignment horizontal="center"/>
    </xf>
    <xf numFmtId="0" fontId="26" fillId="11" borderId="1" xfId="0" applyFont="1" applyFill="1" applyBorder="1" applyAlignment="1">
      <alignment horizontal="center"/>
    </xf>
    <xf numFmtId="0" fontId="26" fillId="11" borderId="11" xfId="0" applyFont="1" applyFill="1" applyBorder="1" applyAlignment="1">
      <alignment horizontal="center"/>
    </xf>
    <xf numFmtId="0" fontId="0" fillId="11" borderId="11" xfId="0" applyFill="1" applyBorder="1"/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26" fillId="5" borderId="11" xfId="0" applyFont="1" applyFill="1" applyBorder="1"/>
    <xf numFmtId="0" fontId="26" fillId="5" borderId="8" xfId="0" applyFont="1" applyFill="1" applyBorder="1"/>
    <xf numFmtId="0" fontId="26" fillId="5" borderId="8" xfId="0" quotePrefix="1" applyFont="1" applyFill="1" applyBorder="1"/>
    <xf numFmtId="0" fontId="0" fillId="11" borderId="13" xfId="0" applyFill="1" applyBorder="1"/>
    <xf numFmtId="0" fontId="26" fillId="5" borderId="3" xfId="0" applyFont="1" applyFill="1" applyBorder="1"/>
    <xf numFmtId="0" fontId="26" fillId="5" borderId="3" xfId="0" quotePrefix="1" applyFont="1" applyFill="1" applyBorder="1"/>
    <xf numFmtId="0" fontId="26" fillId="5" borderId="13" xfId="0" applyFont="1" applyFill="1" applyBorder="1"/>
    <xf numFmtId="166" fontId="27" fillId="0" borderId="0" xfId="0" applyNumberFormat="1" applyFont="1"/>
    <xf numFmtId="0" fontId="0" fillId="11" borderId="15" xfId="0" applyFill="1" applyBorder="1"/>
    <xf numFmtId="0" fontId="0" fillId="5" borderId="6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15" xfId="0" applyFill="1" applyBorder="1" applyAlignment="1">
      <alignment horizontal="center"/>
    </xf>
    <xf numFmtId="0" fontId="26" fillId="5" borderId="5" xfId="0" applyFont="1" applyFill="1" applyBorder="1"/>
    <xf numFmtId="0" fontId="26" fillId="5" borderId="5" xfId="0" quotePrefix="1" applyFont="1" applyFill="1" applyBorder="1"/>
    <xf numFmtId="0" fontId="26" fillId="5" borderId="15" xfId="0" applyFont="1" applyFill="1" applyBorder="1"/>
    <xf numFmtId="0" fontId="26" fillId="0" borderId="0" xfId="0" applyFont="1"/>
    <xf numFmtId="0" fontId="26" fillId="0" borderId="0" xfId="0" quotePrefix="1" applyFont="1"/>
    <xf numFmtId="0" fontId="11" fillId="0" borderId="0" xfId="0" applyFont="1"/>
    <xf numFmtId="0" fontId="0" fillId="12" borderId="1" xfId="0" applyFill="1" applyBorder="1"/>
    <xf numFmtId="0" fontId="28" fillId="5" borderId="0" xfId="0" applyFont="1" applyFill="1"/>
    <xf numFmtId="0" fontId="26" fillId="5" borderId="0" xfId="0" applyFont="1" applyFill="1"/>
    <xf numFmtId="0" fontId="29" fillId="5" borderId="0" xfId="0" applyFont="1" applyFill="1"/>
    <xf numFmtId="0" fontId="26" fillId="0" borderId="1" xfId="0" applyFont="1" applyBorder="1"/>
    <xf numFmtId="0" fontId="12" fillId="5" borderId="13" xfId="1" applyFill="1" applyBorder="1"/>
    <xf numFmtId="0" fontId="12" fillId="5" borderId="15" xfId="1" applyFill="1" applyBorder="1"/>
    <xf numFmtId="0" fontId="22" fillId="0" borderId="0" xfId="1" applyFont="1"/>
    <xf numFmtId="0" fontId="21" fillId="0" borderId="0" xfId="1" applyFont="1"/>
    <xf numFmtId="164" fontId="21" fillId="0" borderId="0" xfId="1" applyNumberFormat="1" applyFont="1"/>
    <xf numFmtId="0" fontId="16" fillId="4" borderId="0" xfId="1" applyFont="1" applyFill="1"/>
    <xf numFmtId="0" fontId="3" fillId="4" borderId="7" xfId="0" applyFont="1" applyFill="1" applyBorder="1"/>
    <xf numFmtId="0" fontId="16" fillId="4" borderId="2" xfId="1" applyFont="1" applyFill="1" applyBorder="1"/>
    <xf numFmtId="0" fontId="20" fillId="7" borderId="1" xfId="1" applyFont="1" applyFill="1" applyBorder="1" applyAlignment="1">
      <alignment horizontal="center"/>
    </xf>
    <xf numFmtId="0" fontId="12" fillId="7" borderId="1" xfId="1" applyFill="1" applyBorder="1" applyAlignment="1">
      <alignment horizontal="center"/>
    </xf>
    <xf numFmtId="167" fontId="12" fillId="0" borderId="1" xfId="1" applyNumberFormat="1" applyBorder="1"/>
    <xf numFmtId="2" fontId="2" fillId="5" borderId="1" xfId="0" applyNumberFormat="1" applyFont="1" applyFill="1" applyBorder="1"/>
    <xf numFmtId="0" fontId="2" fillId="4" borderId="16" xfId="0" applyFont="1" applyFill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2" fontId="0" fillId="0" borderId="22" xfId="0" applyNumberFormat="1" applyBorder="1"/>
    <xf numFmtId="0" fontId="3" fillId="0" borderId="1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3" fillId="0" borderId="11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2" fillId="4" borderId="9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0" fontId="18" fillId="4" borderId="9" xfId="0" applyFont="1" applyFill="1" applyBorder="1" applyAlignment="1">
      <alignment horizontal="center"/>
    </xf>
    <xf numFmtId="0" fontId="18" fillId="4" borderId="12" xfId="0" applyFont="1" applyFill="1" applyBorder="1" applyAlignment="1">
      <alignment horizontal="center"/>
    </xf>
    <xf numFmtId="0" fontId="18" fillId="4" borderId="10" xfId="0" applyFont="1" applyFill="1" applyBorder="1" applyAlignment="1">
      <alignment horizontal="center"/>
    </xf>
    <xf numFmtId="0" fontId="16" fillId="0" borderId="1" xfId="1" applyFont="1" applyBorder="1" applyAlignment="1">
      <alignment horizontal="center"/>
    </xf>
    <xf numFmtId="0" fontId="16" fillId="0" borderId="0" xfId="1" applyFont="1" applyAlignment="1">
      <alignment horizontal="center"/>
    </xf>
    <xf numFmtId="0" fontId="0" fillId="11" borderId="11" xfId="0" applyFill="1" applyBorder="1" applyAlignment="1">
      <alignment horizontal="center"/>
    </xf>
    <xf numFmtId="0" fontId="0" fillId="11" borderId="15" xfId="0" applyFill="1" applyBorder="1" applyAlignment="1">
      <alignment horizontal="center"/>
    </xf>
    <xf numFmtId="0" fontId="0" fillId="11" borderId="9" xfId="0" applyFill="1" applyBorder="1" applyAlignment="1">
      <alignment horizontal="center"/>
    </xf>
    <xf numFmtId="0" fontId="0" fillId="11" borderId="10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26" fillId="11" borderId="9" xfId="0" applyFont="1" applyFill="1" applyBorder="1" applyAlignment="1">
      <alignment horizontal="center"/>
    </xf>
    <xf numFmtId="0" fontId="26" fillId="11" borderId="12" xfId="0" applyFont="1" applyFill="1" applyBorder="1" applyAlignment="1">
      <alignment horizontal="center"/>
    </xf>
    <xf numFmtId="0" fontId="26" fillId="11" borderId="10" xfId="0" applyFont="1" applyFill="1" applyBorder="1" applyAlignment="1">
      <alignment horizontal="center"/>
    </xf>
    <xf numFmtId="0" fontId="0" fillId="11" borderId="12" xfId="0" applyFill="1" applyBorder="1" applyAlignment="1">
      <alignment horizontal="center"/>
    </xf>
    <xf numFmtId="0" fontId="2" fillId="6" borderId="8" xfId="0" applyFont="1" applyFill="1" applyBorder="1" applyAlignment="1">
      <alignment horizontal="center" vertical="center"/>
    </xf>
    <xf numFmtId="0" fontId="2" fillId="6" borderId="13" xfId="0" applyFont="1" applyFill="1" applyBorder="1" applyAlignment="1">
      <alignment horizontal="center" vertical="center"/>
    </xf>
    <xf numFmtId="0" fontId="2" fillId="6" borderId="15" xfId="0" applyFont="1" applyFill="1" applyBorder="1" applyAlignment="1">
      <alignment horizontal="center" vertical="center"/>
    </xf>
    <xf numFmtId="0" fontId="2" fillId="7" borderId="9" xfId="0" applyFont="1" applyFill="1" applyBorder="1" applyAlignment="1">
      <alignment horizontal="center"/>
    </xf>
    <xf numFmtId="0" fontId="2" fillId="7" borderId="10" xfId="0" applyFont="1" applyFill="1" applyBorder="1" applyAlignment="1">
      <alignment horizontal="center"/>
    </xf>
    <xf numFmtId="0" fontId="2" fillId="8" borderId="9" xfId="0" applyFont="1" applyFill="1" applyBorder="1" applyAlignment="1">
      <alignment horizontal="center"/>
    </xf>
    <xf numFmtId="0" fontId="2" fillId="8" borderId="10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</cellXfs>
  <cellStyles count="2">
    <cellStyle name="Normal" xfId="0" builtinId="0"/>
    <cellStyle name="Normal 2" xfId="1" xr:uid="{105371C8-51BB-4164-8B9E-D96784C2F75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7622462867853501E-2"/>
          <c:y val="4.3026587268873255E-2"/>
          <c:w val="0.89244858465191046"/>
          <c:h val="0.83650724996113301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'Trip Length Frequency'!$E$3</c:f>
              <c:strCache>
                <c:ptCount val="1"/>
                <c:pt idx="0">
                  <c:v>F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val>
            <c:numRef>
              <c:f>'Trip Length Frequency'!$E$4:$E$33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8.21917808219178E-3</c:v>
                </c:pt>
                <c:pt idx="3">
                  <c:v>1.3698630136986301E-2</c:v>
                </c:pt>
                <c:pt idx="4">
                  <c:v>3.287671232876712E-2</c:v>
                </c:pt>
                <c:pt idx="5">
                  <c:v>6.8493150684931503E-2</c:v>
                </c:pt>
                <c:pt idx="6">
                  <c:v>5.2054794520547946E-2</c:v>
                </c:pt>
                <c:pt idx="7">
                  <c:v>0.1095890410958904</c:v>
                </c:pt>
                <c:pt idx="8">
                  <c:v>0.12328767123287671</c:v>
                </c:pt>
                <c:pt idx="9">
                  <c:v>0.10410958904109589</c:v>
                </c:pt>
                <c:pt idx="10">
                  <c:v>8.2191780821917804E-2</c:v>
                </c:pt>
                <c:pt idx="11">
                  <c:v>5.7534246575342465E-2</c:v>
                </c:pt>
                <c:pt idx="12">
                  <c:v>4.6575342465753428E-2</c:v>
                </c:pt>
                <c:pt idx="13">
                  <c:v>5.2054794520547946E-2</c:v>
                </c:pt>
                <c:pt idx="14">
                  <c:v>4.1095890410958902E-2</c:v>
                </c:pt>
                <c:pt idx="15">
                  <c:v>3.287671232876712E-2</c:v>
                </c:pt>
                <c:pt idx="16">
                  <c:v>2.7397260273972601E-2</c:v>
                </c:pt>
                <c:pt idx="17">
                  <c:v>2.4657534246575342E-2</c:v>
                </c:pt>
                <c:pt idx="18">
                  <c:v>1.643835616438356E-2</c:v>
                </c:pt>
                <c:pt idx="19">
                  <c:v>8.21917808219178E-3</c:v>
                </c:pt>
                <c:pt idx="20">
                  <c:v>1.3698630136986301E-2</c:v>
                </c:pt>
                <c:pt idx="21">
                  <c:v>1.9178082191780823E-2</c:v>
                </c:pt>
                <c:pt idx="22">
                  <c:v>1.643835616438356E-2</c:v>
                </c:pt>
                <c:pt idx="23">
                  <c:v>1.643835616438356E-2</c:v>
                </c:pt>
                <c:pt idx="24">
                  <c:v>1.3698630136986301E-2</c:v>
                </c:pt>
                <c:pt idx="25">
                  <c:v>5.4794520547945206E-3</c:v>
                </c:pt>
                <c:pt idx="26">
                  <c:v>2.7397260273972603E-3</c:v>
                </c:pt>
                <c:pt idx="27">
                  <c:v>2.7397260273972603E-3</c:v>
                </c:pt>
                <c:pt idx="28">
                  <c:v>5.4794520547945206E-3</c:v>
                </c:pt>
                <c:pt idx="29">
                  <c:v>2.7397260273972603E-3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50-408B-9A5F-7E6F2738D7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2322528"/>
        <c:axId val="412313824"/>
      </c:barChart>
      <c:catAx>
        <c:axId val="412322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13824"/>
        <c:crosses val="autoZero"/>
        <c:auto val="1"/>
        <c:lblAlgn val="ctr"/>
        <c:lblOffset val="100"/>
        <c:noMultiLvlLbl val="0"/>
      </c:catAx>
      <c:valAx>
        <c:axId val="41231382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22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'Trip Length Frequency'!$R$123</c:f>
              <c:strCache>
                <c:ptCount val="1"/>
                <c:pt idx="0">
                  <c:v>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'Trip Length Frequency'!$Q$124:$Q$153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'Trip Length Frequency'!$R$124:$R$153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8.21917808219178E-3</c:v>
                </c:pt>
                <c:pt idx="3">
                  <c:v>1.3698630136986301E-2</c:v>
                </c:pt>
                <c:pt idx="4">
                  <c:v>3.287671232876712E-2</c:v>
                </c:pt>
                <c:pt idx="5">
                  <c:v>6.8493150684931503E-2</c:v>
                </c:pt>
                <c:pt idx="6">
                  <c:v>5.2054794520547946E-2</c:v>
                </c:pt>
                <c:pt idx="7">
                  <c:v>0.1095890410958904</c:v>
                </c:pt>
                <c:pt idx="8">
                  <c:v>0.12328767123287671</c:v>
                </c:pt>
                <c:pt idx="9">
                  <c:v>0.10410958904109589</c:v>
                </c:pt>
                <c:pt idx="10">
                  <c:v>8.2191780821917804E-2</c:v>
                </c:pt>
                <c:pt idx="11">
                  <c:v>5.7534246575342465E-2</c:v>
                </c:pt>
                <c:pt idx="12">
                  <c:v>4.6575342465753428E-2</c:v>
                </c:pt>
                <c:pt idx="13">
                  <c:v>5.2054794520547946E-2</c:v>
                </c:pt>
                <c:pt idx="14">
                  <c:v>4.1095890410958902E-2</c:v>
                </c:pt>
                <c:pt idx="15">
                  <c:v>3.287671232876712E-2</c:v>
                </c:pt>
                <c:pt idx="16">
                  <c:v>2.7397260273972601E-2</c:v>
                </c:pt>
                <c:pt idx="17">
                  <c:v>2.4657534246575342E-2</c:v>
                </c:pt>
                <c:pt idx="18">
                  <c:v>1.643835616438356E-2</c:v>
                </c:pt>
                <c:pt idx="19">
                  <c:v>8.21917808219178E-3</c:v>
                </c:pt>
                <c:pt idx="20">
                  <c:v>1.3698630136986301E-2</c:v>
                </c:pt>
                <c:pt idx="21">
                  <c:v>1.9178082191780823E-2</c:v>
                </c:pt>
                <c:pt idx="22">
                  <c:v>1.643835616438356E-2</c:v>
                </c:pt>
                <c:pt idx="23">
                  <c:v>1.643835616438356E-2</c:v>
                </c:pt>
                <c:pt idx="24">
                  <c:v>1.3698630136986301E-2</c:v>
                </c:pt>
                <c:pt idx="25">
                  <c:v>5.4794520547945206E-3</c:v>
                </c:pt>
                <c:pt idx="26">
                  <c:v>2.7397260273972603E-3</c:v>
                </c:pt>
                <c:pt idx="27">
                  <c:v>2.7397260273972603E-3</c:v>
                </c:pt>
                <c:pt idx="28">
                  <c:v>5.4794520547945206E-3</c:v>
                </c:pt>
                <c:pt idx="29">
                  <c:v>2.7397260273972603E-3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CE6-4306-A979-F168A5BDBC3A}"/>
            </c:ext>
          </c:extLst>
        </c:ser>
        <c:ser>
          <c:idx val="1"/>
          <c:order val="1"/>
          <c:tx>
            <c:strRef>
              <c:f>'Trip Length Frequency'!$S$123</c:f>
              <c:strCache>
                <c:ptCount val="1"/>
                <c:pt idx="0">
                  <c:v>Cal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'Trip Length Frequency'!$Q$124:$Q$153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'Trip Length Frequency'!$S$124:$S$153</c:f>
              <c:numCache>
                <c:formatCode>General</c:formatCode>
                <c:ptCount val="30"/>
                <c:pt idx="0">
                  <c:v>0.14227407158651359</c:v>
                </c:pt>
                <c:pt idx="1">
                  <c:v>4.8143650225211193E-2</c:v>
                </c:pt>
                <c:pt idx="2">
                  <c:v>1.1370481325651098E-2</c:v>
                </c:pt>
                <c:pt idx="3">
                  <c:v>2.3178110570074781E-3</c:v>
                </c:pt>
                <c:pt idx="4">
                  <c:v>4.3585427180827777E-4</c:v>
                </c:pt>
                <c:pt idx="5">
                  <c:v>7.7883170870506397E-5</c:v>
                </c:pt>
                <c:pt idx="6">
                  <c:v>1.3435470263001507E-5</c:v>
                </c:pt>
                <c:pt idx="7">
                  <c:v>2.2587520828841617E-6</c:v>
                </c:pt>
                <c:pt idx="8">
                  <c:v>3.7233595762818781E-7</c:v>
                </c:pt>
                <c:pt idx="9">
                  <c:v>6.0430696932059547E-8</c:v>
                </c:pt>
                <c:pt idx="10">
                  <c:v>9.6855484875928316E-9</c:v>
                </c:pt>
                <c:pt idx="11">
                  <c:v>1.5363341385429766E-9</c:v>
                </c:pt>
                <c:pt idx="12">
                  <c:v>2.4158172285283842E-10</c:v>
                </c:pt>
                <c:pt idx="13">
                  <c:v>3.7706887796835057E-11</c:v>
                </c:pt>
                <c:pt idx="14">
                  <c:v>5.8479072798695064E-12</c:v>
                </c:pt>
                <c:pt idx="15">
                  <c:v>9.0190780015082857E-13</c:v>
                </c:pt>
                <c:pt idx="16">
                  <c:v>1.3842007385639698E-13</c:v>
                </c:pt>
                <c:pt idx="17">
                  <c:v>2.1152140208857554E-14</c:v>
                </c:pt>
                <c:pt idx="18">
                  <c:v>3.2198189100783557E-15</c:v>
                </c:pt>
                <c:pt idx="19">
                  <c:v>4.8843041537266248E-16</c:v>
                </c:pt>
                <c:pt idx="20">
                  <c:v>7.3860983202995739E-17</c:v>
                </c:pt>
                <c:pt idx="21">
                  <c:v>1.1137688757652858E-17</c:v>
                </c:pt>
                <c:pt idx="22">
                  <c:v>1.6751445227676234E-18</c:v>
                </c:pt>
                <c:pt idx="23">
                  <c:v>2.5135197327397951E-19</c:v>
                </c:pt>
                <c:pt idx="24">
                  <c:v>3.7633015388432496E-20</c:v>
                </c:pt>
                <c:pt idx="25">
                  <c:v>5.6232378359536494E-21</c:v>
                </c:pt>
                <c:pt idx="26">
                  <c:v>8.3868762119147017E-22</c:v>
                </c:pt>
                <c:pt idx="27">
                  <c:v>1.2487308101159182E-22</c:v>
                </c:pt>
                <c:pt idx="28">
                  <c:v>1.8562845317265053E-23</c:v>
                </c:pt>
                <c:pt idx="29">
                  <c:v>2.7553347978302002E-24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CE6-4306-A979-F168A5BDBC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325248"/>
        <c:axId val="412314368"/>
      </c:scatterChart>
      <c:valAx>
        <c:axId val="412325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14368"/>
        <c:crosses val="autoZero"/>
        <c:crossBetween val="midCat"/>
      </c:valAx>
      <c:valAx>
        <c:axId val="412314368"/>
        <c:scaling>
          <c:orientation val="minMax"/>
          <c:max val="8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25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'Trip Length Frequency'!$R$123</c:f>
              <c:strCache>
                <c:ptCount val="1"/>
                <c:pt idx="0">
                  <c:v>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'Trip Length Frequency'!$Q$124:$Q$153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'Trip Length Frequency'!$R$124:$R$153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8.21917808219178E-3</c:v>
                </c:pt>
                <c:pt idx="3">
                  <c:v>1.3698630136986301E-2</c:v>
                </c:pt>
                <c:pt idx="4">
                  <c:v>3.287671232876712E-2</c:v>
                </c:pt>
                <c:pt idx="5">
                  <c:v>6.8493150684931503E-2</c:v>
                </c:pt>
                <c:pt idx="6">
                  <c:v>5.2054794520547946E-2</c:v>
                </c:pt>
                <c:pt idx="7">
                  <c:v>0.1095890410958904</c:v>
                </c:pt>
                <c:pt idx="8">
                  <c:v>0.12328767123287671</c:v>
                </c:pt>
                <c:pt idx="9">
                  <c:v>0.10410958904109589</c:v>
                </c:pt>
                <c:pt idx="10">
                  <c:v>8.2191780821917804E-2</c:v>
                </c:pt>
                <c:pt idx="11">
                  <c:v>5.7534246575342465E-2</c:v>
                </c:pt>
                <c:pt idx="12">
                  <c:v>4.6575342465753428E-2</c:v>
                </c:pt>
                <c:pt idx="13">
                  <c:v>5.2054794520547946E-2</c:v>
                </c:pt>
                <c:pt idx="14">
                  <c:v>4.1095890410958902E-2</c:v>
                </c:pt>
                <c:pt idx="15">
                  <c:v>3.287671232876712E-2</c:v>
                </c:pt>
                <c:pt idx="16">
                  <c:v>2.7397260273972601E-2</c:v>
                </c:pt>
                <c:pt idx="17">
                  <c:v>2.4657534246575342E-2</c:v>
                </c:pt>
                <c:pt idx="18">
                  <c:v>1.643835616438356E-2</c:v>
                </c:pt>
                <c:pt idx="19">
                  <c:v>8.21917808219178E-3</c:v>
                </c:pt>
                <c:pt idx="20">
                  <c:v>1.3698630136986301E-2</c:v>
                </c:pt>
                <c:pt idx="21">
                  <c:v>1.9178082191780823E-2</c:v>
                </c:pt>
                <c:pt idx="22">
                  <c:v>1.643835616438356E-2</c:v>
                </c:pt>
                <c:pt idx="23">
                  <c:v>1.643835616438356E-2</c:v>
                </c:pt>
                <c:pt idx="24">
                  <c:v>1.3698630136986301E-2</c:v>
                </c:pt>
                <c:pt idx="25">
                  <c:v>5.4794520547945206E-3</c:v>
                </c:pt>
                <c:pt idx="26">
                  <c:v>2.7397260273972603E-3</c:v>
                </c:pt>
                <c:pt idx="27">
                  <c:v>2.7397260273972603E-3</c:v>
                </c:pt>
                <c:pt idx="28">
                  <c:v>5.4794520547945206E-3</c:v>
                </c:pt>
                <c:pt idx="29">
                  <c:v>2.7397260273972603E-3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DD4-4391-8D8E-2C72A2FFCBD4}"/>
            </c:ext>
          </c:extLst>
        </c:ser>
        <c:ser>
          <c:idx val="1"/>
          <c:order val="1"/>
          <c:tx>
            <c:strRef>
              <c:f>'Trip Length Frequency'!$S$123</c:f>
              <c:strCache>
                <c:ptCount val="1"/>
                <c:pt idx="0">
                  <c:v>Cal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'Trip Length Frequency'!$Q$124:$Q$153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'Trip Length Frequency'!$S$124:$S$153</c:f>
              <c:numCache>
                <c:formatCode>General</c:formatCode>
                <c:ptCount val="30"/>
                <c:pt idx="0">
                  <c:v>0.14227407158651359</c:v>
                </c:pt>
                <c:pt idx="1">
                  <c:v>4.8143650225211193E-2</c:v>
                </c:pt>
                <c:pt idx="2">
                  <c:v>1.1370481325651098E-2</c:v>
                </c:pt>
                <c:pt idx="3">
                  <c:v>2.3178110570074781E-3</c:v>
                </c:pt>
                <c:pt idx="4">
                  <c:v>4.3585427180827777E-4</c:v>
                </c:pt>
                <c:pt idx="5">
                  <c:v>7.7883170870506397E-5</c:v>
                </c:pt>
                <c:pt idx="6">
                  <c:v>1.3435470263001507E-5</c:v>
                </c:pt>
                <c:pt idx="7">
                  <c:v>2.2587520828841617E-6</c:v>
                </c:pt>
                <c:pt idx="8">
                  <c:v>3.7233595762818781E-7</c:v>
                </c:pt>
                <c:pt idx="9">
                  <c:v>6.0430696932059547E-8</c:v>
                </c:pt>
                <c:pt idx="10">
                  <c:v>9.6855484875928316E-9</c:v>
                </c:pt>
                <c:pt idx="11">
                  <c:v>1.5363341385429766E-9</c:v>
                </c:pt>
                <c:pt idx="12">
                  <c:v>2.4158172285283842E-10</c:v>
                </c:pt>
                <c:pt idx="13">
                  <c:v>3.7706887796835057E-11</c:v>
                </c:pt>
                <c:pt idx="14">
                  <c:v>5.8479072798695064E-12</c:v>
                </c:pt>
                <c:pt idx="15">
                  <c:v>9.0190780015082857E-13</c:v>
                </c:pt>
                <c:pt idx="16">
                  <c:v>1.3842007385639698E-13</c:v>
                </c:pt>
                <c:pt idx="17">
                  <c:v>2.1152140208857554E-14</c:v>
                </c:pt>
                <c:pt idx="18">
                  <c:v>3.2198189100783557E-15</c:v>
                </c:pt>
                <c:pt idx="19">
                  <c:v>4.8843041537266248E-16</c:v>
                </c:pt>
                <c:pt idx="20">
                  <c:v>7.3860983202995739E-17</c:v>
                </c:pt>
                <c:pt idx="21">
                  <c:v>1.1137688757652858E-17</c:v>
                </c:pt>
                <c:pt idx="22">
                  <c:v>1.6751445227676234E-18</c:v>
                </c:pt>
                <c:pt idx="23">
                  <c:v>2.5135197327397951E-19</c:v>
                </c:pt>
                <c:pt idx="24">
                  <c:v>3.7633015388432496E-20</c:v>
                </c:pt>
                <c:pt idx="25">
                  <c:v>5.6232378359536494E-21</c:v>
                </c:pt>
                <c:pt idx="26">
                  <c:v>8.3868762119147017E-22</c:v>
                </c:pt>
                <c:pt idx="27">
                  <c:v>1.2487308101159182E-22</c:v>
                </c:pt>
                <c:pt idx="28">
                  <c:v>1.8562845317265053E-23</c:v>
                </c:pt>
                <c:pt idx="29">
                  <c:v>2.7553347978302002E-24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DD4-4391-8D8E-2C72A2FFCB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325248"/>
        <c:axId val="412314368"/>
      </c:scatterChart>
      <c:valAx>
        <c:axId val="412325248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14368"/>
        <c:crosses val="autoZero"/>
        <c:crossBetween val="midCat"/>
      </c:valAx>
      <c:valAx>
        <c:axId val="4123143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25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472440</xdr:colOff>
      <xdr:row>3</xdr:row>
      <xdr:rowOff>106680</xdr:rowOff>
    </xdr:from>
    <xdr:to>
      <xdr:col>14</xdr:col>
      <xdr:colOff>263361</xdr:colOff>
      <xdr:row>18</xdr:row>
      <xdr:rowOff>19977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6B362A-3DA0-4997-BC27-7147B3C976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0</xdr:colOff>
      <xdr:row>119</xdr:row>
      <xdr:rowOff>19051</xdr:rowOff>
    </xdr:from>
    <xdr:to>
      <xdr:col>25</xdr:col>
      <xdr:colOff>0</xdr:colOff>
      <xdr:row>134</xdr:row>
      <xdr:rowOff>57151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0B60052-A9AC-464E-850A-E79FE6B1E9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132791</xdr:colOff>
      <xdr:row>123</xdr:row>
      <xdr:rowOff>91415</xdr:rowOff>
    </xdr:from>
    <xdr:to>
      <xdr:col>24</xdr:col>
      <xdr:colOff>842293</xdr:colOff>
      <xdr:row>138</xdr:row>
      <xdr:rowOff>19006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40132D4-1ED6-46A1-AFB8-FF8E86E77E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59217</xdr:colOff>
      <xdr:row>2</xdr:row>
      <xdr:rowOff>172721</xdr:rowOff>
    </xdr:from>
    <xdr:to>
      <xdr:col>14</xdr:col>
      <xdr:colOff>402683</xdr:colOff>
      <xdr:row>21</xdr:row>
      <xdr:rowOff>25586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60464709-4663-41C6-8BC3-5CD735524F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98857" y="538481"/>
          <a:ext cx="7327797" cy="33275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812800</xdr:colOff>
      <xdr:row>3</xdr:row>
      <xdr:rowOff>176544</xdr:rowOff>
    </xdr:from>
    <xdr:to>
      <xdr:col>7</xdr:col>
      <xdr:colOff>816106</xdr:colOff>
      <xdr:row>14</xdr:row>
      <xdr:rowOff>139700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92B86CC3-9FDE-4B01-94E3-5C2030D55C5D}"/>
            </a:ext>
          </a:extLst>
        </xdr:cNvPr>
        <xdr:cNvCxnSpPr/>
      </xdr:nvCxnSpPr>
      <xdr:spPr>
        <a:xfrm flipH="1">
          <a:off x="6748780" y="725184"/>
          <a:ext cx="3306" cy="1974836"/>
        </a:xfrm>
        <a:prstGeom prst="line">
          <a:avLst/>
        </a:prstGeom>
        <a:ln w="34925">
          <a:solidFill>
            <a:schemeClr val="accent6">
              <a:lumMod val="7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206375</xdr:colOff>
      <xdr:row>9</xdr:row>
      <xdr:rowOff>150812</xdr:rowOff>
    </xdr:from>
    <xdr:to>
      <xdr:col>7</xdr:col>
      <xdr:colOff>787400</xdr:colOff>
      <xdr:row>14</xdr:row>
      <xdr:rowOff>165100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DC6483F1-3208-4F59-AB23-5D099509D260}"/>
            </a:ext>
          </a:extLst>
        </xdr:cNvPr>
        <xdr:cNvCxnSpPr/>
      </xdr:nvCxnSpPr>
      <xdr:spPr>
        <a:xfrm>
          <a:off x="4946015" y="1796732"/>
          <a:ext cx="1777365" cy="928688"/>
        </a:xfrm>
        <a:prstGeom prst="line">
          <a:avLst/>
        </a:prstGeom>
        <a:ln w="34925">
          <a:solidFill>
            <a:schemeClr val="accent6">
              <a:lumMod val="7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195666</xdr:colOff>
      <xdr:row>14</xdr:row>
      <xdr:rowOff>120225</xdr:rowOff>
    </xdr:from>
    <xdr:to>
      <xdr:col>15</xdr:col>
      <xdr:colOff>438242</xdr:colOff>
      <xdr:row>14</xdr:row>
      <xdr:rowOff>139390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B7D07F00-B957-4280-8C8C-71CD92619AED}"/>
            </a:ext>
          </a:extLst>
        </xdr:cNvPr>
        <xdr:cNvCxnSpPr/>
      </xdr:nvCxnSpPr>
      <xdr:spPr>
        <a:xfrm>
          <a:off x="7114626" y="2680545"/>
          <a:ext cx="5607056" cy="19165"/>
        </a:xfrm>
        <a:prstGeom prst="line">
          <a:avLst/>
        </a:prstGeom>
        <a:ln w="34925">
          <a:solidFill>
            <a:schemeClr val="accent6">
              <a:lumMod val="7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553968</xdr:colOff>
      <xdr:row>14</xdr:row>
      <xdr:rowOff>156084</xdr:rowOff>
    </xdr:from>
    <xdr:to>
      <xdr:col>12</xdr:col>
      <xdr:colOff>553968</xdr:colOff>
      <xdr:row>20</xdr:row>
      <xdr:rowOff>56692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74AAE61C-7062-41CB-8892-54A34FDC7548}"/>
            </a:ext>
          </a:extLst>
        </xdr:cNvPr>
        <xdr:cNvCxnSpPr/>
      </xdr:nvCxnSpPr>
      <xdr:spPr>
        <a:xfrm>
          <a:off x="10574268" y="2716404"/>
          <a:ext cx="0" cy="997888"/>
        </a:xfrm>
        <a:prstGeom prst="line">
          <a:avLst/>
        </a:prstGeom>
        <a:ln w="34925">
          <a:solidFill>
            <a:schemeClr val="accent6">
              <a:lumMod val="7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8</xdr:col>
      <xdr:colOff>852236</xdr:colOff>
      <xdr:row>73</xdr:row>
      <xdr:rowOff>0</xdr:rowOff>
    </xdr:from>
    <xdr:to>
      <xdr:col>18</xdr:col>
      <xdr:colOff>373544</xdr:colOff>
      <xdr:row>91</xdr:row>
      <xdr:rowOff>33339</xdr:rowOff>
    </xdr:to>
    <xdr:pic>
      <xdr:nvPicPr>
        <xdr:cNvPr id="7" name="รูปภาพ 2">
          <a:extLst>
            <a:ext uri="{FF2B5EF4-FFF2-40B4-BE49-F238E27FC236}">
              <a16:creationId xmlns:a16="http://schemas.microsoft.com/office/drawing/2014/main" id="{126A085F-24E4-439F-B5B5-CC79A81ECD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70394" y="13264816"/>
          <a:ext cx="7331808" cy="3281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min\Desktop\Transport%20Engineering\Transport%20Modeling\Term%20Project%201%20-%20Copy.xlsx" TargetMode="External"/><Relationship Id="rId1" Type="http://schemas.openxmlformats.org/officeDocument/2006/relationships/externalLinkPath" Target="/Users/Admin/Desktop/Transport%20Engineering/Transport%20Modeling/Term%20Project%201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min\Desktop\Transport%20Engineering\Transport%20Modeling\Term%20Project.xlsx" TargetMode="External"/><Relationship Id="rId1" Type="http://schemas.openxmlformats.org/officeDocument/2006/relationships/externalLinkPath" Target="/Users/Admin/Desktop/Transport%20Engineering/Transport%20Modeling/Term%20Project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min\Desktop\TermProject1\Year%205\Year%205.xlsx" TargetMode="External"/><Relationship Id="rId1" Type="http://schemas.openxmlformats.org/officeDocument/2006/relationships/externalLinkPath" Target="/Users/Admin/Desktop/TermProject1/Year%205/Year%20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rip Rate"/>
      <sheetName val="Gravity"/>
      <sheetName val="Mode Choice Q"/>
      <sheetName val="(Intrigrate UE)Network Auto"/>
      <sheetName val="(Normal UE)Network Transit"/>
      <sheetName val="(Intrigrate UE)Network Transit"/>
      <sheetName val="(Normal UE)Network Bicycle"/>
      <sheetName val="Sheet1"/>
    </sheetNames>
    <sheetDataSet>
      <sheetData sheetId="0">
        <row r="34">
          <cell r="C34">
            <v>2186.7465511512801</v>
          </cell>
          <cell r="D34">
            <v>1328.012404961956</v>
          </cell>
          <cell r="G34">
            <v>2333.9408020800124</v>
          </cell>
          <cell r="H34">
            <v>1412.3425541380027</v>
          </cell>
          <cell r="K34">
            <v>2492.3840399622668</v>
          </cell>
          <cell r="L34">
            <v>1503.1992104315086</v>
          </cell>
          <cell r="O34">
            <v>2662.939164795906</v>
          </cell>
          <cell r="P34">
            <v>1601.0889518076301</v>
          </cell>
          <cell r="S34">
            <v>2846.535435076155</v>
          </cell>
          <cell r="T34">
            <v>1706.558014485141</v>
          </cell>
        </row>
        <row r="35">
          <cell r="C35">
            <v>2186.7465511512801</v>
          </cell>
          <cell r="D35">
            <v>1658.4558060242425</v>
          </cell>
          <cell r="G35">
            <v>2333.9408020800124</v>
          </cell>
          <cell r="H35">
            <v>1765.9689627197642</v>
          </cell>
          <cell r="K35">
            <v>2492.3840399622668</v>
          </cell>
          <cell r="L35">
            <v>1881.7414801634088</v>
          </cell>
          <cell r="O35">
            <v>2662.939164795906</v>
          </cell>
          <cell r="P35">
            <v>2006.4115000433494</v>
          </cell>
          <cell r="S35">
            <v>2846.535435076155</v>
          </cell>
          <cell r="T35">
            <v>2140.666670392317</v>
          </cell>
        </row>
        <row r="36">
          <cell r="C36">
            <v>1112.9834646689119</v>
          </cell>
          <cell r="D36">
            <v>1917.811032253856</v>
          </cell>
          <cell r="G36">
            <v>1176.364579366546</v>
          </cell>
          <cell r="H36">
            <v>2040.3509536702165</v>
          </cell>
          <cell r="K36">
            <v>1244.4750082359867</v>
          </cell>
          <cell r="L36">
            <v>2172.0689016417573</v>
          </cell>
          <cell r="O36">
            <v>1317.6716292739918</v>
          </cell>
          <cell r="P36">
            <v>2313.6568174166791</v>
          </cell>
          <cell r="S36">
            <v>1396.3384616119097</v>
          </cell>
          <cell r="T36">
            <v>2465.8588575838148</v>
          </cell>
        </row>
        <row r="37">
          <cell r="C37">
            <v>1172.7332381057306</v>
          </cell>
          <cell r="D37">
            <v>1754.9305618371486</v>
          </cell>
          <cell r="G37">
            <v>1242.3889058947407</v>
          </cell>
          <cell r="H37">
            <v>1867.9726188933282</v>
          </cell>
          <cell r="K37">
            <v>1317.3433265123847</v>
          </cell>
          <cell r="L37">
            <v>1989.5768224362307</v>
          </cell>
          <cell r="O37">
            <v>1398.0016976238194</v>
          </cell>
          <cell r="P37">
            <v>2120.3943872219643</v>
          </cell>
          <cell r="S37">
            <v>1484.8003122791824</v>
          </cell>
          <cell r="T37">
            <v>2261.126101582131</v>
          </cell>
        </row>
        <row r="46">
          <cell r="C46">
            <v>2050</v>
          </cell>
          <cell r="D46">
            <v>1249.7389588708452</v>
          </cell>
        </row>
        <row r="47">
          <cell r="C47">
            <v>2050</v>
          </cell>
          <cell r="D47">
            <v>1558.6098042191531</v>
          </cell>
        </row>
        <row r="48">
          <cell r="C48">
            <v>1054</v>
          </cell>
          <cell r="D48">
            <v>1803.8057368341174</v>
          </cell>
        </row>
        <row r="49">
          <cell r="C49">
            <v>1108</v>
          </cell>
          <cell r="D49">
            <v>1649.845500075884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rip Rate"/>
      <sheetName val="Trip Length Frequency"/>
      <sheetName val="Gravity (2)"/>
      <sheetName val="Mode Choice Q"/>
      <sheetName val="(Normal UE)Network Auto "/>
      <sheetName val="(Intrigrate UE)Network Auto"/>
      <sheetName val="(Normal UE)Network Transit"/>
      <sheetName val="(Normal UE)Network Bicycle"/>
      <sheetName val="(Intrigrate UE)Network Bicycle"/>
      <sheetName val="(SO)Network Auto  (2)"/>
      <sheetName val="(SO)Network Auto "/>
      <sheetName val="(SO)Network Transit "/>
      <sheetName val="(Normal UE)Network Bike"/>
      <sheetName val="(Intrigrate UE)Network Bike"/>
      <sheetName val="(SO)Network Bike"/>
      <sheetName val="Sheet1"/>
    </sheetNames>
    <sheetDataSet>
      <sheetData sheetId="0"/>
      <sheetData sheetId="1">
        <row r="39">
          <cell r="S39">
            <v>0.61499999999999999</v>
          </cell>
        </row>
        <row r="40">
          <cell r="S40">
            <v>2.25</v>
          </cell>
        </row>
        <row r="106">
          <cell r="S106">
            <v>11.865155208352226</v>
          </cell>
          <cell r="BT106" t="str">
            <v>mean</v>
          </cell>
        </row>
      </sheetData>
      <sheetData sheetId="2"/>
      <sheetData sheetId="3"/>
      <sheetData sheetId="4"/>
      <sheetData sheetId="5"/>
      <sheetData sheetId="6">
        <row r="5">
          <cell r="AF5" t="str">
            <v>Dij</v>
          </cell>
          <cell r="AG5" t="str">
            <v>A</v>
          </cell>
          <cell r="AH5" t="str">
            <v>B</v>
          </cell>
          <cell r="AI5" t="str">
            <v>C</v>
          </cell>
          <cell r="AJ5" t="str">
            <v>D</v>
          </cell>
        </row>
        <row r="6">
          <cell r="AF6" t="str">
            <v>A</v>
          </cell>
          <cell r="AG6">
            <v>0</v>
          </cell>
          <cell r="AH6">
            <v>10</v>
          </cell>
          <cell r="AI6">
            <v>10.833333333333332</v>
          </cell>
          <cell r="AJ6">
            <v>10.833333333333332</v>
          </cell>
        </row>
        <row r="7">
          <cell r="AF7" t="str">
            <v>B</v>
          </cell>
          <cell r="AG7">
            <v>10</v>
          </cell>
          <cell r="AH7">
            <v>0</v>
          </cell>
          <cell r="AI7">
            <v>9.5833333333333321</v>
          </cell>
          <cell r="AJ7">
            <v>9.5833333333333321</v>
          </cell>
        </row>
        <row r="8">
          <cell r="AF8" t="str">
            <v>C</v>
          </cell>
          <cell r="AG8">
            <v>10.833333333333332</v>
          </cell>
          <cell r="AH8">
            <v>9.5833333333333321</v>
          </cell>
          <cell r="AI8">
            <v>0</v>
          </cell>
          <cell r="AJ8">
            <v>5</v>
          </cell>
        </row>
        <row r="9">
          <cell r="AF9" t="str">
            <v>D</v>
          </cell>
          <cell r="AG9">
            <v>10.833333333333332</v>
          </cell>
          <cell r="AH9">
            <v>9.5833333333333321</v>
          </cell>
          <cell r="AI9">
            <v>5</v>
          </cell>
          <cell r="AJ9">
            <v>0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rip Rate"/>
      <sheetName val="Trip Length Frequency"/>
      <sheetName val="Gravity"/>
      <sheetName val="Mode Choice Q"/>
      <sheetName val="(Intrigrate UE)Network Auto"/>
      <sheetName val="(Intrigrate UE)Network Transit"/>
      <sheetName val="(Intrigrate UE)Network Bicycle"/>
      <sheetName val="Sheet1"/>
    </sheetNames>
    <sheetDataSet>
      <sheetData sheetId="0"/>
      <sheetData sheetId="1"/>
      <sheetData sheetId="2">
        <row r="133">
          <cell r="D133" t="str">
            <v>O/D</v>
          </cell>
          <cell r="E133" t="str">
            <v>A</v>
          </cell>
          <cell r="F133" t="str">
            <v>B</v>
          </cell>
          <cell r="G133" t="str">
            <v>C</v>
          </cell>
          <cell r="H133" t="str">
            <v>D</v>
          </cell>
        </row>
        <row r="134">
          <cell r="D134" t="str">
            <v>A</v>
          </cell>
        </row>
        <row r="135">
          <cell r="D135" t="str">
            <v>B</v>
          </cell>
        </row>
        <row r="136">
          <cell r="D136" t="str">
            <v>C</v>
          </cell>
        </row>
        <row r="137">
          <cell r="D137" t="str">
            <v>D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816B3-A00F-45B4-9369-2596534DFB9A}">
  <dimension ref="A2:X50"/>
  <sheetViews>
    <sheetView topLeftCell="A34" zoomScaleNormal="100" workbookViewId="0">
      <selection activeCell="H10" sqref="H10"/>
    </sheetView>
  </sheetViews>
  <sheetFormatPr defaultRowHeight="14.4" x14ac:dyDescent="0.3"/>
  <cols>
    <col min="2" max="2" width="11.77734375" customWidth="1"/>
    <col min="3" max="3" width="10.77734375" bestFit="1" customWidth="1"/>
    <col min="4" max="4" width="10.6640625" customWidth="1"/>
    <col min="6" max="6" width="10.33203125" customWidth="1"/>
    <col min="7" max="7" width="10.88671875" customWidth="1"/>
    <col min="8" max="8" width="10.21875" customWidth="1"/>
    <col min="9" max="9" width="10.6640625" customWidth="1"/>
    <col min="10" max="10" width="11.109375" customWidth="1"/>
    <col min="11" max="11" width="10.44140625" customWidth="1"/>
    <col min="14" max="14" width="11" customWidth="1"/>
    <col min="18" max="18" width="10.88671875" customWidth="1"/>
    <col min="22" max="22" width="10.77734375" customWidth="1"/>
  </cols>
  <sheetData>
    <row r="2" spans="1:16" x14ac:dyDescent="0.3">
      <c r="B2" s="83" t="s">
        <v>163</v>
      </c>
    </row>
    <row r="3" spans="1:16" x14ac:dyDescent="0.3">
      <c r="B3" s="83" t="s">
        <v>164</v>
      </c>
    </row>
    <row r="5" spans="1:16" x14ac:dyDescent="0.3">
      <c r="B5" t="s">
        <v>165</v>
      </c>
      <c r="D5" t="s">
        <v>166</v>
      </c>
      <c r="E5" t="s">
        <v>167</v>
      </c>
      <c r="F5" t="s">
        <v>168</v>
      </c>
    </row>
    <row r="6" spans="1:16" x14ac:dyDescent="0.3">
      <c r="C6" t="s">
        <v>169</v>
      </c>
      <c r="D6" s="84">
        <v>1.4999999999999999E-2</v>
      </c>
      <c r="E6" s="85">
        <v>0.01</v>
      </c>
      <c r="F6" s="84">
        <v>1.4E-2</v>
      </c>
    </row>
    <row r="8" spans="1:16" x14ac:dyDescent="0.3">
      <c r="A8" s="229" t="s">
        <v>170</v>
      </c>
      <c r="B8" s="81" t="s">
        <v>171</v>
      </c>
      <c r="C8" s="81" t="s">
        <v>166</v>
      </c>
      <c r="D8" s="81" t="s">
        <v>167</v>
      </c>
      <c r="E8" s="81" t="s">
        <v>168</v>
      </c>
      <c r="F8" s="86" t="s">
        <v>171</v>
      </c>
      <c r="G8" s="86" t="s">
        <v>172</v>
      </c>
      <c r="H8" s="86" t="s">
        <v>173</v>
      </c>
      <c r="I8" s="229" t="s">
        <v>174</v>
      </c>
      <c r="J8" s="81" t="s">
        <v>171</v>
      </c>
      <c r="K8" s="81" t="s">
        <v>166</v>
      </c>
      <c r="L8" s="81" t="s">
        <v>167</v>
      </c>
      <c r="M8" s="81" t="s">
        <v>168</v>
      </c>
      <c r="N8" s="86" t="s">
        <v>171</v>
      </c>
      <c r="O8" s="86" t="s">
        <v>172</v>
      </c>
      <c r="P8" s="86" t="s">
        <v>173</v>
      </c>
    </row>
    <row r="9" spans="1:16" x14ac:dyDescent="0.3">
      <c r="A9" s="230"/>
      <c r="B9" s="81" t="s">
        <v>11</v>
      </c>
      <c r="C9" s="87">
        <v>1500</v>
      </c>
      <c r="D9" s="87">
        <v>600</v>
      </c>
      <c r="E9" s="87">
        <v>500</v>
      </c>
      <c r="F9" s="86" t="s">
        <v>11</v>
      </c>
      <c r="G9" s="86">
        <f>250+1.14*C9+0.15*D9</f>
        <v>2050</v>
      </c>
      <c r="H9" s="88">
        <f>150+0.48*C9+0.2*D9+0.65*E9</f>
        <v>1315</v>
      </c>
      <c r="I9" s="231"/>
      <c r="J9" s="66" t="s">
        <v>11</v>
      </c>
      <c r="K9" s="66">
        <f>C9*1.015^20</f>
        <v>2020.2825098250783</v>
      </c>
      <c r="L9" s="87">
        <f>D9*1.01^20</f>
        <v>732.1140239687802</v>
      </c>
      <c r="M9" s="89">
        <f>E9*1.014^20</f>
        <v>660.28146207459883</v>
      </c>
      <c r="N9" s="88" t="s">
        <v>11</v>
      </c>
      <c r="O9" s="86">
        <f t="shared" ref="O9:O20" si="0">250+1.14*K9+0.15*L9</f>
        <v>2662.939164795906</v>
      </c>
      <c r="P9" s="88">
        <f t="shared" ref="P9:P20" si="1">150+0.48*K9+0.2*L9+0.65*M9</f>
        <v>1695.3413598582829</v>
      </c>
    </row>
    <row r="10" spans="1:16" x14ac:dyDescent="0.3">
      <c r="A10" s="230"/>
      <c r="B10" s="67" t="s">
        <v>12</v>
      </c>
      <c r="C10">
        <v>1500</v>
      </c>
      <c r="D10">
        <v>600</v>
      </c>
      <c r="E10">
        <v>1000</v>
      </c>
      <c r="F10" s="90" t="s">
        <v>12</v>
      </c>
      <c r="G10" s="90">
        <f>250+1.14*C10+0.15*D10</f>
        <v>2050</v>
      </c>
      <c r="H10" s="91">
        <f t="shared" ref="H10:H24" si="2">150+0.48*C10+0.2*D10+0.65*E10</f>
        <v>1640</v>
      </c>
      <c r="I10" s="231"/>
      <c r="J10" s="70" t="s">
        <v>12</v>
      </c>
      <c r="K10" s="70">
        <f t="shared" ref="K10:K12" si="3">C10*1.015^20</f>
        <v>2020.2825098250783</v>
      </c>
      <c r="L10">
        <f t="shared" ref="L10:L12" si="4">D10*1.01^20</f>
        <v>732.1140239687802</v>
      </c>
      <c r="M10" s="69">
        <f t="shared" ref="M10:M12" si="5">E10*1.014^20</f>
        <v>1320.5629241491977</v>
      </c>
      <c r="N10" s="91" t="s">
        <v>12</v>
      </c>
      <c r="O10" s="90">
        <f t="shared" si="0"/>
        <v>2662.939164795906</v>
      </c>
      <c r="P10" s="91">
        <f t="shared" si="1"/>
        <v>2124.524310206772</v>
      </c>
    </row>
    <row r="11" spans="1:16" x14ac:dyDescent="0.3">
      <c r="A11" s="230"/>
      <c r="B11" s="67" t="s">
        <v>13</v>
      </c>
      <c r="C11">
        <v>600</v>
      </c>
      <c r="D11">
        <v>800</v>
      </c>
      <c r="E11">
        <v>2000</v>
      </c>
      <c r="F11" s="90" t="s">
        <v>13</v>
      </c>
      <c r="G11" s="90">
        <f t="shared" ref="G11:G24" si="6">250+1.14*C11+0.15*D11</f>
        <v>1054</v>
      </c>
      <c r="H11" s="91">
        <f t="shared" si="2"/>
        <v>1898</v>
      </c>
      <c r="I11" s="231"/>
      <c r="J11" s="70" t="s">
        <v>13</v>
      </c>
      <c r="K11" s="70">
        <f t="shared" si="3"/>
        <v>808.11300393003137</v>
      </c>
      <c r="L11">
        <f t="shared" si="4"/>
        <v>976.15203195837364</v>
      </c>
      <c r="M11" s="69">
        <f t="shared" si="5"/>
        <v>2641.1258482983953</v>
      </c>
      <c r="N11" s="91" t="s">
        <v>13</v>
      </c>
      <c r="O11" s="90">
        <f t="shared" si="0"/>
        <v>1317.6716292739918</v>
      </c>
      <c r="P11" s="91">
        <f t="shared" si="1"/>
        <v>2449.8564496720469</v>
      </c>
    </row>
    <row r="12" spans="1:16" x14ac:dyDescent="0.3">
      <c r="A12" s="230"/>
      <c r="B12" s="67" t="s">
        <v>14</v>
      </c>
      <c r="C12">
        <v>700</v>
      </c>
      <c r="D12">
        <v>400</v>
      </c>
      <c r="E12">
        <v>1800</v>
      </c>
      <c r="F12" s="90" t="s">
        <v>14</v>
      </c>
      <c r="G12" s="92">
        <f t="shared" si="6"/>
        <v>1108</v>
      </c>
      <c r="H12" s="91">
        <f t="shared" si="2"/>
        <v>1736</v>
      </c>
      <c r="I12" s="231"/>
      <c r="J12" s="70" t="s">
        <v>14</v>
      </c>
      <c r="K12" s="72">
        <f t="shared" si="3"/>
        <v>942.79850458503654</v>
      </c>
      <c r="L12" s="93">
        <f t="shared" si="4"/>
        <v>488.07601597918682</v>
      </c>
      <c r="M12" s="94">
        <f t="shared" si="5"/>
        <v>2377.0132634685556</v>
      </c>
      <c r="N12" s="91" t="s">
        <v>14</v>
      </c>
      <c r="O12" s="90">
        <f t="shared" si="0"/>
        <v>1398.0016976238194</v>
      </c>
      <c r="P12" s="91">
        <f t="shared" si="1"/>
        <v>2245.217106651216</v>
      </c>
    </row>
    <row r="13" spans="1:16" x14ac:dyDescent="0.3">
      <c r="A13" s="230" t="s">
        <v>175</v>
      </c>
      <c r="B13" s="66" t="s">
        <v>11</v>
      </c>
      <c r="C13" s="66">
        <f>C9*1.015^5</f>
        <v>1615.9260058265613</v>
      </c>
      <c r="D13" s="87">
        <f>D9*1.01^5</f>
        <v>630.60603005999997</v>
      </c>
      <c r="E13" s="89">
        <f>E9*1.014^5</f>
        <v>535.99381630891219</v>
      </c>
      <c r="F13" s="88" t="s">
        <v>11</v>
      </c>
      <c r="G13" s="86">
        <f t="shared" si="6"/>
        <v>2186.7465511512801</v>
      </c>
      <c r="H13" s="88">
        <f t="shared" si="2"/>
        <v>1400.1616694095424</v>
      </c>
      <c r="I13" s="232" t="s">
        <v>176</v>
      </c>
      <c r="J13" s="66" t="s">
        <v>11</v>
      </c>
      <c r="K13" s="66">
        <f>C9*1.015^25</f>
        <v>2176.4180311619334</v>
      </c>
      <c r="L13" s="87">
        <f>D9*1.01^25</f>
        <v>769.45919701034052</v>
      </c>
      <c r="M13" s="89">
        <f>E9*1.014^25</f>
        <v>707.81356139078503</v>
      </c>
      <c r="N13" s="88" t="s">
        <v>11</v>
      </c>
      <c r="O13" s="86">
        <f t="shared" si="0"/>
        <v>2846.535435076155</v>
      </c>
      <c r="P13" s="88">
        <f t="shared" si="1"/>
        <v>1808.6513092638065</v>
      </c>
    </row>
    <row r="14" spans="1:16" x14ac:dyDescent="0.3">
      <c r="A14" s="230"/>
      <c r="B14" s="70" t="s">
        <v>12</v>
      </c>
      <c r="C14" s="70">
        <f t="shared" ref="C14:C16" si="7">C10*1.015^5</f>
        <v>1615.9260058265613</v>
      </c>
      <c r="D14">
        <f t="shared" ref="D14:D16" si="8">D10*1.01^5</f>
        <v>630.60603005999997</v>
      </c>
      <c r="E14" s="69">
        <f t="shared" ref="E14:E16" si="9">E10*1.014^5</f>
        <v>1071.9876326178244</v>
      </c>
      <c r="F14" s="91" t="s">
        <v>12</v>
      </c>
      <c r="G14" s="90">
        <f t="shared" si="6"/>
        <v>2186.7465511512801</v>
      </c>
      <c r="H14" s="91">
        <f t="shared" si="2"/>
        <v>1748.5576500103352</v>
      </c>
      <c r="I14" s="233"/>
      <c r="J14" s="70" t="s">
        <v>12</v>
      </c>
      <c r="K14" s="70">
        <f t="shared" ref="K14:K16" si="10">C10*1.015^25</f>
        <v>2176.4180311619334</v>
      </c>
      <c r="L14">
        <f t="shared" ref="L14:L16" si="11">D10*1.01^25</f>
        <v>769.45919701034052</v>
      </c>
      <c r="M14" s="69">
        <f t="shared" ref="M14:M16" si="12">E10*1.014^25</f>
        <v>1415.6271227815701</v>
      </c>
      <c r="N14" s="91" t="s">
        <v>12</v>
      </c>
      <c r="O14" s="90">
        <f t="shared" si="0"/>
        <v>2846.535435076155</v>
      </c>
      <c r="P14" s="91">
        <f t="shared" si="1"/>
        <v>2268.7301241678169</v>
      </c>
    </row>
    <row r="15" spans="1:16" x14ac:dyDescent="0.3">
      <c r="A15" s="230"/>
      <c r="B15" s="70" t="s">
        <v>13</v>
      </c>
      <c r="C15" s="70">
        <f t="shared" si="7"/>
        <v>646.37040233062453</v>
      </c>
      <c r="D15">
        <f t="shared" si="8"/>
        <v>840.80804007999996</v>
      </c>
      <c r="E15" s="69">
        <f t="shared" si="9"/>
        <v>2143.9752652356487</v>
      </c>
      <c r="F15" s="91" t="s">
        <v>13</v>
      </c>
      <c r="G15" s="90">
        <f t="shared" si="6"/>
        <v>1112.9834646689119</v>
      </c>
      <c r="H15" s="91">
        <f t="shared" si="2"/>
        <v>2022.0033235378714</v>
      </c>
      <c r="I15" s="233"/>
      <c r="J15" s="70" t="s">
        <v>13</v>
      </c>
      <c r="K15" s="70">
        <f t="shared" si="10"/>
        <v>870.56721246477332</v>
      </c>
      <c r="L15">
        <f t="shared" si="11"/>
        <v>1025.9455960137875</v>
      </c>
      <c r="M15" s="69">
        <f t="shared" si="12"/>
        <v>2831.2542455631401</v>
      </c>
      <c r="N15" s="91" t="s">
        <v>13</v>
      </c>
      <c r="O15" s="90">
        <f t="shared" si="0"/>
        <v>1396.3384616119097</v>
      </c>
      <c r="P15" s="91">
        <f t="shared" si="1"/>
        <v>2613.3766408018901</v>
      </c>
    </row>
    <row r="16" spans="1:16" x14ac:dyDescent="0.3">
      <c r="A16" s="230"/>
      <c r="B16" s="70" t="s">
        <v>14</v>
      </c>
      <c r="C16" s="72">
        <f t="shared" si="7"/>
        <v>754.09880271906195</v>
      </c>
      <c r="D16" s="93">
        <f t="shared" si="8"/>
        <v>420.40402003999998</v>
      </c>
      <c r="E16" s="94">
        <f t="shared" si="9"/>
        <v>1929.5777387120838</v>
      </c>
      <c r="F16" s="91" t="s">
        <v>14</v>
      </c>
      <c r="G16" s="92">
        <f t="shared" si="6"/>
        <v>1172.7332381057306</v>
      </c>
      <c r="H16" s="91">
        <f t="shared" si="2"/>
        <v>1850.2737594760042</v>
      </c>
      <c r="I16" s="234"/>
      <c r="J16" s="70" t="s">
        <v>14</v>
      </c>
      <c r="K16" s="72">
        <f t="shared" si="10"/>
        <v>1015.6617478755688</v>
      </c>
      <c r="L16" s="93">
        <f t="shared" si="11"/>
        <v>512.97279800689375</v>
      </c>
      <c r="M16" s="94">
        <f t="shared" si="12"/>
        <v>2548.128821006826</v>
      </c>
      <c r="N16" s="91" t="s">
        <v>14</v>
      </c>
      <c r="O16" s="90">
        <f t="shared" si="0"/>
        <v>1484.8003122791824</v>
      </c>
      <c r="P16" s="91">
        <f t="shared" si="1"/>
        <v>2396.3959322360888</v>
      </c>
    </row>
    <row r="17" spans="1:24" x14ac:dyDescent="0.3">
      <c r="A17" s="230" t="s">
        <v>177</v>
      </c>
      <c r="B17" s="66" t="s">
        <v>11</v>
      </c>
      <c r="C17" s="66">
        <f>C9*1.015^10</f>
        <v>1740.8112375377227</v>
      </c>
      <c r="D17" s="87">
        <f>D9*1.01^10</f>
        <v>662.77327524672285</v>
      </c>
      <c r="E17" s="89">
        <f>E9*1.014^10</f>
        <v>574.57874224278385</v>
      </c>
      <c r="F17" s="88" t="s">
        <v>11</v>
      </c>
      <c r="G17" s="86">
        <f t="shared" si="6"/>
        <v>2333.9408020800124</v>
      </c>
      <c r="H17" s="88">
        <f t="shared" si="2"/>
        <v>1491.620231525261</v>
      </c>
      <c r="I17" s="232" t="s">
        <v>178</v>
      </c>
      <c r="J17" s="66" t="s">
        <v>11</v>
      </c>
      <c r="K17" s="70">
        <f>C9*1.015^30</f>
        <v>2344.6203307362739</v>
      </c>
      <c r="L17">
        <f>D9*1.01^30</f>
        <v>808.70934919974377</v>
      </c>
      <c r="M17" s="69">
        <f>E9*1.014^30</f>
        <v>758.76738401009868</v>
      </c>
      <c r="N17" s="88" t="s">
        <v>11</v>
      </c>
      <c r="O17" s="86">
        <f t="shared" si="0"/>
        <v>3044.1735794193137</v>
      </c>
      <c r="P17" s="88">
        <f t="shared" si="1"/>
        <v>1930.3584281999242</v>
      </c>
    </row>
    <row r="18" spans="1:24" x14ac:dyDescent="0.3">
      <c r="A18" s="230"/>
      <c r="B18" s="70" t="s">
        <v>12</v>
      </c>
      <c r="C18" s="70">
        <f t="shared" ref="C18:C20" si="13">C10*1.015^10</f>
        <v>1740.8112375377227</v>
      </c>
      <c r="D18">
        <f t="shared" ref="D18:D20" si="14">D10*1.01^10</f>
        <v>662.77327524672285</v>
      </c>
      <c r="E18" s="69">
        <f t="shared" ref="E18:E20" si="15">E10*1.014^10</f>
        <v>1149.1574844855677</v>
      </c>
      <c r="F18" s="91" t="s">
        <v>12</v>
      </c>
      <c r="G18" s="90">
        <f t="shared" si="6"/>
        <v>2333.9408020800124</v>
      </c>
      <c r="H18" s="91">
        <f t="shared" si="2"/>
        <v>1865.0964139830705</v>
      </c>
      <c r="I18" s="233"/>
      <c r="J18" s="70" t="s">
        <v>12</v>
      </c>
      <c r="K18" s="70">
        <f t="shared" ref="K18:K20" si="16">C10*1.015^30</f>
        <v>2344.6203307362739</v>
      </c>
      <c r="L18">
        <f t="shared" ref="L18:L20" si="17">D10*1.01^30</f>
        <v>808.70934919974377</v>
      </c>
      <c r="M18" s="69">
        <f t="shared" ref="M18:M20" si="18">E10*1.014^30</f>
        <v>1517.5347680201974</v>
      </c>
      <c r="N18" s="91" t="s">
        <v>12</v>
      </c>
      <c r="O18" s="90">
        <f t="shared" si="0"/>
        <v>3044.1735794193137</v>
      </c>
      <c r="P18" s="91">
        <f t="shared" si="1"/>
        <v>2423.5572278064883</v>
      </c>
    </row>
    <row r="19" spans="1:24" x14ac:dyDescent="0.3">
      <c r="A19" s="230"/>
      <c r="B19" s="70" t="s">
        <v>13</v>
      </c>
      <c r="C19" s="70">
        <f t="shared" si="13"/>
        <v>696.32449501508916</v>
      </c>
      <c r="D19">
        <f t="shared" si="14"/>
        <v>883.69770032896383</v>
      </c>
      <c r="E19" s="69">
        <f t="shared" si="15"/>
        <v>2298.3149689711354</v>
      </c>
      <c r="F19" s="91" t="s">
        <v>13</v>
      </c>
      <c r="G19" s="90">
        <f t="shared" si="6"/>
        <v>1176.364579366546</v>
      </c>
      <c r="H19" s="91">
        <f t="shared" si="2"/>
        <v>2154.8800275042736</v>
      </c>
      <c r="I19" s="233"/>
      <c r="J19" s="70" t="s">
        <v>13</v>
      </c>
      <c r="K19" s="70">
        <f t="shared" si="16"/>
        <v>937.84813229450958</v>
      </c>
      <c r="L19">
        <f t="shared" si="17"/>
        <v>1078.279132266325</v>
      </c>
      <c r="M19" s="69">
        <f t="shared" si="18"/>
        <v>3035.0695360403947</v>
      </c>
      <c r="N19" s="91" t="s">
        <v>13</v>
      </c>
      <c r="O19" s="90">
        <f t="shared" si="0"/>
        <v>1480.8887406556896</v>
      </c>
      <c r="P19" s="91">
        <f t="shared" si="1"/>
        <v>2788.6181283808864</v>
      </c>
    </row>
    <row r="20" spans="1:24" x14ac:dyDescent="0.3">
      <c r="A20" s="230"/>
      <c r="B20" s="70" t="s">
        <v>14</v>
      </c>
      <c r="C20" s="72">
        <f t="shared" si="13"/>
        <v>812.37857751760396</v>
      </c>
      <c r="D20" s="93">
        <f t="shared" si="14"/>
        <v>441.84885016448192</v>
      </c>
      <c r="E20" s="94">
        <f t="shared" si="15"/>
        <v>2068.4834720740218</v>
      </c>
      <c r="F20" s="91" t="s">
        <v>14</v>
      </c>
      <c r="G20" s="90">
        <f t="shared" si="6"/>
        <v>1242.3889058947407</v>
      </c>
      <c r="H20" s="91">
        <f t="shared" si="2"/>
        <v>1972.8257440894604</v>
      </c>
      <c r="I20" s="234"/>
      <c r="J20" s="72" t="s">
        <v>14</v>
      </c>
      <c r="K20" s="72">
        <f t="shared" si="16"/>
        <v>1094.1561543435946</v>
      </c>
      <c r="L20" s="93">
        <f t="shared" si="17"/>
        <v>539.13956613316248</v>
      </c>
      <c r="M20" s="94">
        <f t="shared" si="18"/>
        <v>2731.5625824363551</v>
      </c>
      <c r="N20" s="95" t="s">
        <v>14</v>
      </c>
      <c r="O20" s="92">
        <f t="shared" si="0"/>
        <v>1578.2089508716722</v>
      </c>
      <c r="P20" s="95">
        <f t="shared" si="1"/>
        <v>2558.5385458951887</v>
      </c>
    </row>
    <row r="21" spans="1:24" x14ac:dyDescent="0.3">
      <c r="A21" s="230" t="s">
        <v>179</v>
      </c>
      <c r="B21" s="66" t="s">
        <v>11</v>
      </c>
      <c r="C21" s="70">
        <f>C9*1.015^15</f>
        <v>1875.3480999815504</v>
      </c>
      <c r="D21">
        <f>D9*1.01^15</f>
        <v>696.58137322199912</v>
      </c>
      <c r="E21" s="69">
        <f>E9*1.014^15</f>
        <v>615.94130564936893</v>
      </c>
      <c r="F21" s="88" t="s">
        <v>11</v>
      </c>
      <c r="G21" s="86">
        <f t="shared" si="6"/>
        <v>2492.3840399622668</v>
      </c>
      <c r="H21" s="88">
        <f t="shared" si="2"/>
        <v>1589.8452113076337</v>
      </c>
      <c r="I21" s="96"/>
    </row>
    <row r="22" spans="1:24" x14ac:dyDescent="0.3">
      <c r="A22" s="230"/>
      <c r="B22" s="70" t="s">
        <v>12</v>
      </c>
      <c r="C22" s="70">
        <f t="shared" ref="C22:C24" si="19">C10*1.015^15</f>
        <v>1875.3480999815504</v>
      </c>
      <c r="D22">
        <f t="shared" ref="D22:D24" si="20">D10*1.01^15</f>
        <v>696.58137322199912</v>
      </c>
      <c r="E22" s="69">
        <f t="shared" ref="E22:E24" si="21">E10*1.014^15</f>
        <v>1231.8826112987379</v>
      </c>
      <c r="F22" s="91" t="s">
        <v>12</v>
      </c>
      <c r="G22" s="90">
        <f t="shared" si="6"/>
        <v>2492.3840399622668</v>
      </c>
      <c r="H22" s="91">
        <f t="shared" si="2"/>
        <v>1990.2070599797235</v>
      </c>
      <c r="I22" s="96"/>
    </row>
    <row r="23" spans="1:24" x14ac:dyDescent="0.3">
      <c r="A23" s="230"/>
      <c r="B23" s="70" t="s">
        <v>13</v>
      </c>
      <c r="C23" s="70">
        <f t="shared" si="19"/>
        <v>750.13923999262011</v>
      </c>
      <c r="D23">
        <f t="shared" si="20"/>
        <v>928.77516429599871</v>
      </c>
      <c r="E23" s="69">
        <f t="shared" si="21"/>
        <v>2463.7652225974757</v>
      </c>
      <c r="F23" s="91" t="s">
        <v>13</v>
      </c>
      <c r="G23" s="90">
        <f t="shared" si="6"/>
        <v>1244.4750082359867</v>
      </c>
      <c r="H23" s="91">
        <f t="shared" si="2"/>
        <v>2297.2692627440165</v>
      </c>
    </row>
    <row r="24" spans="1:24" x14ac:dyDescent="0.3">
      <c r="A24" s="230"/>
      <c r="B24" s="72" t="s">
        <v>14</v>
      </c>
      <c r="C24" s="72">
        <f t="shared" si="19"/>
        <v>875.16244665805687</v>
      </c>
      <c r="D24" s="93">
        <f t="shared" si="20"/>
        <v>464.38758214799935</v>
      </c>
      <c r="E24" s="94">
        <f t="shared" si="21"/>
        <v>2217.3887003377281</v>
      </c>
      <c r="F24" s="95" t="s">
        <v>14</v>
      </c>
      <c r="G24" s="92">
        <f t="shared" si="6"/>
        <v>1317.3433265123847</v>
      </c>
      <c r="H24" s="95">
        <f t="shared" si="2"/>
        <v>2104.2581460449906</v>
      </c>
    </row>
    <row r="25" spans="1:24" x14ac:dyDescent="0.3">
      <c r="A25" s="97"/>
    </row>
    <row r="26" spans="1:24" x14ac:dyDescent="0.3">
      <c r="A26" s="96"/>
    </row>
    <row r="27" spans="1:24" x14ac:dyDescent="0.3">
      <c r="A27" s="98" t="s">
        <v>180</v>
      </c>
      <c r="B27" s="86" t="s">
        <v>171</v>
      </c>
      <c r="C27" s="86" t="s">
        <v>172</v>
      </c>
      <c r="D27" s="86" t="s">
        <v>173</v>
      </c>
      <c r="E27" s="98" t="s">
        <v>180</v>
      </c>
      <c r="F27" s="86" t="s">
        <v>171</v>
      </c>
      <c r="G27" s="86" t="s">
        <v>172</v>
      </c>
      <c r="H27" s="86" t="s">
        <v>173</v>
      </c>
      <c r="I27" s="98" t="s">
        <v>180</v>
      </c>
      <c r="J27" s="86" t="s">
        <v>171</v>
      </c>
      <c r="K27" s="86" t="s">
        <v>172</v>
      </c>
      <c r="L27" s="86" t="s">
        <v>173</v>
      </c>
      <c r="M27" s="98" t="s">
        <v>180</v>
      </c>
      <c r="N27" s="86" t="s">
        <v>171</v>
      </c>
      <c r="O27" s="86" t="s">
        <v>172</v>
      </c>
      <c r="P27" s="86" t="s">
        <v>173</v>
      </c>
      <c r="Q27" s="98" t="s">
        <v>180</v>
      </c>
      <c r="R27" s="86" t="s">
        <v>171</v>
      </c>
      <c r="S27" s="86" t="s">
        <v>172</v>
      </c>
      <c r="T27" s="86" t="s">
        <v>173</v>
      </c>
      <c r="U27" s="98" t="s">
        <v>180</v>
      </c>
      <c r="V27" s="86" t="s">
        <v>171</v>
      </c>
      <c r="W27" s="86" t="s">
        <v>172</v>
      </c>
      <c r="X27" s="86" t="s">
        <v>173</v>
      </c>
    </row>
    <row r="28" spans="1:24" x14ac:dyDescent="0.3">
      <c r="A28" s="229" t="s">
        <v>175</v>
      </c>
      <c r="B28" s="4" t="s">
        <v>11</v>
      </c>
      <c r="C28" s="81">
        <f t="shared" ref="C28:D31" si="22">G13</f>
        <v>2186.7465511512801</v>
      </c>
      <c r="D28" s="81">
        <f t="shared" si="22"/>
        <v>1400.1616694095424</v>
      </c>
      <c r="E28" s="229" t="s">
        <v>177</v>
      </c>
      <c r="F28" s="4" t="s">
        <v>11</v>
      </c>
      <c r="G28" s="81">
        <f t="shared" ref="G28:H31" si="23">G17</f>
        <v>2333.9408020800124</v>
      </c>
      <c r="H28" s="81">
        <f t="shared" si="23"/>
        <v>1491.620231525261</v>
      </c>
      <c r="I28" s="229" t="s">
        <v>179</v>
      </c>
      <c r="J28" s="4" t="s">
        <v>11</v>
      </c>
      <c r="K28" s="81">
        <f t="shared" ref="K28:L31" si="24">G21</f>
        <v>2492.3840399622668</v>
      </c>
      <c r="L28" s="81">
        <f t="shared" si="24"/>
        <v>1589.8452113076337</v>
      </c>
      <c r="M28" s="229" t="s">
        <v>174</v>
      </c>
      <c r="N28" s="4" t="s">
        <v>11</v>
      </c>
      <c r="O28" s="81">
        <f t="shared" ref="O28:P31" si="25">O9</f>
        <v>2662.939164795906</v>
      </c>
      <c r="P28" s="89">
        <f t="shared" si="25"/>
        <v>1695.3413598582829</v>
      </c>
      <c r="Q28" s="229" t="s">
        <v>176</v>
      </c>
      <c r="R28" s="4" t="s">
        <v>11</v>
      </c>
      <c r="S28" s="81">
        <f t="shared" ref="S28:T31" si="26">O13</f>
        <v>2846.535435076155</v>
      </c>
      <c r="T28" s="81">
        <f t="shared" si="26"/>
        <v>1808.6513092638065</v>
      </c>
      <c r="U28" s="229" t="s">
        <v>178</v>
      </c>
      <c r="V28" s="4" t="s">
        <v>11</v>
      </c>
      <c r="W28" s="81">
        <f t="shared" ref="W28:X31" si="27">O17</f>
        <v>3044.1735794193137</v>
      </c>
      <c r="X28" s="81">
        <f t="shared" si="27"/>
        <v>1930.3584281999242</v>
      </c>
    </row>
    <row r="29" spans="1:24" x14ac:dyDescent="0.3">
      <c r="A29" s="229"/>
      <c r="B29" s="99" t="s">
        <v>12</v>
      </c>
      <c r="C29" s="67">
        <f t="shared" si="22"/>
        <v>2186.7465511512801</v>
      </c>
      <c r="D29" s="67">
        <f t="shared" si="22"/>
        <v>1748.5576500103352</v>
      </c>
      <c r="E29" s="229"/>
      <c r="F29" s="99" t="s">
        <v>12</v>
      </c>
      <c r="G29" s="67">
        <f t="shared" si="23"/>
        <v>2333.9408020800124</v>
      </c>
      <c r="H29" s="67">
        <f t="shared" si="23"/>
        <v>1865.0964139830705</v>
      </c>
      <c r="I29" s="229"/>
      <c r="J29" s="99" t="s">
        <v>12</v>
      </c>
      <c r="K29" s="67">
        <f t="shared" si="24"/>
        <v>2492.3840399622668</v>
      </c>
      <c r="L29" s="67">
        <f t="shared" si="24"/>
        <v>1990.2070599797235</v>
      </c>
      <c r="M29" s="229"/>
      <c r="N29" s="99" t="s">
        <v>12</v>
      </c>
      <c r="O29" s="67">
        <f t="shared" si="25"/>
        <v>2662.939164795906</v>
      </c>
      <c r="P29" s="69">
        <f t="shared" si="25"/>
        <v>2124.524310206772</v>
      </c>
      <c r="Q29" s="229"/>
      <c r="R29" s="99" t="s">
        <v>12</v>
      </c>
      <c r="S29" s="67">
        <f t="shared" si="26"/>
        <v>2846.535435076155</v>
      </c>
      <c r="T29" s="67">
        <f t="shared" si="26"/>
        <v>2268.7301241678169</v>
      </c>
      <c r="U29" s="229"/>
      <c r="V29" s="99" t="s">
        <v>12</v>
      </c>
      <c r="W29" s="67">
        <f t="shared" si="27"/>
        <v>3044.1735794193137</v>
      </c>
      <c r="X29" s="67">
        <f t="shared" si="27"/>
        <v>2423.5572278064883</v>
      </c>
    </row>
    <row r="30" spans="1:24" x14ac:dyDescent="0.3">
      <c r="A30" s="229"/>
      <c r="B30" s="99" t="s">
        <v>13</v>
      </c>
      <c r="C30" s="67">
        <f t="shared" si="22"/>
        <v>1112.9834646689119</v>
      </c>
      <c r="D30" s="67">
        <f t="shared" si="22"/>
        <v>2022.0033235378714</v>
      </c>
      <c r="E30" s="229"/>
      <c r="F30" s="99" t="s">
        <v>13</v>
      </c>
      <c r="G30" s="67">
        <f t="shared" si="23"/>
        <v>1176.364579366546</v>
      </c>
      <c r="H30" s="67">
        <f t="shared" si="23"/>
        <v>2154.8800275042736</v>
      </c>
      <c r="I30" s="229"/>
      <c r="J30" s="99" t="s">
        <v>13</v>
      </c>
      <c r="K30" s="67">
        <f t="shared" si="24"/>
        <v>1244.4750082359867</v>
      </c>
      <c r="L30" s="67">
        <f t="shared" si="24"/>
        <v>2297.2692627440165</v>
      </c>
      <c r="M30" s="229"/>
      <c r="N30" s="99" t="s">
        <v>13</v>
      </c>
      <c r="O30" s="67">
        <f t="shared" si="25"/>
        <v>1317.6716292739918</v>
      </c>
      <c r="P30" s="69">
        <f t="shared" si="25"/>
        <v>2449.8564496720469</v>
      </c>
      <c r="Q30" s="229"/>
      <c r="R30" s="99" t="s">
        <v>13</v>
      </c>
      <c r="S30" s="67">
        <f t="shared" si="26"/>
        <v>1396.3384616119097</v>
      </c>
      <c r="T30" s="67">
        <f t="shared" si="26"/>
        <v>2613.3766408018901</v>
      </c>
      <c r="U30" s="229"/>
      <c r="V30" s="99" t="s">
        <v>13</v>
      </c>
      <c r="W30" s="67">
        <f t="shared" si="27"/>
        <v>1480.8887406556896</v>
      </c>
      <c r="X30" s="67">
        <f t="shared" si="27"/>
        <v>2788.6181283808864</v>
      </c>
    </row>
    <row r="31" spans="1:24" x14ac:dyDescent="0.3">
      <c r="A31" s="229"/>
      <c r="B31" s="99" t="s">
        <v>14</v>
      </c>
      <c r="C31" s="73">
        <f t="shared" si="22"/>
        <v>1172.7332381057306</v>
      </c>
      <c r="D31" s="73">
        <f t="shared" si="22"/>
        <v>1850.2737594760042</v>
      </c>
      <c r="E31" s="229"/>
      <c r="F31" s="99" t="s">
        <v>14</v>
      </c>
      <c r="G31" s="73">
        <f t="shared" si="23"/>
        <v>1242.3889058947407</v>
      </c>
      <c r="H31" s="73">
        <f t="shared" si="23"/>
        <v>1972.8257440894604</v>
      </c>
      <c r="I31" s="229"/>
      <c r="J31" s="99" t="s">
        <v>14</v>
      </c>
      <c r="K31" s="73">
        <f t="shared" si="24"/>
        <v>1317.3433265123847</v>
      </c>
      <c r="L31" s="73">
        <f t="shared" si="24"/>
        <v>2104.2581460449906</v>
      </c>
      <c r="M31" s="229"/>
      <c r="N31" s="99" t="s">
        <v>14</v>
      </c>
      <c r="O31" s="67">
        <f t="shared" si="25"/>
        <v>1398.0016976238194</v>
      </c>
      <c r="P31" s="69">
        <f t="shared" si="25"/>
        <v>2245.217106651216</v>
      </c>
      <c r="Q31" s="229"/>
      <c r="R31" s="99" t="s">
        <v>14</v>
      </c>
      <c r="S31" s="73">
        <f t="shared" si="26"/>
        <v>1484.8003122791824</v>
      </c>
      <c r="T31" s="73">
        <f t="shared" si="26"/>
        <v>2396.3959322360888</v>
      </c>
      <c r="U31" s="229"/>
      <c r="V31" s="99" t="s">
        <v>14</v>
      </c>
      <c r="W31" s="73">
        <f t="shared" si="27"/>
        <v>1578.2089508716722</v>
      </c>
      <c r="X31" s="73">
        <f t="shared" si="27"/>
        <v>2558.5385458951887</v>
      </c>
    </row>
    <row r="32" spans="1:24" x14ac:dyDescent="0.3">
      <c r="A32" s="229"/>
      <c r="B32" s="2" t="s">
        <v>181</v>
      </c>
      <c r="C32" s="100">
        <f>SUM(C28:C31)</f>
        <v>6659.2098050772029</v>
      </c>
      <c r="D32" s="100">
        <f>SUM(D28:D31)</f>
        <v>7020.9964024337532</v>
      </c>
      <c r="E32" s="229"/>
      <c r="F32" s="2" t="s">
        <v>181</v>
      </c>
      <c r="G32" s="100">
        <f>SUM(G28:G31)</f>
        <v>7086.6350894213119</v>
      </c>
      <c r="H32" s="100">
        <f>SUM(H28:H31)</f>
        <v>7484.422417102066</v>
      </c>
      <c r="I32" s="229"/>
      <c r="J32" s="2" t="s">
        <v>181</v>
      </c>
      <c r="K32" s="100">
        <f>SUM(K28:K31)</f>
        <v>7546.5864146729054</v>
      </c>
      <c r="L32" s="100">
        <f>SUM(L28:L31)</f>
        <v>7981.5796800763637</v>
      </c>
      <c r="M32" s="229"/>
      <c r="N32" s="2" t="s">
        <v>181</v>
      </c>
      <c r="O32" s="100">
        <f>SUM(O28:O31)</f>
        <v>8041.5516564896234</v>
      </c>
      <c r="P32" s="100">
        <f>SUM(P28:P31)</f>
        <v>8514.9392263883183</v>
      </c>
      <c r="Q32" s="229"/>
      <c r="R32" s="2" t="s">
        <v>181</v>
      </c>
      <c r="S32" s="100">
        <f>SUM(S28:S31)</f>
        <v>8574.2096440434034</v>
      </c>
      <c r="T32" s="100">
        <f>SUM(T28:T31)</f>
        <v>9087.1540064696019</v>
      </c>
      <c r="U32" s="229"/>
      <c r="V32" s="2" t="s">
        <v>181</v>
      </c>
      <c r="W32" s="100">
        <f>SUM(W28:W31)</f>
        <v>9147.4448503659896</v>
      </c>
      <c r="X32" s="100">
        <f>SUM(X28:X31)</f>
        <v>9701.0723302824881</v>
      </c>
    </row>
    <row r="33" spans="1:24" x14ac:dyDescent="0.3">
      <c r="A33" s="229"/>
      <c r="B33" s="99" t="s">
        <v>182</v>
      </c>
      <c r="C33" s="236">
        <f>C32/D32</f>
        <v>0.94847076160997024</v>
      </c>
      <c r="D33" s="236"/>
      <c r="E33" s="229"/>
      <c r="F33" s="99" t="s">
        <v>182</v>
      </c>
      <c r="G33" s="236">
        <f>G32/H32</f>
        <v>0.94685129920355626</v>
      </c>
      <c r="H33" s="236"/>
      <c r="I33" s="229"/>
      <c r="J33" s="99" t="s">
        <v>182</v>
      </c>
      <c r="K33" s="236">
        <f>K32/L32</f>
        <v>0.94550035421067213</v>
      </c>
      <c r="L33" s="236"/>
      <c r="M33" s="229"/>
      <c r="N33" s="99" t="s">
        <v>182</v>
      </c>
      <c r="O33" s="236">
        <f>O32/P32</f>
        <v>0.94440505594782898</v>
      </c>
      <c r="P33" s="236"/>
      <c r="Q33" s="229"/>
      <c r="R33" s="99" t="s">
        <v>182</v>
      </c>
      <c r="S33" s="236">
        <f>S32/T32</f>
        <v>0.94355280409454845</v>
      </c>
      <c r="T33" s="236"/>
      <c r="U33" s="229"/>
      <c r="V33" s="99" t="s">
        <v>182</v>
      </c>
      <c r="W33" s="236">
        <f>W32/X32</f>
        <v>0.94293131098627969</v>
      </c>
      <c r="X33" s="236"/>
    </row>
    <row r="34" spans="1:24" x14ac:dyDescent="0.3">
      <c r="A34" s="229"/>
      <c r="B34" s="101" t="s">
        <v>11</v>
      </c>
      <c r="C34" s="102">
        <f t="shared" ref="C34:C37" si="28">C28</f>
        <v>2186.7465511512801</v>
      </c>
      <c r="D34" s="102">
        <f>D28*$C$33</f>
        <v>1328.012404961956</v>
      </c>
      <c r="E34" s="229"/>
      <c r="F34" s="101" t="s">
        <v>11</v>
      </c>
      <c r="G34" s="103">
        <f t="shared" ref="G34:G37" si="29">G28</f>
        <v>2333.9408020800124</v>
      </c>
      <c r="H34" s="102">
        <f>H28*$G$33</f>
        <v>1412.3425541380027</v>
      </c>
      <c r="I34" s="235"/>
      <c r="J34" s="101" t="s">
        <v>11</v>
      </c>
      <c r="K34" s="103">
        <f t="shared" ref="K34:K37" si="30">K28</f>
        <v>2492.3840399622668</v>
      </c>
      <c r="L34" s="102">
        <f>L28*$K$33</f>
        <v>1503.1992104315086</v>
      </c>
      <c r="M34" s="235"/>
      <c r="N34" s="101" t="s">
        <v>11</v>
      </c>
      <c r="O34" s="103">
        <f t="shared" ref="O34:O37" si="31">O28</f>
        <v>2662.939164795906</v>
      </c>
      <c r="P34" s="102">
        <f>P28*$O$33</f>
        <v>1601.0889518076301</v>
      </c>
      <c r="Q34" s="235"/>
      <c r="R34" s="101" t="s">
        <v>11</v>
      </c>
      <c r="S34" s="103">
        <f t="shared" ref="S34:S37" si="32">S28</f>
        <v>2846.535435076155</v>
      </c>
      <c r="T34" s="102">
        <f>T28*$S$33</f>
        <v>1706.558014485141</v>
      </c>
      <c r="U34" s="235"/>
      <c r="V34" s="101" t="s">
        <v>11</v>
      </c>
      <c r="W34" s="103">
        <f t="shared" ref="W34:W37" si="33">W28</f>
        <v>3044.1735794193137</v>
      </c>
      <c r="X34" s="102">
        <f>X28*$W$33</f>
        <v>1820.1954033759689</v>
      </c>
    </row>
    <row r="35" spans="1:24" x14ac:dyDescent="0.3">
      <c r="A35" s="229"/>
      <c r="B35" s="101" t="s">
        <v>12</v>
      </c>
      <c r="C35" s="104">
        <f t="shared" si="28"/>
        <v>2186.7465511512801</v>
      </c>
      <c r="D35" s="104">
        <f t="shared" ref="D35:D37" si="34">D29*$C$33</f>
        <v>1658.4558060242425</v>
      </c>
      <c r="E35" s="229"/>
      <c r="F35" s="101" t="s">
        <v>12</v>
      </c>
      <c r="G35" s="105">
        <f t="shared" si="29"/>
        <v>2333.9408020800124</v>
      </c>
      <c r="H35" s="104">
        <f t="shared" ref="H35:H37" si="35">H29*$G$33</f>
        <v>1765.9689627197642</v>
      </c>
      <c r="I35" s="235"/>
      <c r="J35" s="101" t="s">
        <v>12</v>
      </c>
      <c r="K35" s="105">
        <f t="shared" si="30"/>
        <v>2492.3840399622668</v>
      </c>
      <c r="L35" s="104">
        <f t="shared" ref="L35:L37" si="36">L29*$K$33</f>
        <v>1881.7414801634088</v>
      </c>
      <c r="M35" s="235"/>
      <c r="N35" s="101" t="s">
        <v>12</v>
      </c>
      <c r="O35" s="105">
        <f t="shared" si="31"/>
        <v>2662.939164795906</v>
      </c>
      <c r="P35" s="104">
        <f t="shared" ref="P35:P37" si="37">P29*$O$33</f>
        <v>2006.4115000433494</v>
      </c>
      <c r="Q35" s="235"/>
      <c r="R35" s="101" t="s">
        <v>12</v>
      </c>
      <c r="S35" s="105">
        <f t="shared" si="32"/>
        <v>2846.535435076155</v>
      </c>
      <c r="T35" s="104">
        <f t="shared" ref="T35:T37" si="38">T29*$S$33</f>
        <v>2140.666670392317</v>
      </c>
      <c r="U35" s="235"/>
      <c r="V35" s="101" t="s">
        <v>12</v>
      </c>
      <c r="W35" s="105">
        <f t="shared" si="33"/>
        <v>3044.1735794193137</v>
      </c>
      <c r="X35" s="104">
        <f t="shared" ref="X35:X37" si="39">X29*$W$33</f>
        <v>2285.2479940658459</v>
      </c>
    </row>
    <row r="36" spans="1:24" x14ac:dyDescent="0.3">
      <c r="A36" s="229"/>
      <c r="B36" s="101" t="s">
        <v>13</v>
      </c>
      <c r="C36" s="104">
        <f t="shared" si="28"/>
        <v>1112.9834646689119</v>
      </c>
      <c r="D36" s="104">
        <f t="shared" si="34"/>
        <v>1917.811032253856</v>
      </c>
      <c r="E36" s="229"/>
      <c r="F36" s="101" t="s">
        <v>13</v>
      </c>
      <c r="G36" s="105">
        <f t="shared" si="29"/>
        <v>1176.364579366546</v>
      </c>
      <c r="H36" s="104">
        <f t="shared" si="35"/>
        <v>2040.3509536702165</v>
      </c>
      <c r="I36" s="235"/>
      <c r="J36" s="101" t="s">
        <v>13</v>
      </c>
      <c r="K36" s="105">
        <f t="shared" si="30"/>
        <v>1244.4750082359867</v>
      </c>
      <c r="L36" s="104">
        <f t="shared" si="36"/>
        <v>2172.0689016417573</v>
      </c>
      <c r="M36" s="235"/>
      <c r="N36" s="101" t="s">
        <v>13</v>
      </c>
      <c r="O36" s="105">
        <f t="shared" si="31"/>
        <v>1317.6716292739918</v>
      </c>
      <c r="P36" s="104">
        <f t="shared" si="37"/>
        <v>2313.6568174166791</v>
      </c>
      <c r="Q36" s="235"/>
      <c r="R36" s="101" t="s">
        <v>13</v>
      </c>
      <c r="S36" s="105">
        <f t="shared" si="32"/>
        <v>1396.3384616119097</v>
      </c>
      <c r="T36" s="104">
        <f t="shared" si="38"/>
        <v>2465.8588575838148</v>
      </c>
      <c r="U36" s="235"/>
      <c r="V36" s="101" t="s">
        <v>13</v>
      </c>
      <c r="W36" s="105">
        <f t="shared" si="33"/>
        <v>1480.8887406556896</v>
      </c>
      <c r="X36" s="104">
        <f t="shared" si="39"/>
        <v>2629.4753476342948</v>
      </c>
    </row>
    <row r="37" spans="1:24" x14ac:dyDescent="0.3">
      <c r="A37" s="229"/>
      <c r="B37" s="101" t="s">
        <v>14</v>
      </c>
      <c r="C37" s="106">
        <f t="shared" si="28"/>
        <v>1172.7332381057306</v>
      </c>
      <c r="D37" s="106">
        <f t="shared" si="34"/>
        <v>1754.9305618371486</v>
      </c>
      <c r="E37" s="229"/>
      <c r="F37" s="101" t="s">
        <v>14</v>
      </c>
      <c r="G37" s="107">
        <f t="shared" si="29"/>
        <v>1242.3889058947407</v>
      </c>
      <c r="H37" s="106">
        <f t="shared" si="35"/>
        <v>1867.9726188933282</v>
      </c>
      <c r="I37" s="235"/>
      <c r="J37" s="101" t="s">
        <v>14</v>
      </c>
      <c r="K37" s="107">
        <f t="shared" si="30"/>
        <v>1317.3433265123847</v>
      </c>
      <c r="L37" s="106">
        <f t="shared" si="36"/>
        <v>1989.5768224362307</v>
      </c>
      <c r="M37" s="235"/>
      <c r="N37" s="101" t="s">
        <v>14</v>
      </c>
      <c r="O37" s="105">
        <f t="shared" si="31"/>
        <v>1398.0016976238194</v>
      </c>
      <c r="P37" s="106">
        <f t="shared" si="37"/>
        <v>2120.3943872219643</v>
      </c>
      <c r="Q37" s="235"/>
      <c r="R37" s="101" t="s">
        <v>14</v>
      </c>
      <c r="S37" s="107">
        <f t="shared" si="32"/>
        <v>1484.8003122791824</v>
      </c>
      <c r="T37" s="106">
        <f t="shared" si="38"/>
        <v>2261.126101582131</v>
      </c>
      <c r="U37" s="235"/>
      <c r="V37" s="101" t="s">
        <v>14</v>
      </c>
      <c r="W37" s="107">
        <f t="shared" si="33"/>
        <v>1578.2089508716722</v>
      </c>
      <c r="X37" s="106">
        <f t="shared" si="39"/>
        <v>2412.52610528988</v>
      </c>
    </row>
    <row r="38" spans="1:24" x14ac:dyDescent="0.3">
      <c r="A38" s="229"/>
      <c r="B38" s="2" t="s">
        <v>181</v>
      </c>
      <c r="C38" s="108">
        <f>SUM(C34:C37)</f>
        <v>6659.2098050772029</v>
      </c>
      <c r="D38" s="109">
        <f>SUM(D34:D37)</f>
        <v>6659.2098050772038</v>
      </c>
      <c r="E38" s="229"/>
      <c r="F38" s="2" t="s">
        <v>181</v>
      </c>
      <c r="G38" s="109">
        <f>SUM(G34:G37)</f>
        <v>7086.6350894213119</v>
      </c>
      <c r="H38" s="109">
        <f>SUM(H34:H37)</f>
        <v>7086.6350894213119</v>
      </c>
      <c r="I38" s="229"/>
      <c r="J38" s="2" t="s">
        <v>181</v>
      </c>
      <c r="K38" s="109">
        <f>SUM(K34:K37)</f>
        <v>7546.5864146729054</v>
      </c>
      <c r="L38" s="109">
        <f>SUM(L34:L37)</f>
        <v>7546.5864146729054</v>
      </c>
      <c r="M38" s="229"/>
      <c r="N38" s="2" t="s">
        <v>181</v>
      </c>
      <c r="O38" s="109">
        <f>SUM(O34:O37)</f>
        <v>8041.5516564896234</v>
      </c>
      <c r="P38" s="109">
        <f>SUM(P34:P37)</f>
        <v>8041.5516564896225</v>
      </c>
      <c r="Q38" s="229"/>
      <c r="R38" s="2" t="s">
        <v>181</v>
      </c>
      <c r="S38" s="109">
        <f>SUM(S34:S37)</f>
        <v>8574.2096440434034</v>
      </c>
      <c r="T38" s="109">
        <f>SUM(T34:T37)</f>
        <v>8574.2096440434034</v>
      </c>
      <c r="U38" s="229"/>
      <c r="V38" s="2" t="s">
        <v>181</v>
      </c>
      <c r="W38" s="109">
        <f>SUM(W34:W37)</f>
        <v>9147.4448503659896</v>
      </c>
      <c r="X38" s="109">
        <f>SUM(X34:X37)</f>
        <v>9147.4448503659896</v>
      </c>
    </row>
    <row r="39" spans="1:24" x14ac:dyDescent="0.3">
      <c r="A39" s="237" t="s">
        <v>170</v>
      </c>
      <c r="B39" s="2" t="str">
        <f t="shared" ref="B39:D43" si="40">F8</f>
        <v>Zone</v>
      </c>
      <c r="C39" s="2" t="str">
        <f t="shared" si="40"/>
        <v>Production</v>
      </c>
      <c r="D39" s="2" t="str">
        <f t="shared" si="40"/>
        <v>Attraction</v>
      </c>
    </row>
    <row r="40" spans="1:24" x14ac:dyDescent="0.3">
      <c r="A40" s="238"/>
      <c r="B40" t="str">
        <f t="shared" si="40"/>
        <v>A</v>
      </c>
      <c r="C40" s="90">
        <f t="shared" si="40"/>
        <v>2050</v>
      </c>
      <c r="D40" s="91">
        <f t="shared" si="40"/>
        <v>1315</v>
      </c>
    </row>
    <row r="41" spans="1:24" x14ac:dyDescent="0.3">
      <c r="A41" s="238"/>
      <c r="B41" t="str">
        <f t="shared" si="40"/>
        <v>B</v>
      </c>
      <c r="C41" s="90">
        <f t="shared" si="40"/>
        <v>2050</v>
      </c>
      <c r="D41" s="91">
        <f t="shared" si="40"/>
        <v>1640</v>
      </c>
    </row>
    <row r="42" spans="1:24" x14ac:dyDescent="0.3">
      <c r="A42" s="238"/>
      <c r="B42" t="str">
        <f t="shared" si="40"/>
        <v>C</v>
      </c>
      <c r="C42" s="90">
        <f t="shared" si="40"/>
        <v>1054</v>
      </c>
      <c r="D42" s="91">
        <f t="shared" si="40"/>
        <v>1898</v>
      </c>
      <c r="F42" s="110"/>
      <c r="G42" s="110"/>
      <c r="H42" s="110"/>
      <c r="I42" s="110"/>
      <c r="J42" s="110"/>
    </row>
    <row r="43" spans="1:24" x14ac:dyDescent="0.3">
      <c r="A43" s="238"/>
      <c r="B43" t="str">
        <f t="shared" si="40"/>
        <v>D</v>
      </c>
      <c r="C43" s="92">
        <f t="shared" si="40"/>
        <v>1108</v>
      </c>
      <c r="D43" s="91">
        <f t="shared" si="40"/>
        <v>1736</v>
      </c>
      <c r="F43" s="110"/>
      <c r="G43" s="75" t="s">
        <v>183</v>
      </c>
      <c r="H43" s="64" t="s">
        <v>172</v>
      </c>
      <c r="I43" s="64" t="s">
        <v>173</v>
      </c>
      <c r="J43" s="110"/>
    </row>
    <row r="44" spans="1:24" x14ac:dyDescent="0.3">
      <c r="A44" s="238"/>
      <c r="B44" s="111" t="s">
        <v>181</v>
      </c>
      <c r="C44" s="109">
        <f>SUM(C40:C43)</f>
        <v>6262</v>
      </c>
      <c r="D44" s="109">
        <f>SUM(D40:D43)</f>
        <v>6589</v>
      </c>
      <c r="F44" s="110"/>
      <c r="G44" s="64">
        <v>0</v>
      </c>
      <c r="H44" s="20">
        <f>C50</f>
        <v>6262</v>
      </c>
      <c r="I44" s="20">
        <f>D50</f>
        <v>6262</v>
      </c>
      <c r="J44" s="110"/>
    </row>
    <row r="45" spans="1:24" x14ac:dyDescent="0.3">
      <c r="A45" s="238"/>
      <c r="B45" s="112" t="s">
        <v>182</v>
      </c>
      <c r="C45" s="236">
        <f>C44/D44</f>
        <v>0.95037183184094698</v>
      </c>
      <c r="D45" s="236"/>
      <c r="F45" s="110"/>
      <c r="G45" s="64">
        <v>5</v>
      </c>
      <c r="H45" s="113">
        <f>C38</f>
        <v>6659.2098050772029</v>
      </c>
      <c r="I45" s="114">
        <f>D38</f>
        <v>6659.2098050772038</v>
      </c>
      <c r="J45" s="110"/>
    </row>
    <row r="46" spans="1:24" x14ac:dyDescent="0.3">
      <c r="A46" s="238"/>
      <c r="B46" s="115" t="s">
        <v>11</v>
      </c>
      <c r="C46" s="103">
        <f t="shared" ref="C46:C49" si="41">C40</f>
        <v>2050</v>
      </c>
      <c r="D46" s="102">
        <f>D40*$C$45</f>
        <v>1249.7389588708452</v>
      </c>
      <c r="F46" s="110"/>
      <c r="G46" s="64">
        <v>10</v>
      </c>
      <c r="H46" s="20">
        <f>G38</f>
        <v>7086.6350894213119</v>
      </c>
      <c r="I46" s="20">
        <f>H38</f>
        <v>7086.6350894213119</v>
      </c>
      <c r="J46" s="110"/>
    </row>
    <row r="47" spans="1:24" x14ac:dyDescent="0.3">
      <c r="A47" s="238"/>
      <c r="B47" s="115" t="s">
        <v>12</v>
      </c>
      <c r="C47" s="105">
        <f t="shared" si="41"/>
        <v>2050</v>
      </c>
      <c r="D47" s="104">
        <f t="shared" ref="D47:D49" si="42">D41*$C$45</f>
        <v>1558.6098042191531</v>
      </c>
      <c r="F47" s="110"/>
      <c r="G47" s="64">
        <v>15</v>
      </c>
      <c r="H47" s="20">
        <f>K38</f>
        <v>7546.5864146729054</v>
      </c>
      <c r="I47" s="20">
        <f>L38</f>
        <v>7546.5864146729054</v>
      </c>
      <c r="J47" s="110"/>
    </row>
    <row r="48" spans="1:24" x14ac:dyDescent="0.3">
      <c r="A48" s="238"/>
      <c r="B48" s="115" t="s">
        <v>13</v>
      </c>
      <c r="C48" s="105">
        <f t="shared" si="41"/>
        <v>1054</v>
      </c>
      <c r="D48" s="104">
        <f t="shared" si="42"/>
        <v>1803.8057368341174</v>
      </c>
      <c r="F48" s="110"/>
      <c r="G48" s="64">
        <v>20</v>
      </c>
      <c r="H48" s="20">
        <f>O38</f>
        <v>8041.5516564896234</v>
      </c>
      <c r="I48" s="20">
        <f>P38</f>
        <v>8041.5516564896225</v>
      </c>
      <c r="J48" s="110"/>
    </row>
    <row r="49" spans="1:10" x14ac:dyDescent="0.3">
      <c r="A49" s="238"/>
      <c r="B49" s="115" t="s">
        <v>14</v>
      </c>
      <c r="C49" s="107">
        <f t="shared" si="41"/>
        <v>1108</v>
      </c>
      <c r="D49" s="106">
        <f t="shared" si="42"/>
        <v>1649.845500075884</v>
      </c>
      <c r="F49" s="110"/>
      <c r="G49" s="64">
        <v>25</v>
      </c>
      <c r="H49" s="20">
        <f>S38</f>
        <v>8574.2096440434034</v>
      </c>
      <c r="I49" s="20">
        <f>T38</f>
        <v>8574.2096440434034</v>
      </c>
      <c r="J49" s="110"/>
    </row>
    <row r="50" spans="1:10" x14ac:dyDescent="0.3">
      <c r="A50" s="239"/>
      <c r="B50" s="111" t="s">
        <v>181</v>
      </c>
      <c r="C50" s="109">
        <f>SUM(C46:C49)</f>
        <v>6262</v>
      </c>
      <c r="D50" s="109">
        <f>SUM(D46:D49)</f>
        <v>6262</v>
      </c>
      <c r="F50" s="110"/>
      <c r="G50" s="64">
        <v>30</v>
      </c>
      <c r="H50" s="20">
        <f>W38</f>
        <v>9147.4448503659896</v>
      </c>
      <c r="I50" s="20">
        <f>X38</f>
        <v>9147.4448503659896</v>
      </c>
      <c r="J50" s="110"/>
    </row>
  </sheetData>
  <mergeCells count="21">
    <mergeCell ref="W33:X33"/>
    <mergeCell ref="A39:A50"/>
    <mergeCell ref="C45:D45"/>
    <mergeCell ref="U28:U38"/>
    <mergeCell ref="C33:D33"/>
    <mergeCell ref="G33:H33"/>
    <mergeCell ref="K33:L33"/>
    <mergeCell ref="O33:P33"/>
    <mergeCell ref="S33:T33"/>
    <mergeCell ref="Q28:Q38"/>
    <mergeCell ref="A21:A24"/>
    <mergeCell ref="A28:A38"/>
    <mergeCell ref="E28:E38"/>
    <mergeCell ref="I28:I38"/>
    <mergeCell ref="M28:M38"/>
    <mergeCell ref="A8:A12"/>
    <mergeCell ref="I8:I12"/>
    <mergeCell ref="A13:A16"/>
    <mergeCell ref="I13:I16"/>
    <mergeCell ref="A17:A20"/>
    <mergeCell ref="I17:I2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29259-B16A-4BC9-869A-6C56C78C1981}">
  <dimension ref="C2:Y161"/>
  <sheetViews>
    <sheetView topLeftCell="B18" zoomScale="70" zoomScaleNormal="70" workbookViewId="0">
      <selection activeCell="I28" sqref="I28:L31"/>
    </sheetView>
  </sheetViews>
  <sheetFormatPr defaultRowHeight="14.4" x14ac:dyDescent="0.3"/>
  <cols>
    <col min="3" max="3" width="14.88671875" customWidth="1"/>
    <col min="4" max="4" width="10.21875" bestFit="1" customWidth="1"/>
    <col min="5" max="5" width="12.21875" customWidth="1"/>
    <col min="6" max="6" width="11.5546875" customWidth="1"/>
    <col min="8" max="8" width="9.88671875" customWidth="1"/>
    <col min="9" max="9" width="11" customWidth="1"/>
    <col min="12" max="12" width="11.21875" customWidth="1"/>
    <col min="14" max="14" width="11.44140625" customWidth="1"/>
    <col min="17" max="17" width="16.21875" customWidth="1"/>
    <col min="18" max="18" width="17" customWidth="1"/>
    <col min="19" max="19" width="9.33203125" bestFit="1" customWidth="1"/>
    <col min="20" max="20" width="12.6640625" customWidth="1"/>
    <col min="21" max="21" width="15.5546875" customWidth="1"/>
    <col min="25" max="25" width="12.21875" customWidth="1"/>
    <col min="26" max="26" width="18.109375" customWidth="1"/>
    <col min="27" max="27" width="20" customWidth="1"/>
    <col min="28" max="28" width="14" bestFit="1" customWidth="1"/>
    <col min="30" max="30" width="11.109375" customWidth="1"/>
    <col min="34" max="34" width="13.109375" customWidth="1"/>
    <col min="35" max="35" width="17.88671875" customWidth="1"/>
    <col min="36" max="36" width="18.33203125" customWidth="1"/>
    <col min="37" max="37" width="14" bestFit="1" customWidth="1"/>
    <col min="40" max="40" width="13.109375" customWidth="1"/>
    <col min="43" max="43" width="12.88671875" customWidth="1"/>
    <col min="44" max="44" width="18.44140625" customWidth="1"/>
    <col min="45" max="45" width="19.77734375" customWidth="1"/>
    <col min="46" max="46" width="14" bestFit="1" customWidth="1"/>
    <col min="48" max="48" width="16.33203125" customWidth="1"/>
    <col min="49" max="49" width="10.88671875" customWidth="1"/>
    <col min="50" max="50" width="9.6640625" customWidth="1"/>
    <col min="52" max="52" width="12" customWidth="1"/>
    <col min="53" max="53" width="17.88671875" customWidth="1"/>
    <col min="54" max="54" width="27.33203125" customWidth="1"/>
    <col min="55" max="55" width="14" bestFit="1" customWidth="1"/>
    <col min="57" max="57" width="16.6640625" customWidth="1"/>
    <col min="58" max="58" width="13.5546875" customWidth="1"/>
    <col min="61" max="61" width="14.5546875" customWidth="1"/>
    <col min="62" max="62" width="17.88671875" customWidth="1"/>
    <col min="63" max="63" width="27.77734375" customWidth="1"/>
    <col min="64" max="64" width="14" bestFit="1" customWidth="1"/>
    <col min="67" max="67" width="12.77734375" customWidth="1"/>
    <col min="70" max="70" width="14.77734375" customWidth="1"/>
    <col min="71" max="71" width="17.5546875" customWidth="1"/>
    <col min="72" max="72" width="25.6640625" customWidth="1"/>
    <col min="73" max="73" width="14" bestFit="1" customWidth="1"/>
    <col min="76" max="76" width="14.44140625" customWidth="1"/>
    <col min="79" max="79" width="12.88671875" customWidth="1"/>
    <col min="81" max="81" width="13.33203125" customWidth="1"/>
    <col min="88" max="88" width="12.6640625" customWidth="1"/>
  </cols>
  <sheetData>
    <row r="2" spans="3:5" ht="18" x14ac:dyDescent="0.35">
      <c r="C2" s="243" t="s">
        <v>188</v>
      </c>
      <c r="D2" s="244"/>
      <c r="E2" s="245"/>
    </row>
    <row r="3" spans="3:5" x14ac:dyDescent="0.3">
      <c r="C3" s="122" t="s">
        <v>187</v>
      </c>
      <c r="D3" s="9" t="s">
        <v>214</v>
      </c>
      <c r="E3" s="9" t="s">
        <v>186</v>
      </c>
    </row>
    <row r="4" spans="3:5" x14ac:dyDescent="0.3">
      <c r="C4" s="5">
        <v>1</v>
      </c>
      <c r="D4" s="68">
        <v>0</v>
      </c>
      <c r="E4" s="118">
        <f t="shared" ref="E4:E33" si="0">D4/$D$34</f>
        <v>0</v>
      </c>
    </row>
    <row r="5" spans="3:5" x14ac:dyDescent="0.3">
      <c r="C5" s="5">
        <v>2</v>
      </c>
      <c r="D5" s="68">
        <v>0</v>
      </c>
      <c r="E5" s="146">
        <f t="shared" si="0"/>
        <v>0</v>
      </c>
    </row>
    <row r="6" spans="3:5" x14ac:dyDescent="0.3">
      <c r="C6" s="5">
        <v>3</v>
      </c>
      <c r="D6" s="68">
        <v>3</v>
      </c>
      <c r="E6" s="146">
        <f t="shared" si="0"/>
        <v>8.21917808219178E-3</v>
      </c>
    </row>
    <row r="7" spans="3:5" x14ac:dyDescent="0.3">
      <c r="C7" s="5">
        <v>4</v>
      </c>
      <c r="D7" s="68">
        <v>5</v>
      </c>
      <c r="E7" s="146">
        <f t="shared" si="0"/>
        <v>1.3698630136986301E-2</v>
      </c>
    </row>
    <row r="8" spans="3:5" x14ac:dyDescent="0.3">
      <c r="C8" s="5">
        <v>5</v>
      </c>
      <c r="D8" s="68">
        <v>12</v>
      </c>
      <c r="E8" s="146">
        <f t="shared" si="0"/>
        <v>3.287671232876712E-2</v>
      </c>
    </row>
    <row r="9" spans="3:5" x14ac:dyDescent="0.3">
      <c r="C9" s="5">
        <v>6</v>
      </c>
      <c r="D9" s="68">
        <v>25</v>
      </c>
      <c r="E9" s="146">
        <f t="shared" si="0"/>
        <v>6.8493150684931503E-2</v>
      </c>
    </row>
    <row r="10" spans="3:5" x14ac:dyDescent="0.3">
      <c r="C10" s="5">
        <v>7</v>
      </c>
      <c r="D10" s="68">
        <v>19</v>
      </c>
      <c r="E10" s="146">
        <f t="shared" si="0"/>
        <v>5.2054794520547946E-2</v>
      </c>
    </row>
    <row r="11" spans="3:5" x14ac:dyDescent="0.3">
      <c r="C11" s="5">
        <v>8</v>
      </c>
      <c r="D11" s="68">
        <v>40</v>
      </c>
      <c r="E11" s="146">
        <f t="shared" si="0"/>
        <v>0.1095890410958904</v>
      </c>
    </row>
    <row r="12" spans="3:5" x14ac:dyDescent="0.3">
      <c r="C12" s="5">
        <v>9</v>
      </c>
      <c r="D12" s="68">
        <v>45</v>
      </c>
      <c r="E12" s="146">
        <f t="shared" si="0"/>
        <v>0.12328767123287671</v>
      </c>
    </row>
    <row r="13" spans="3:5" x14ac:dyDescent="0.3">
      <c r="C13" s="5">
        <v>10</v>
      </c>
      <c r="D13" s="68">
        <v>38</v>
      </c>
      <c r="E13" s="146">
        <f t="shared" si="0"/>
        <v>0.10410958904109589</v>
      </c>
    </row>
    <row r="14" spans="3:5" x14ac:dyDescent="0.3">
      <c r="C14" s="5">
        <v>11</v>
      </c>
      <c r="D14" s="68">
        <v>30</v>
      </c>
      <c r="E14" s="146">
        <f t="shared" si="0"/>
        <v>8.2191780821917804E-2</v>
      </c>
    </row>
    <row r="15" spans="3:5" x14ac:dyDescent="0.3">
      <c r="C15" s="5">
        <v>12</v>
      </c>
      <c r="D15" s="68">
        <v>21</v>
      </c>
      <c r="E15" s="146">
        <f t="shared" si="0"/>
        <v>5.7534246575342465E-2</v>
      </c>
    </row>
    <row r="16" spans="3:5" x14ac:dyDescent="0.3">
      <c r="C16" s="5">
        <v>13</v>
      </c>
      <c r="D16" s="68">
        <v>17</v>
      </c>
      <c r="E16" s="146">
        <f t="shared" si="0"/>
        <v>4.6575342465753428E-2</v>
      </c>
    </row>
    <row r="17" spans="3:12" x14ac:dyDescent="0.3">
      <c r="C17" s="5">
        <v>14</v>
      </c>
      <c r="D17" s="68">
        <v>19</v>
      </c>
      <c r="E17" s="146">
        <f t="shared" si="0"/>
        <v>5.2054794520547946E-2</v>
      </c>
    </row>
    <row r="18" spans="3:12" x14ac:dyDescent="0.3">
      <c r="C18" s="5">
        <v>15</v>
      </c>
      <c r="D18" s="68">
        <v>15</v>
      </c>
      <c r="E18" s="146">
        <f t="shared" si="0"/>
        <v>4.1095890410958902E-2</v>
      </c>
    </row>
    <row r="19" spans="3:12" x14ac:dyDescent="0.3">
      <c r="C19" s="5">
        <v>16</v>
      </c>
      <c r="D19" s="68">
        <v>12</v>
      </c>
      <c r="E19" s="146">
        <f t="shared" si="0"/>
        <v>3.287671232876712E-2</v>
      </c>
    </row>
    <row r="20" spans="3:12" x14ac:dyDescent="0.3">
      <c r="C20" s="5">
        <v>17</v>
      </c>
      <c r="D20" s="68">
        <v>10</v>
      </c>
      <c r="E20" s="146">
        <f t="shared" si="0"/>
        <v>2.7397260273972601E-2</v>
      </c>
    </row>
    <row r="21" spans="3:12" x14ac:dyDescent="0.3">
      <c r="C21" s="5">
        <v>18</v>
      </c>
      <c r="D21" s="68">
        <v>9</v>
      </c>
      <c r="E21" s="146">
        <f t="shared" si="0"/>
        <v>2.4657534246575342E-2</v>
      </c>
    </row>
    <row r="22" spans="3:12" x14ac:dyDescent="0.3">
      <c r="C22" s="5">
        <v>19</v>
      </c>
      <c r="D22" s="68">
        <v>6</v>
      </c>
      <c r="E22" s="146">
        <f t="shared" si="0"/>
        <v>1.643835616438356E-2</v>
      </c>
    </row>
    <row r="23" spans="3:12" x14ac:dyDescent="0.3">
      <c r="C23" s="5">
        <v>20</v>
      </c>
      <c r="D23" s="68">
        <v>3</v>
      </c>
      <c r="E23" s="146">
        <f t="shared" si="0"/>
        <v>8.21917808219178E-3</v>
      </c>
    </row>
    <row r="24" spans="3:12" x14ac:dyDescent="0.3">
      <c r="C24" s="5">
        <v>21</v>
      </c>
      <c r="D24" s="68">
        <v>5</v>
      </c>
      <c r="E24" s="146">
        <f t="shared" si="0"/>
        <v>1.3698630136986301E-2</v>
      </c>
    </row>
    <row r="25" spans="3:12" x14ac:dyDescent="0.3">
      <c r="C25" s="5">
        <v>22</v>
      </c>
      <c r="D25" s="68">
        <v>7</v>
      </c>
      <c r="E25" s="146">
        <f t="shared" si="0"/>
        <v>1.9178082191780823E-2</v>
      </c>
    </row>
    <row r="26" spans="3:12" x14ac:dyDescent="0.3">
      <c r="C26" s="5">
        <v>23</v>
      </c>
      <c r="D26" s="68">
        <v>6</v>
      </c>
      <c r="E26" s="146">
        <f t="shared" si="0"/>
        <v>1.643835616438356E-2</v>
      </c>
    </row>
    <row r="27" spans="3:12" x14ac:dyDescent="0.3">
      <c r="C27" s="5">
        <v>24</v>
      </c>
      <c r="D27" s="68">
        <v>6</v>
      </c>
      <c r="E27" s="146">
        <f t="shared" si="0"/>
        <v>1.643835616438356E-2</v>
      </c>
      <c r="H27" s="4" t="s">
        <v>10</v>
      </c>
      <c r="I27" s="4" t="s">
        <v>11</v>
      </c>
      <c r="J27" s="4" t="s">
        <v>12</v>
      </c>
      <c r="K27" s="4" t="s">
        <v>13</v>
      </c>
      <c r="L27" s="4" t="s">
        <v>14</v>
      </c>
    </row>
    <row r="28" spans="3:12" x14ac:dyDescent="0.3">
      <c r="C28" s="5">
        <v>25</v>
      </c>
      <c r="D28" s="68">
        <v>5</v>
      </c>
      <c r="E28" s="146">
        <f t="shared" si="0"/>
        <v>1.3698630136986301E-2</v>
      </c>
      <c r="H28" s="4" t="s">
        <v>11</v>
      </c>
      <c r="I28" s="4">
        <v>15</v>
      </c>
      <c r="J28" s="4">
        <v>99999</v>
      </c>
      <c r="K28" s="147">
        <v>14.269732573706907</v>
      </c>
      <c r="L28" s="147">
        <v>14.697289066576978</v>
      </c>
    </row>
    <row r="29" spans="3:12" x14ac:dyDescent="0.3">
      <c r="C29" s="5">
        <v>26</v>
      </c>
      <c r="D29" s="68">
        <v>2</v>
      </c>
      <c r="E29" s="146">
        <f t="shared" si="0"/>
        <v>5.4794520547945206E-3</v>
      </c>
      <c r="H29" s="4" t="s">
        <v>12</v>
      </c>
      <c r="I29" s="4">
        <v>99999</v>
      </c>
      <c r="J29" s="4">
        <v>15</v>
      </c>
      <c r="K29" s="147">
        <v>14.208852962775328</v>
      </c>
      <c r="L29" s="147">
        <v>14.559092448302289</v>
      </c>
    </row>
    <row r="30" spans="3:12" x14ac:dyDescent="0.3">
      <c r="C30" s="5">
        <v>27</v>
      </c>
      <c r="D30" s="68">
        <v>1</v>
      </c>
      <c r="E30" s="146">
        <f t="shared" si="0"/>
        <v>2.7397260273972603E-3</v>
      </c>
      <c r="H30" s="4" t="s">
        <v>13</v>
      </c>
      <c r="I30" s="4">
        <v>15.004574497475044</v>
      </c>
      <c r="J30" s="4">
        <v>14.496443437754429</v>
      </c>
      <c r="K30" s="4">
        <v>15</v>
      </c>
      <c r="L30" s="4">
        <v>99999</v>
      </c>
    </row>
    <row r="31" spans="3:12" x14ac:dyDescent="0.3">
      <c r="C31" s="5">
        <v>28</v>
      </c>
      <c r="D31" s="68">
        <v>1</v>
      </c>
      <c r="E31" s="146">
        <f t="shared" si="0"/>
        <v>2.7397260273972603E-3</v>
      </c>
      <c r="H31" s="4" t="s">
        <v>14</v>
      </c>
      <c r="I31" s="4">
        <v>15.432130990345117</v>
      </c>
      <c r="J31" s="4">
        <v>14.923999930624502</v>
      </c>
      <c r="K31" s="4">
        <v>99999</v>
      </c>
      <c r="L31" s="4">
        <v>15</v>
      </c>
    </row>
    <row r="32" spans="3:12" x14ac:dyDescent="0.3">
      <c r="C32" s="5">
        <v>29</v>
      </c>
      <c r="D32" s="68">
        <v>2</v>
      </c>
      <c r="E32" s="146">
        <f t="shared" si="0"/>
        <v>5.4794520547945206E-3</v>
      </c>
    </row>
    <row r="33" spans="3:25" x14ac:dyDescent="0.3">
      <c r="C33" s="14">
        <v>30</v>
      </c>
      <c r="D33" s="74">
        <v>1</v>
      </c>
      <c r="E33" s="145">
        <f t="shared" si="0"/>
        <v>2.7397260273972603E-3</v>
      </c>
    </row>
    <row r="34" spans="3:25" x14ac:dyDescent="0.3">
      <c r="D34">
        <f>SUM(D4:D33)</f>
        <v>365</v>
      </c>
    </row>
    <row r="35" spans="3:25" x14ac:dyDescent="0.3">
      <c r="C35" s="119" t="s">
        <v>213</v>
      </c>
      <c r="D35" s="119">
        <f>SUMPRODUCT(D4:D33,C4:C33)/D34</f>
        <v>11.863013698630137</v>
      </c>
    </row>
    <row r="36" spans="3:25" ht="15.6" x14ac:dyDescent="0.3">
      <c r="Q36" s="144" t="s">
        <v>212</v>
      </c>
      <c r="R36" s="143"/>
    </row>
    <row r="37" spans="3:25" x14ac:dyDescent="0.3">
      <c r="Q37" s="213"/>
      <c r="R37" s="142" t="s">
        <v>211</v>
      </c>
      <c r="S37" s="87"/>
      <c r="T37" s="87"/>
      <c r="U37" s="142"/>
      <c r="V37" s="87"/>
      <c r="W37" s="87"/>
      <c r="X37" s="87"/>
      <c r="Y37" s="89"/>
    </row>
    <row r="38" spans="3:25" ht="18.600000000000001" x14ac:dyDescent="0.4">
      <c r="H38" s="240" t="s">
        <v>210</v>
      </c>
      <c r="I38" s="241"/>
      <c r="J38" s="241"/>
      <c r="K38" s="241"/>
      <c r="L38" s="241"/>
      <c r="M38" s="241"/>
      <c r="N38" s="242"/>
      <c r="Q38" s="70"/>
      <c r="R38" s="120" t="s">
        <v>209</v>
      </c>
      <c r="S38" s="120"/>
      <c r="T38" s="120"/>
      <c r="U38" s="120" t="s">
        <v>192</v>
      </c>
      <c r="V38" s="209">
        <f>'Trip Length Frequency'!$D$35</f>
        <v>11.863013698630137</v>
      </c>
      <c r="W38" s="210" t="s">
        <v>185</v>
      </c>
      <c r="X38" s="211">
        <f>S119</f>
        <v>14.787466223125298</v>
      </c>
      <c r="Y38" s="129"/>
    </row>
    <row r="39" spans="3:25" ht="15.6" x14ac:dyDescent="0.3">
      <c r="C39" s="138" t="s">
        <v>183</v>
      </c>
      <c r="D39" s="138" t="s">
        <v>171</v>
      </c>
      <c r="E39" s="138" t="s">
        <v>172</v>
      </c>
      <c r="F39" s="138" t="s">
        <v>173</v>
      </c>
      <c r="H39" s="229" t="s">
        <v>170</v>
      </c>
      <c r="I39" s="135" t="s">
        <v>199</v>
      </c>
      <c r="J39" s="141" t="s">
        <v>11</v>
      </c>
      <c r="K39" s="140" t="s">
        <v>12</v>
      </c>
      <c r="L39" s="140" t="s">
        <v>13</v>
      </c>
      <c r="M39" s="140" t="s">
        <v>14</v>
      </c>
      <c r="N39" s="138" t="s">
        <v>172</v>
      </c>
      <c r="Q39" s="128"/>
      <c r="R39" s="120" t="s">
        <v>190</v>
      </c>
      <c r="S39" s="210">
        <f>Y119</f>
        <v>1.95</v>
      </c>
      <c r="T39" s="120"/>
      <c r="U39" s="120"/>
      <c r="V39" s="120"/>
      <c r="W39" s="120"/>
      <c r="X39" s="120"/>
      <c r="Y39" s="129"/>
    </row>
    <row r="40" spans="3:25" ht="15.6" x14ac:dyDescent="0.3">
      <c r="C40" s="229" t="s">
        <v>170</v>
      </c>
      <c r="D40" s="99" t="s">
        <v>11</v>
      </c>
      <c r="E40" s="81">
        <f>'[1]Trip Rate'!C46</f>
        <v>2050</v>
      </c>
      <c r="F40" s="81">
        <f>'[1]Trip Rate'!D46</f>
        <v>1249.7389588708452</v>
      </c>
      <c r="H40" s="229"/>
      <c r="I40" s="111" t="s">
        <v>11</v>
      </c>
      <c r="J40" s="66"/>
      <c r="K40" s="87"/>
      <c r="L40" s="87"/>
      <c r="M40" s="89"/>
      <c r="N40" s="67">
        <f>E40</f>
        <v>2050</v>
      </c>
      <c r="Q40" s="128"/>
      <c r="R40" s="120" t="s">
        <v>193</v>
      </c>
      <c r="S40" s="210">
        <f>Y118</f>
        <v>1.25</v>
      </c>
      <c r="T40" s="120"/>
      <c r="U40" s="120"/>
      <c r="V40" s="120"/>
      <c r="W40" s="120"/>
      <c r="X40" s="120"/>
      <c r="Y40" s="129"/>
    </row>
    <row r="41" spans="3:25" ht="15.6" x14ac:dyDescent="0.3">
      <c r="C41" s="229"/>
      <c r="D41" s="99" t="s">
        <v>12</v>
      </c>
      <c r="E41" s="67">
        <f>'[1]Trip Rate'!C47</f>
        <v>2050</v>
      </c>
      <c r="F41" s="67">
        <f>'[1]Trip Rate'!D47</f>
        <v>1558.6098042191531</v>
      </c>
      <c r="H41" s="229"/>
      <c r="I41" s="111" t="s">
        <v>12</v>
      </c>
      <c r="J41" s="70"/>
      <c r="M41" s="69"/>
      <c r="N41" s="67">
        <f>E41</f>
        <v>2050</v>
      </c>
      <c r="Q41" s="128"/>
      <c r="R41" s="120"/>
      <c r="S41" s="120"/>
      <c r="T41" s="120"/>
      <c r="U41" s="120"/>
      <c r="V41" s="120"/>
      <c r="W41" s="120"/>
      <c r="X41" s="120"/>
      <c r="Y41" s="129"/>
    </row>
    <row r="42" spans="3:25" ht="15.6" x14ac:dyDescent="0.3">
      <c r="C42" s="229"/>
      <c r="D42" s="99" t="s">
        <v>13</v>
      </c>
      <c r="E42" s="67">
        <f>'[1]Trip Rate'!C48</f>
        <v>1054</v>
      </c>
      <c r="F42" s="67">
        <f>'[1]Trip Rate'!D48</f>
        <v>1803.8057368341174</v>
      </c>
      <c r="H42" s="229"/>
      <c r="I42" s="111" t="s">
        <v>13</v>
      </c>
      <c r="J42" s="70"/>
      <c r="M42" s="69"/>
      <c r="N42" s="67">
        <f>E42</f>
        <v>1054</v>
      </c>
      <c r="Q42" s="128"/>
      <c r="R42" s="130" t="s">
        <v>207</v>
      </c>
      <c r="S42" s="130"/>
      <c r="T42" s="130"/>
      <c r="U42" s="130"/>
      <c r="V42" s="130"/>
      <c r="W42" s="120"/>
      <c r="X42" s="120"/>
      <c r="Y42" s="129"/>
    </row>
    <row r="43" spans="3:25" ht="15.6" x14ac:dyDescent="0.3">
      <c r="C43" s="229"/>
      <c r="D43" s="99" t="s">
        <v>14</v>
      </c>
      <c r="E43" s="73">
        <f>'[1]Trip Rate'!C49</f>
        <v>1108</v>
      </c>
      <c r="F43" s="73">
        <f>'[1]Trip Rate'!D49</f>
        <v>1649.845500075884</v>
      </c>
      <c r="H43" s="229"/>
      <c r="I43" s="111" t="s">
        <v>14</v>
      </c>
      <c r="J43" s="72"/>
      <c r="K43" s="93"/>
      <c r="L43" s="93"/>
      <c r="M43" s="94"/>
      <c r="N43" s="67">
        <f>E43</f>
        <v>1108</v>
      </c>
      <c r="Q43" s="128"/>
      <c r="R43" s="131" t="s">
        <v>199</v>
      </c>
      <c r="S43" s="131">
        <v>1</v>
      </c>
      <c r="T43" s="131">
        <v>2</v>
      </c>
      <c r="U43" s="131">
        <v>3</v>
      </c>
      <c r="V43" s="131">
        <v>4</v>
      </c>
      <c r="W43" s="120"/>
      <c r="X43" s="120"/>
      <c r="Y43" s="129"/>
    </row>
    <row r="44" spans="3:25" ht="15.6" x14ac:dyDescent="0.3">
      <c r="C44" s="229"/>
      <c r="D44" s="2" t="s">
        <v>181</v>
      </c>
      <c r="E44" s="100">
        <f>SUM(E40:E43)</f>
        <v>6262</v>
      </c>
      <c r="F44" s="100">
        <f>SUM(F40:F43)</f>
        <v>6262</v>
      </c>
      <c r="G44" s="119" t="s">
        <v>202</v>
      </c>
      <c r="H44" s="229"/>
      <c r="I44" s="138" t="s">
        <v>173</v>
      </c>
      <c r="J44">
        <f>E40</f>
        <v>2050</v>
      </c>
      <c r="K44">
        <f>E41</f>
        <v>2050</v>
      </c>
      <c r="L44">
        <f>E42</f>
        <v>1054</v>
      </c>
      <c r="M44">
        <f>E43</f>
        <v>1108</v>
      </c>
      <c r="N44" s="4">
        <f>SUM(N40:N43)</f>
        <v>6262</v>
      </c>
      <c r="Q44" s="128"/>
      <c r="R44" s="131">
        <v>1</v>
      </c>
      <c r="S44" s="215">
        <f t="shared" ref="S44:V47" si="1">(I28^$S$40)*(EXP((-$S$39)*I28))</f>
        <v>5.8479072798695064E-12</v>
      </c>
      <c r="T44" s="215">
        <f t="shared" si="1"/>
        <v>0</v>
      </c>
      <c r="U44" s="215">
        <f t="shared" si="1"/>
        <v>2.2821851149929744E-11</v>
      </c>
      <c r="V44" s="215">
        <f t="shared" si="1"/>
        <v>1.0287054504550107E-11</v>
      </c>
      <c r="W44" s="120"/>
      <c r="X44" s="120"/>
      <c r="Y44" s="129"/>
    </row>
    <row r="45" spans="3:25" ht="15.6" x14ac:dyDescent="0.3">
      <c r="C45" s="229" t="s">
        <v>175</v>
      </c>
      <c r="D45" s="99" t="s">
        <v>11</v>
      </c>
      <c r="E45" s="81">
        <f>'[1]Trip Rate'!C34</f>
        <v>2186.7465511512801</v>
      </c>
      <c r="F45" s="81">
        <f>'[1]Trip Rate'!D34</f>
        <v>1328.012404961956</v>
      </c>
      <c r="H45" s="229" t="s">
        <v>175</v>
      </c>
      <c r="I45" s="135" t="s">
        <v>199</v>
      </c>
      <c r="J45" s="141" t="s">
        <v>11</v>
      </c>
      <c r="K45" s="140" t="s">
        <v>12</v>
      </c>
      <c r="L45" s="140" t="s">
        <v>13</v>
      </c>
      <c r="M45" s="140" t="s">
        <v>14</v>
      </c>
      <c r="N45" s="138" t="s">
        <v>172</v>
      </c>
      <c r="Q45" s="128"/>
      <c r="R45" s="131">
        <v>2</v>
      </c>
      <c r="S45" s="215">
        <f t="shared" si="1"/>
        <v>0</v>
      </c>
      <c r="T45" s="215">
        <f t="shared" si="1"/>
        <v>5.8479072798695064E-12</v>
      </c>
      <c r="U45" s="215">
        <f t="shared" si="1"/>
        <v>2.5561552358107245E-11</v>
      </c>
      <c r="V45" s="215">
        <f t="shared" si="1"/>
        <v>1.3310596907723133E-11</v>
      </c>
      <c r="W45" s="120"/>
      <c r="X45" s="120"/>
      <c r="Y45" s="129"/>
    </row>
    <row r="46" spans="3:25" ht="15.6" x14ac:dyDescent="0.3">
      <c r="C46" s="229"/>
      <c r="D46" s="99" t="s">
        <v>12</v>
      </c>
      <c r="E46" s="67">
        <f>'[1]Trip Rate'!C35</f>
        <v>2186.7465511512801</v>
      </c>
      <c r="F46" s="67">
        <f>'[1]Trip Rate'!D35</f>
        <v>1658.4558060242425</v>
      </c>
      <c r="H46" s="229"/>
      <c r="I46" s="111" t="s">
        <v>11</v>
      </c>
      <c r="J46" s="66"/>
      <c r="K46" s="87"/>
      <c r="L46" s="87"/>
      <c r="M46" s="89"/>
      <c r="N46" s="81">
        <f>E45</f>
        <v>2186.7465511512801</v>
      </c>
      <c r="Q46" s="128"/>
      <c r="R46" s="131">
        <v>3</v>
      </c>
      <c r="S46" s="215">
        <f t="shared" si="1"/>
        <v>5.7981838965596981E-12</v>
      </c>
      <c r="T46" s="215">
        <f t="shared" si="1"/>
        <v>1.4959335996332265E-11</v>
      </c>
      <c r="U46" s="215">
        <f t="shared" si="1"/>
        <v>5.8479072798695064E-12</v>
      </c>
      <c r="V46" s="215">
        <f t="shared" si="1"/>
        <v>0</v>
      </c>
      <c r="W46" s="120"/>
      <c r="X46" s="120"/>
      <c r="Y46" s="129"/>
    </row>
    <row r="47" spans="3:25" ht="15.6" x14ac:dyDescent="0.3">
      <c r="C47" s="229"/>
      <c r="D47" s="99" t="s">
        <v>13</v>
      </c>
      <c r="E47" s="67">
        <f>'[1]Trip Rate'!C36</f>
        <v>1112.9834646689119</v>
      </c>
      <c r="F47" s="67">
        <f>'[1]Trip Rate'!D36</f>
        <v>1917.811032253856</v>
      </c>
      <c r="H47" s="229"/>
      <c r="I47" s="111" t="s">
        <v>12</v>
      </c>
      <c r="J47" s="70"/>
      <c r="M47" s="69"/>
      <c r="N47" s="67">
        <f>E46</f>
        <v>2186.7465511512801</v>
      </c>
      <c r="Q47" s="128"/>
      <c r="R47" s="131">
        <v>4</v>
      </c>
      <c r="S47" s="215">
        <f t="shared" si="1"/>
        <v>2.6089044688989804E-12</v>
      </c>
      <c r="T47" s="215">
        <f t="shared" si="1"/>
        <v>6.7391551243639047E-12</v>
      </c>
      <c r="U47" s="215">
        <f t="shared" si="1"/>
        <v>0</v>
      </c>
      <c r="V47" s="215">
        <f t="shared" si="1"/>
        <v>5.8479072798695064E-12</v>
      </c>
      <c r="W47" s="120"/>
      <c r="X47" s="120"/>
      <c r="Y47" s="129"/>
    </row>
    <row r="48" spans="3:25" ht="15.6" x14ac:dyDescent="0.3">
      <c r="C48" s="229"/>
      <c r="D48" s="99" t="s">
        <v>14</v>
      </c>
      <c r="E48" s="73">
        <f>'[1]Trip Rate'!C37</f>
        <v>1172.7332381057306</v>
      </c>
      <c r="F48" s="73">
        <f>'[1]Trip Rate'!D37</f>
        <v>1754.9305618371486</v>
      </c>
      <c r="H48" s="229"/>
      <c r="I48" s="111" t="s">
        <v>13</v>
      </c>
      <c r="J48" s="70"/>
      <c r="M48" s="69"/>
      <c r="N48" s="67">
        <f>E47</f>
        <v>1112.9834646689119</v>
      </c>
      <c r="Q48" s="128"/>
      <c r="R48" s="120"/>
      <c r="S48" s="120"/>
      <c r="T48" s="120"/>
      <c r="U48" s="120"/>
      <c r="V48" s="120"/>
      <c r="W48" s="120"/>
      <c r="X48" s="120"/>
      <c r="Y48" s="129"/>
    </row>
    <row r="49" spans="3:25" ht="15.6" x14ac:dyDescent="0.3">
      <c r="C49" s="229"/>
      <c r="D49" s="2" t="s">
        <v>181</v>
      </c>
      <c r="E49" s="100">
        <f>SUM(E45:E48)</f>
        <v>6659.2098050772029</v>
      </c>
      <c r="F49" s="100">
        <f>SUM(F45:F48)</f>
        <v>6659.2098050772038</v>
      </c>
      <c r="G49" s="119" t="s">
        <v>202</v>
      </c>
      <c r="H49" s="229"/>
      <c r="I49" s="111" t="s">
        <v>14</v>
      </c>
      <c r="J49" s="72"/>
      <c r="K49" s="93"/>
      <c r="L49" s="93"/>
      <c r="M49" s="94"/>
      <c r="N49" s="73">
        <f>E48</f>
        <v>1172.7332381057306</v>
      </c>
      <c r="Q49" s="214" t="s">
        <v>206</v>
      </c>
      <c r="R49" s="212"/>
      <c r="S49" s="212"/>
      <c r="T49" s="212"/>
      <c r="U49" s="120"/>
      <c r="V49" s="120"/>
      <c r="W49" s="120"/>
      <c r="X49" s="120"/>
      <c r="Y49" s="129"/>
    </row>
    <row r="50" spans="3:25" ht="15.6" x14ac:dyDescent="0.3">
      <c r="C50" s="229" t="s">
        <v>177</v>
      </c>
      <c r="D50" s="99" t="s">
        <v>11</v>
      </c>
      <c r="E50" s="81">
        <f>'[1]Trip Rate'!G34</f>
        <v>2333.9408020800124</v>
      </c>
      <c r="F50" s="81">
        <f>'[1]Trip Rate'!H34</f>
        <v>1412.3425541380027</v>
      </c>
      <c r="H50" s="229"/>
      <c r="I50" s="138" t="s">
        <v>173</v>
      </c>
      <c r="J50">
        <f>F45</f>
        <v>1328.012404961956</v>
      </c>
      <c r="K50">
        <f>F46</f>
        <v>1658.4558060242425</v>
      </c>
      <c r="L50">
        <f>F47</f>
        <v>1917.811032253856</v>
      </c>
      <c r="M50">
        <f>F48</f>
        <v>1754.9305618371486</v>
      </c>
      <c r="N50" s="4">
        <f>SUM(N46:N49)</f>
        <v>6659.2098050772029</v>
      </c>
      <c r="O50" s="119" t="s">
        <v>202</v>
      </c>
      <c r="Q50" s="128"/>
      <c r="R50" s="120"/>
      <c r="S50" s="120"/>
      <c r="T50" s="120"/>
      <c r="U50" s="120"/>
      <c r="V50" s="120"/>
      <c r="W50" s="120"/>
      <c r="X50" s="120"/>
      <c r="Y50" s="129"/>
    </row>
    <row r="51" spans="3:25" ht="15.6" x14ac:dyDescent="0.3">
      <c r="C51" s="229"/>
      <c r="D51" s="99" t="s">
        <v>12</v>
      </c>
      <c r="E51" s="67">
        <f>'[1]Trip Rate'!G35</f>
        <v>2333.9408020800124</v>
      </c>
      <c r="F51" s="67">
        <f>'[1]Trip Rate'!H35</f>
        <v>1765.9689627197642</v>
      </c>
      <c r="H51" s="229" t="s">
        <v>177</v>
      </c>
      <c r="I51" s="135" t="s">
        <v>199</v>
      </c>
      <c r="J51" s="141" t="s">
        <v>11</v>
      </c>
      <c r="K51" s="140" t="s">
        <v>12</v>
      </c>
      <c r="L51" s="140" t="s">
        <v>13</v>
      </c>
      <c r="M51" s="140" t="s">
        <v>14</v>
      </c>
      <c r="N51" s="138" t="s">
        <v>172</v>
      </c>
      <c r="Q51" s="70"/>
      <c r="R51" s="246" t="s">
        <v>205</v>
      </c>
      <c r="S51" s="246"/>
      <c r="T51" s="246"/>
      <c r="U51" s="246"/>
      <c r="V51" s="246"/>
      <c r="W51" s="120"/>
      <c r="X51" s="120"/>
      <c r="Y51" s="129"/>
    </row>
    <row r="52" spans="3:25" ht="15.6" x14ac:dyDescent="0.3">
      <c r="C52" s="229"/>
      <c r="D52" s="99" t="s">
        <v>13</v>
      </c>
      <c r="E52" s="67">
        <f>'[1]Trip Rate'!G36</f>
        <v>1176.364579366546</v>
      </c>
      <c r="F52" s="67">
        <f>'[1]Trip Rate'!H36</f>
        <v>2040.3509536702165</v>
      </c>
      <c r="H52" s="229"/>
      <c r="I52" s="111" t="s">
        <v>11</v>
      </c>
      <c r="J52" s="66"/>
      <c r="K52" s="87"/>
      <c r="L52" s="87"/>
      <c r="M52" s="89"/>
      <c r="N52" s="81">
        <f>E50</f>
        <v>2333.9408020800124</v>
      </c>
      <c r="Q52" s="128"/>
      <c r="R52" s="131" t="s">
        <v>199</v>
      </c>
      <c r="S52" s="131">
        <v>1</v>
      </c>
      <c r="T52" s="131">
        <v>2</v>
      </c>
      <c r="U52" s="131">
        <v>3</v>
      </c>
      <c r="V52" s="131">
        <v>4</v>
      </c>
      <c r="W52" s="120" t="s">
        <v>198</v>
      </c>
      <c r="X52" s="120" t="s">
        <v>197</v>
      </c>
      <c r="Y52" s="129" t="s">
        <v>194</v>
      </c>
    </row>
    <row r="53" spans="3:25" ht="15.6" x14ac:dyDescent="0.3">
      <c r="C53" s="229"/>
      <c r="D53" s="99" t="s">
        <v>14</v>
      </c>
      <c r="E53" s="73">
        <f>'[1]Trip Rate'!G37</f>
        <v>1242.3889058947407</v>
      </c>
      <c r="F53" s="73">
        <f>'[1]Trip Rate'!H37</f>
        <v>1867.9726188933282</v>
      </c>
      <c r="H53" s="229"/>
      <c r="I53" s="111" t="s">
        <v>12</v>
      </c>
      <c r="J53" s="70"/>
      <c r="M53" s="69"/>
      <c r="N53" s="67">
        <f>E51</f>
        <v>2333.9408020800124</v>
      </c>
      <c r="Q53" s="128"/>
      <c r="R53" s="131">
        <v>1</v>
      </c>
      <c r="S53" s="216">
        <f t="shared" ref="S53:V56" si="2">S44</f>
        <v>5.8479072798695064E-12</v>
      </c>
      <c r="T53" s="216">
        <f t="shared" si="2"/>
        <v>0</v>
      </c>
      <c r="U53" s="216">
        <f t="shared" si="2"/>
        <v>2.2821851149929744E-11</v>
      </c>
      <c r="V53" s="216">
        <f t="shared" si="2"/>
        <v>1.0287054504550107E-11</v>
      </c>
      <c r="W53" s="165">
        <f>N40</f>
        <v>2050</v>
      </c>
      <c r="X53" s="165">
        <f>SUM(S53:V53)</f>
        <v>3.8956812934349359E-11</v>
      </c>
      <c r="Y53" s="129">
        <f>W53/X53</f>
        <v>52622374511351.648</v>
      </c>
    </row>
    <row r="54" spans="3:25" ht="15.6" x14ac:dyDescent="0.3">
      <c r="C54" s="229"/>
      <c r="D54" s="2" t="s">
        <v>181</v>
      </c>
      <c r="E54" s="100">
        <f>SUM(E50:E53)</f>
        <v>7086.6350894213119</v>
      </c>
      <c r="F54" s="100">
        <f>SUM(F50:F53)</f>
        <v>7086.6350894213119</v>
      </c>
      <c r="G54" s="119" t="s">
        <v>202</v>
      </c>
      <c r="H54" s="229"/>
      <c r="I54" s="111" t="s">
        <v>13</v>
      </c>
      <c r="J54" s="70"/>
      <c r="M54" s="69"/>
      <c r="N54" s="67">
        <f>E52</f>
        <v>1176.364579366546</v>
      </c>
      <c r="Q54" s="128"/>
      <c r="R54" s="131">
        <v>2</v>
      </c>
      <c r="S54" s="216">
        <f t="shared" si="2"/>
        <v>0</v>
      </c>
      <c r="T54" s="216">
        <f t="shared" si="2"/>
        <v>5.8479072798695064E-12</v>
      </c>
      <c r="U54" s="216">
        <f t="shared" si="2"/>
        <v>2.5561552358107245E-11</v>
      </c>
      <c r="V54" s="216">
        <f t="shared" si="2"/>
        <v>1.3310596907723133E-11</v>
      </c>
      <c r="W54" s="165">
        <f>N41</f>
        <v>2050</v>
      </c>
      <c r="X54" s="165">
        <f>SUM(S54:V54)</f>
        <v>4.4720056545699886E-11</v>
      </c>
      <c r="Y54" s="129">
        <f>W54/X54</f>
        <v>45840729157063.656</v>
      </c>
    </row>
    <row r="55" spans="3:25" ht="15.6" x14ac:dyDescent="0.3">
      <c r="C55" s="229" t="s">
        <v>179</v>
      </c>
      <c r="D55" s="99" t="s">
        <v>11</v>
      </c>
      <c r="E55" s="81">
        <f>'[1]Trip Rate'!K34</f>
        <v>2492.3840399622668</v>
      </c>
      <c r="F55" s="81">
        <f>'[1]Trip Rate'!L34</f>
        <v>1503.1992104315086</v>
      </c>
      <c r="H55" s="229"/>
      <c r="I55" s="111" t="s">
        <v>14</v>
      </c>
      <c r="J55" s="72"/>
      <c r="K55" s="93"/>
      <c r="L55" s="93"/>
      <c r="M55" s="94"/>
      <c r="N55" s="73">
        <f>E53</f>
        <v>1242.3889058947407</v>
      </c>
      <c r="Q55" s="128"/>
      <c r="R55" s="131">
        <v>3</v>
      </c>
      <c r="S55" s="216">
        <f t="shared" si="2"/>
        <v>5.7981838965596981E-12</v>
      </c>
      <c r="T55" s="216">
        <f t="shared" si="2"/>
        <v>1.4959335996332265E-11</v>
      </c>
      <c r="U55" s="216">
        <f t="shared" si="2"/>
        <v>5.8479072798695064E-12</v>
      </c>
      <c r="V55" s="216">
        <f t="shared" si="2"/>
        <v>0</v>
      </c>
      <c r="W55" s="165">
        <f>N42</f>
        <v>1054</v>
      </c>
      <c r="X55" s="165">
        <f>SUM(S55:V55)</f>
        <v>2.6605427172761468E-11</v>
      </c>
      <c r="Y55" s="129">
        <f>W55/X55</f>
        <v>39615977340107.547</v>
      </c>
    </row>
    <row r="56" spans="3:25" ht="15.6" x14ac:dyDescent="0.3">
      <c r="C56" s="229"/>
      <c r="D56" s="99" t="s">
        <v>12</v>
      </c>
      <c r="E56" s="67">
        <f>'[1]Trip Rate'!K35</f>
        <v>2492.3840399622668</v>
      </c>
      <c r="F56" s="67">
        <f>'[1]Trip Rate'!L35</f>
        <v>1881.7414801634088</v>
      </c>
      <c r="H56" s="229"/>
      <c r="I56" s="138" t="s">
        <v>173</v>
      </c>
      <c r="J56">
        <f>F50</f>
        <v>1412.3425541380027</v>
      </c>
      <c r="K56">
        <f>F51</f>
        <v>1765.9689627197642</v>
      </c>
      <c r="L56">
        <f>F52</f>
        <v>2040.3509536702165</v>
      </c>
      <c r="M56">
        <f>F53</f>
        <v>1867.9726188933282</v>
      </c>
      <c r="N56" s="4">
        <f>SUM(N52:N55)</f>
        <v>7086.6350894213119</v>
      </c>
      <c r="O56" s="119" t="s">
        <v>202</v>
      </c>
      <c r="Q56" s="128"/>
      <c r="R56" s="131">
        <v>4</v>
      </c>
      <c r="S56" s="216">
        <f t="shared" si="2"/>
        <v>2.6089044688989804E-12</v>
      </c>
      <c r="T56" s="216">
        <f t="shared" si="2"/>
        <v>6.7391551243639047E-12</v>
      </c>
      <c r="U56" s="216">
        <f t="shared" si="2"/>
        <v>0</v>
      </c>
      <c r="V56" s="216">
        <f t="shared" si="2"/>
        <v>5.8479072798695064E-12</v>
      </c>
      <c r="W56" s="165">
        <f>N43</f>
        <v>1108</v>
      </c>
      <c r="X56" s="165">
        <f>SUM(S56:V56)</f>
        <v>1.519596687313239E-11</v>
      </c>
      <c r="Y56" s="129">
        <f>W56/X56</f>
        <v>72914083667754.453</v>
      </c>
    </row>
    <row r="57" spans="3:25" ht="15.6" x14ac:dyDescent="0.3">
      <c r="C57" s="229"/>
      <c r="D57" s="99" t="s">
        <v>13</v>
      </c>
      <c r="E57" s="67">
        <f>'[1]Trip Rate'!K36</f>
        <v>1244.4750082359867</v>
      </c>
      <c r="F57" s="67">
        <f>'[1]Trip Rate'!L36</f>
        <v>2172.0689016417573</v>
      </c>
      <c r="H57" s="229" t="s">
        <v>179</v>
      </c>
      <c r="I57" s="135" t="s">
        <v>199</v>
      </c>
      <c r="J57" s="141" t="s">
        <v>11</v>
      </c>
      <c r="K57" s="140" t="s">
        <v>12</v>
      </c>
      <c r="L57" s="140" t="s">
        <v>13</v>
      </c>
      <c r="M57" s="140" t="s">
        <v>14</v>
      </c>
      <c r="N57" s="138" t="s">
        <v>172</v>
      </c>
      <c r="Q57" s="128"/>
      <c r="R57" s="120" t="s">
        <v>196</v>
      </c>
      <c r="S57">
        <f>J44</f>
        <v>2050</v>
      </c>
      <c r="T57">
        <f>K44</f>
        <v>2050</v>
      </c>
      <c r="U57">
        <f>L44</f>
        <v>1054</v>
      </c>
      <c r="V57">
        <f>M44</f>
        <v>1108</v>
      </c>
      <c r="W57" s="120"/>
      <c r="X57" s="120"/>
      <c r="Y57" s="129"/>
    </row>
    <row r="58" spans="3:25" ht="15.6" x14ac:dyDescent="0.3">
      <c r="C58" s="229"/>
      <c r="D58" s="99" t="s">
        <v>14</v>
      </c>
      <c r="E58" s="73">
        <f>'[1]Trip Rate'!K37</f>
        <v>1317.3433265123847</v>
      </c>
      <c r="F58" s="73">
        <f>'[1]Trip Rate'!L37</f>
        <v>1989.5768224362307</v>
      </c>
      <c r="H58" s="229"/>
      <c r="I58" s="111" t="s">
        <v>11</v>
      </c>
      <c r="J58" s="66"/>
      <c r="K58" s="87"/>
      <c r="L58" s="87"/>
      <c r="M58" s="89"/>
      <c r="N58" s="81">
        <f>E55</f>
        <v>2492.3840399622668</v>
      </c>
      <c r="Q58" s="128"/>
      <c r="R58" s="120" t="s">
        <v>195</v>
      </c>
      <c r="S58" s="165">
        <f>SUM(S53:S56)</f>
        <v>1.4254995645328185E-11</v>
      </c>
      <c r="T58" s="165">
        <f>SUM(T53:T56)</f>
        <v>2.7546398400565678E-11</v>
      </c>
      <c r="U58" s="165">
        <f>SUM(U53:U56)</f>
        <v>5.4231310787906494E-11</v>
      </c>
      <c r="V58" s="165">
        <f>SUM(V53:V56)</f>
        <v>2.9445558692142745E-11</v>
      </c>
      <c r="W58" s="120"/>
      <c r="X58" s="120"/>
      <c r="Y58" s="129"/>
    </row>
    <row r="59" spans="3:25" ht="15.6" x14ac:dyDescent="0.3">
      <c r="C59" s="229"/>
      <c r="D59" s="2" t="s">
        <v>181</v>
      </c>
      <c r="E59" s="100">
        <f>SUM(E55:E58)</f>
        <v>7546.5864146729054</v>
      </c>
      <c r="F59" s="100">
        <f>SUM(F55:F58)</f>
        <v>7546.5864146729054</v>
      </c>
      <c r="G59" s="119" t="s">
        <v>202</v>
      </c>
      <c r="H59" s="229"/>
      <c r="I59" s="111" t="s">
        <v>12</v>
      </c>
      <c r="J59" s="70"/>
      <c r="M59" s="69"/>
      <c r="N59" s="67">
        <f>E56</f>
        <v>2492.3840399622668</v>
      </c>
      <c r="Q59" s="128"/>
      <c r="R59" s="120" t="s">
        <v>194</v>
      </c>
      <c r="S59" s="120">
        <f>S57/S58</f>
        <v>143809233689373.31</v>
      </c>
      <c r="T59" s="120">
        <f>T57/T58</f>
        <v>74419892219300.156</v>
      </c>
      <c r="U59" s="120">
        <f>U57/U58</f>
        <v>19435266909223.234</v>
      </c>
      <c r="V59" s="120">
        <f>V57/V58</f>
        <v>37628764717432.883</v>
      </c>
      <c r="W59" s="120"/>
      <c r="X59" s="120"/>
      <c r="Y59" s="129"/>
    </row>
    <row r="60" spans="3:25" ht="15.6" x14ac:dyDescent="0.3">
      <c r="C60" s="229" t="s">
        <v>174</v>
      </c>
      <c r="D60" s="99" t="s">
        <v>11</v>
      </c>
      <c r="E60" s="81">
        <f>'[1]Trip Rate'!O34</f>
        <v>2662.939164795906</v>
      </c>
      <c r="F60" s="81">
        <f>'[1]Trip Rate'!P34</f>
        <v>1601.0889518076301</v>
      </c>
      <c r="H60" s="229"/>
      <c r="I60" s="111" t="s">
        <v>13</v>
      </c>
      <c r="J60" s="70"/>
      <c r="M60" s="69"/>
      <c r="N60" s="67">
        <f>E57</f>
        <v>1244.4750082359867</v>
      </c>
      <c r="Q60" s="128"/>
      <c r="R60" s="120"/>
      <c r="S60" s="120"/>
      <c r="T60" s="120"/>
      <c r="U60" s="120"/>
      <c r="V60" s="120"/>
      <c r="W60" s="120"/>
      <c r="X60" s="120"/>
      <c r="Y60" s="129"/>
    </row>
    <row r="61" spans="3:25" ht="15.6" x14ac:dyDescent="0.3">
      <c r="C61" s="229"/>
      <c r="D61" s="99" t="s">
        <v>12</v>
      </c>
      <c r="E61" s="67">
        <f>'[1]Trip Rate'!O35</f>
        <v>2662.939164795906</v>
      </c>
      <c r="F61" s="67">
        <f>'[1]Trip Rate'!P35</f>
        <v>2006.4115000433494</v>
      </c>
      <c r="H61" s="229"/>
      <c r="I61" s="111" t="s">
        <v>14</v>
      </c>
      <c r="J61" s="72"/>
      <c r="K61" s="93"/>
      <c r="L61" s="93"/>
      <c r="M61" s="94"/>
      <c r="N61" s="73">
        <f>E58</f>
        <v>1317.3433265123847</v>
      </c>
      <c r="Q61" s="128"/>
      <c r="R61" s="120"/>
      <c r="S61" s="120"/>
      <c r="T61" s="120"/>
      <c r="U61" s="120"/>
      <c r="V61" s="120"/>
      <c r="W61" s="120"/>
      <c r="X61" s="120"/>
      <c r="Y61" s="129"/>
    </row>
    <row r="62" spans="3:25" ht="15.6" x14ac:dyDescent="0.3">
      <c r="C62" s="229"/>
      <c r="D62" s="99" t="s">
        <v>13</v>
      </c>
      <c r="E62" s="67">
        <f>'[1]Trip Rate'!O36</f>
        <v>1317.6716292739918</v>
      </c>
      <c r="F62" s="67">
        <f>'[1]Trip Rate'!P36</f>
        <v>2313.6568174166791</v>
      </c>
      <c r="H62" s="229"/>
      <c r="I62" s="138" t="s">
        <v>173</v>
      </c>
      <c r="J62">
        <f>F55</f>
        <v>1503.1992104315086</v>
      </c>
      <c r="K62">
        <f>F56</f>
        <v>1881.7414801634088</v>
      </c>
      <c r="L62">
        <f>F57</f>
        <v>2172.0689016417573</v>
      </c>
      <c r="M62">
        <f>F58</f>
        <v>1989.5768224362307</v>
      </c>
      <c r="N62" s="4">
        <f>SUM(N58:N61)</f>
        <v>7546.5864146729054</v>
      </c>
      <c r="O62" s="119" t="s">
        <v>202</v>
      </c>
      <c r="Q62" s="70"/>
      <c r="R62" s="246" t="s">
        <v>204</v>
      </c>
      <c r="S62" s="246"/>
      <c r="T62" s="246"/>
      <c r="U62" s="246"/>
      <c r="V62" s="246"/>
      <c r="W62" s="120"/>
      <c r="X62" s="120"/>
      <c r="Y62" s="129"/>
    </row>
    <row r="63" spans="3:25" ht="15.6" x14ac:dyDescent="0.3">
      <c r="C63" s="229"/>
      <c r="D63" s="99" t="s">
        <v>14</v>
      </c>
      <c r="E63" s="73">
        <f>'[1]Trip Rate'!O37</f>
        <v>1398.0016976238194</v>
      </c>
      <c r="F63" s="73">
        <f>'[1]Trip Rate'!P37</f>
        <v>2120.3943872219643</v>
      </c>
      <c r="H63" s="229" t="s">
        <v>174</v>
      </c>
      <c r="I63" s="135" t="s">
        <v>199</v>
      </c>
      <c r="J63" s="141" t="s">
        <v>11</v>
      </c>
      <c r="K63" s="140" t="s">
        <v>12</v>
      </c>
      <c r="L63" s="140" t="s">
        <v>13</v>
      </c>
      <c r="M63" s="140" t="s">
        <v>14</v>
      </c>
      <c r="N63" s="138" t="s">
        <v>172</v>
      </c>
      <c r="Q63" s="128"/>
      <c r="R63" s="131" t="s">
        <v>199</v>
      </c>
      <c r="S63" s="131">
        <v>1</v>
      </c>
      <c r="T63" s="131">
        <v>2</v>
      </c>
      <c r="U63" s="131">
        <v>3</v>
      </c>
      <c r="V63" s="131">
        <v>4</v>
      </c>
      <c r="W63" s="120" t="s">
        <v>198</v>
      </c>
      <c r="X63" s="120" t="s">
        <v>197</v>
      </c>
      <c r="Y63" s="129" t="s">
        <v>194</v>
      </c>
    </row>
    <row r="64" spans="3:25" ht="15.6" x14ac:dyDescent="0.3">
      <c r="C64" s="229"/>
      <c r="D64" s="2" t="s">
        <v>181</v>
      </c>
      <c r="E64" s="100">
        <f>SUM(E60:E63)</f>
        <v>8041.5516564896234</v>
      </c>
      <c r="F64" s="100">
        <f>SUM(F60:F63)</f>
        <v>8041.5516564896225</v>
      </c>
      <c r="G64" s="119" t="s">
        <v>202</v>
      </c>
      <c r="H64" s="229"/>
      <c r="I64" s="111" t="s">
        <v>11</v>
      </c>
      <c r="J64" s="66"/>
      <c r="K64" s="87"/>
      <c r="L64" s="87"/>
      <c r="M64" s="89"/>
      <c r="N64" s="81">
        <f>E60</f>
        <v>2662.939164795906</v>
      </c>
      <c r="Q64" s="128"/>
      <c r="R64" s="131">
        <v>1</v>
      </c>
      <c r="S64" s="216">
        <f t="shared" ref="S64:V67" si="3">S53*S$59</f>
        <v>840.98306460454125</v>
      </c>
      <c r="T64" s="216">
        <f t="shared" si="3"/>
        <v>0</v>
      </c>
      <c r="U64" s="216">
        <f t="shared" si="3"/>
        <v>443.54876846144776</v>
      </c>
      <c r="V64" s="216">
        <f t="shared" si="3"/>
        <v>387.08915358712409</v>
      </c>
      <c r="W64" s="165">
        <f>W53</f>
        <v>2050</v>
      </c>
      <c r="X64" s="165">
        <f>SUM(S64:V64)</f>
        <v>1671.6209866531131</v>
      </c>
      <c r="Y64" s="129">
        <f>W64/X64</f>
        <v>1.2263545482905609</v>
      </c>
    </row>
    <row r="65" spans="3:25" ht="15.6" x14ac:dyDescent="0.3">
      <c r="C65" s="229" t="s">
        <v>176</v>
      </c>
      <c r="D65" s="99" t="s">
        <v>11</v>
      </c>
      <c r="E65" s="81">
        <f>'[1]Trip Rate'!S34</f>
        <v>2846.535435076155</v>
      </c>
      <c r="F65" s="81">
        <f>'[1]Trip Rate'!T34</f>
        <v>1706.558014485141</v>
      </c>
      <c r="H65" s="229"/>
      <c r="I65" s="111" t="s">
        <v>12</v>
      </c>
      <c r="J65" s="70"/>
      <c r="M65" s="69"/>
      <c r="N65" s="67">
        <f>E61</f>
        <v>2662.939164795906</v>
      </c>
      <c r="Q65" s="128"/>
      <c r="R65" s="131">
        <v>2</v>
      </c>
      <c r="S65" s="216">
        <f t="shared" si="3"/>
        <v>0</v>
      </c>
      <c r="T65" s="216">
        <f t="shared" si="3"/>
        <v>435.20062947634943</v>
      </c>
      <c r="U65" s="216">
        <f t="shared" si="3"/>
        <v>496.79559269389887</v>
      </c>
      <c r="V65" s="216">
        <f t="shared" si="3"/>
        <v>500.86131928930342</v>
      </c>
      <c r="W65" s="165">
        <f>W54</f>
        <v>2050</v>
      </c>
      <c r="X65" s="165">
        <f>SUM(S65:V65)</f>
        <v>1432.8575414595516</v>
      </c>
      <c r="Y65" s="129">
        <f>W65/X65</f>
        <v>1.4307074783664875</v>
      </c>
    </row>
    <row r="66" spans="3:25" ht="15.6" x14ac:dyDescent="0.3">
      <c r="C66" s="229"/>
      <c r="D66" s="99" t="s">
        <v>12</v>
      </c>
      <c r="E66" s="67">
        <f>'[1]Trip Rate'!S35</f>
        <v>2846.535435076155</v>
      </c>
      <c r="F66" s="67">
        <f>'[1]Trip Rate'!T35</f>
        <v>2140.666670392317</v>
      </c>
      <c r="H66" s="229"/>
      <c r="I66" s="111" t="s">
        <v>13</v>
      </c>
      <c r="J66" s="70"/>
      <c r="M66" s="69"/>
      <c r="N66" s="67">
        <f>E62</f>
        <v>1317.6716292739918</v>
      </c>
      <c r="Q66" s="128"/>
      <c r="R66" s="131">
        <v>3</v>
      </c>
      <c r="S66" s="216">
        <f t="shared" si="3"/>
        <v>833.83238295431477</v>
      </c>
      <c r="T66" s="216">
        <f t="shared" si="3"/>
        <v>1113.2721725193444</v>
      </c>
      <c r="U66" s="216">
        <f t="shared" si="3"/>
        <v>113.65563884465347</v>
      </c>
      <c r="V66" s="216">
        <f t="shared" si="3"/>
        <v>0</v>
      </c>
      <c r="W66" s="165">
        <f>W55</f>
        <v>1054</v>
      </c>
      <c r="X66" s="165">
        <f>SUM(S66:V66)</f>
        <v>2060.7601943183126</v>
      </c>
      <c r="Y66" s="129">
        <f>W66/X66</f>
        <v>0.51146174256760479</v>
      </c>
    </row>
    <row r="67" spans="3:25" ht="15.6" x14ac:dyDescent="0.3">
      <c r="C67" s="229"/>
      <c r="D67" s="99" t="s">
        <v>13</v>
      </c>
      <c r="E67" s="67">
        <f>'[1]Trip Rate'!S36</f>
        <v>1396.3384616119097</v>
      </c>
      <c r="F67" s="67">
        <f>'[1]Trip Rate'!T36</f>
        <v>2465.8588575838148</v>
      </c>
      <c r="H67" s="229"/>
      <c r="I67" s="111" t="s">
        <v>14</v>
      </c>
      <c r="J67" s="72"/>
      <c r="K67" s="93"/>
      <c r="L67" s="93"/>
      <c r="M67" s="94"/>
      <c r="N67" s="73">
        <f>E63</f>
        <v>1398.0016976238194</v>
      </c>
      <c r="Q67" s="128"/>
      <c r="R67" s="131">
        <v>4</v>
      </c>
      <c r="S67" s="216">
        <f t="shared" si="3"/>
        <v>375.18455244114386</v>
      </c>
      <c r="T67" s="216">
        <f t="shared" si="3"/>
        <v>501.52719800430611</v>
      </c>
      <c r="U67" s="216">
        <f t="shared" si="3"/>
        <v>0</v>
      </c>
      <c r="V67" s="216">
        <f t="shared" si="3"/>
        <v>220.04952712357257</v>
      </c>
      <c r="W67" s="165">
        <f>W56</f>
        <v>1108</v>
      </c>
      <c r="X67" s="165">
        <f>SUM(S67:V67)</f>
        <v>1096.7612775690225</v>
      </c>
      <c r="Y67" s="129">
        <f>W67/X67</f>
        <v>1.0102471911261202</v>
      </c>
    </row>
    <row r="68" spans="3:25" ht="15.6" x14ac:dyDescent="0.3">
      <c r="C68" s="229"/>
      <c r="D68" s="99" t="s">
        <v>14</v>
      </c>
      <c r="E68" s="73">
        <f>'[1]Trip Rate'!S37</f>
        <v>1484.8003122791824</v>
      </c>
      <c r="F68" s="73">
        <f>'[1]Trip Rate'!T37</f>
        <v>2261.126101582131</v>
      </c>
      <c r="H68" s="229"/>
      <c r="I68" s="138" t="s">
        <v>173</v>
      </c>
      <c r="J68">
        <f>F60</f>
        <v>1601.0889518076301</v>
      </c>
      <c r="K68">
        <f>F61</f>
        <v>2006.4115000433494</v>
      </c>
      <c r="L68">
        <f>F62</f>
        <v>2313.6568174166791</v>
      </c>
      <c r="M68">
        <f>F63</f>
        <v>2120.3943872219643</v>
      </c>
      <c r="N68" s="4">
        <f>SUM(N64:N67)</f>
        <v>8041.5516564896234</v>
      </c>
      <c r="O68" s="119" t="s">
        <v>202</v>
      </c>
      <c r="Q68" s="128"/>
      <c r="R68" s="120" t="s">
        <v>196</v>
      </c>
      <c r="S68" s="165">
        <f>S57</f>
        <v>2050</v>
      </c>
      <c r="T68" s="165">
        <f>T57</f>
        <v>2050</v>
      </c>
      <c r="U68" s="165">
        <f>U57</f>
        <v>1054</v>
      </c>
      <c r="V68" s="165">
        <f>V57</f>
        <v>1108</v>
      </c>
      <c r="W68" s="120"/>
      <c r="X68" s="120"/>
      <c r="Y68" s="129"/>
    </row>
    <row r="69" spans="3:25" ht="15.6" x14ac:dyDescent="0.3">
      <c r="C69" s="229"/>
      <c r="D69" s="2" t="s">
        <v>181</v>
      </c>
      <c r="E69" s="100">
        <f>SUM(E65:E68)</f>
        <v>8574.2096440434034</v>
      </c>
      <c r="F69" s="100">
        <f>SUM(F65:F68)</f>
        <v>8574.2096440434034</v>
      </c>
      <c r="G69" s="119" t="s">
        <v>202</v>
      </c>
      <c r="H69" s="229" t="s">
        <v>176</v>
      </c>
      <c r="I69" s="135" t="s">
        <v>199</v>
      </c>
      <c r="J69" s="141" t="s">
        <v>11</v>
      </c>
      <c r="K69" s="140" t="s">
        <v>12</v>
      </c>
      <c r="L69" s="140" t="s">
        <v>13</v>
      </c>
      <c r="M69" s="140" t="s">
        <v>14</v>
      </c>
      <c r="N69" s="138" t="s">
        <v>172</v>
      </c>
      <c r="Q69" s="128"/>
      <c r="R69" s="120" t="s">
        <v>195</v>
      </c>
      <c r="S69" s="165">
        <f>SUM(S64:S67)</f>
        <v>2050</v>
      </c>
      <c r="T69" s="165">
        <f>SUM(T64:T67)</f>
        <v>2050</v>
      </c>
      <c r="U69" s="165">
        <f>SUM(U64:U67)</f>
        <v>1054</v>
      </c>
      <c r="V69" s="165">
        <f>SUM(V64:V67)</f>
        <v>1108</v>
      </c>
      <c r="W69" s="120"/>
      <c r="X69" s="120"/>
      <c r="Y69" s="129"/>
    </row>
    <row r="70" spans="3:25" ht="15.6" x14ac:dyDescent="0.3">
      <c r="C70" s="229" t="s">
        <v>178</v>
      </c>
      <c r="D70" s="99" t="s">
        <v>11</v>
      </c>
      <c r="E70" s="81">
        <v>3044.1735794193137</v>
      </c>
      <c r="F70" s="81">
        <v>1930.3584281999242</v>
      </c>
      <c r="H70" s="229"/>
      <c r="I70" s="111" t="s">
        <v>11</v>
      </c>
      <c r="J70" s="66"/>
      <c r="K70" s="87"/>
      <c r="L70" s="87"/>
      <c r="M70" s="89"/>
      <c r="N70" s="81">
        <f>E65</f>
        <v>2846.535435076155</v>
      </c>
      <c r="Q70" s="128"/>
      <c r="R70" s="120" t="s">
        <v>194</v>
      </c>
      <c r="S70" s="120">
        <f>S68/S69</f>
        <v>1</v>
      </c>
      <c r="T70" s="120">
        <f>T68/T69</f>
        <v>1</v>
      </c>
      <c r="U70" s="120">
        <f>U68/U69</f>
        <v>1</v>
      </c>
      <c r="V70" s="120">
        <f>V68/V69</f>
        <v>1</v>
      </c>
      <c r="W70" s="120"/>
      <c r="X70" s="120"/>
      <c r="Y70" s="129"/>
    </row>
    <row r="71" spans="3:25" ht="15.6" x14ac:dyDescent="0.3">
      <c r="C71" s="229"/>
      <c r="D71" s="99" t="s">
        <v>12</v>
      </c>
      <c r="E71" s="67">
        <v>3044.1735794193137</v>
      </c>
      <c r="F71" s="67">
        <v>2423.5572278064883</v>
      </c>
      <c r="H71" s="229"/>
      <c r="I71" s="111" t="s">
        <v>12</v>
      </c>
      <c r="J71" s="70"/>
      <c r="M71" s="69"/>
      <c r="N71" s="67">
        <f>E66</f>
        <v>2846.535435076155</v>
      </c>
      <c r="Q71" s="128"/>
      <c r="R71" s="120"/>
      <c r="S71" s="120"/>
      <c r="T71" s="120"/>
      <c r="U71" s="120"/>
      <c r="V71" s="120"/>
      <c r="W71" s="120"/>
      <c r="X71" s="120"/>
      <c r="Y71" s="129"/>
    </row>
    <row r="72" spans="3:25" ht="15.6" x14ac:dyDescent="0.3">
      <c r="C72" s="229"/>
      <c r="D72" s="99" t="s">
        <v>13</v>
      </c>
      <c r="E72" s="67">
        <v>1480.8887406556896</v>
      </c>
      <c r="F72" s="67">
        <v>2788.6181283808864</v>
      </c>
      <c r="H72" s="229"/>
      <c r="I72" s="111" t="s">
        <v>13</v>
      </c>
      <c r="J72" s="70"/>
      <c r="M72" s="69"/>
      <c r="N72" s="67">
        <f>E67</f>
        <v>1396.3384616119097</v>
      </c>
      <c r="Q72" s="128"/>
      <c r="R72" s="120"/>
      <c r="S72" s="120"/>
      <c r="T72" s="120"/>
      <c r="U72" s="120"/>
      <c r="V72" s="120"/>
      <c r="W72" s="120"/>
      <c r="X72" s="120"/>
      <c r="Y72" s="129"/>
    </row>
    <row r="73" spans="3:25" ht="15.6" x14ac:dyDescent="0.3">
      <c r="C73" s="229"/>
      <c r="D73" s="99" t="s">
        <v>14</v>
      </c>
      <c r="E73" s="73">
        <v>1578.2089508716722</v>
      </c>
      <c r="F73" s="73">
        <v>2558.5385458951887</v>
      </c>
      <c r="H73" s="229"/>
      <c r="I73" s="111" t="s">
        <v>14</v>
      </c>
      <c r="J73" s="72"/>
      <c r="K73" s="93"/>
      <c r="L73" s="93"/>
      <c r="M73" s="94"/>
      <c r="N73" s="73">
        <f>E68</f>
        <v>1484.8003122791824</v>
      </c>
      <c r="Q73" s="70"/>
      <c r="R73" s="247" t="s">
        <v>203</v>
      </c>
      <c r="S73" s="247"/>
      <c r="T73" s="247"/>
      <c r="U73" s="247"/>
      <c r="V73" s="247"/>
      <c r="W73" s="120"/>
      <c r="X73" s="120"/>
      <c r="Y73" s="129"/>
    </row>
    <row r="74" spans="3:25" ht="15.6" x14ac:dyDescent="0.3">
      <c r="C74" s="229"/>
      <c r="D74" s="2" t="s">
        <v>181</v>
      </c>
      <c r="E74" s="100">
        <f>SUM(E70:E73)</f>
        <v>9147.4448503659896</v>
      </c>
      <c r="F74" s="100">
        <f>SUM(F70:F73)</f>
        <v>9701.0723302824881</v>
      </c>
      <c r="G74" s="119" t="s">
        <v>202</v>
      </c>
      <c r="H74" s="229"/>
      <c r="I74" s="138" t="s">
        <v>173</v>
      </c>
      <c r="J74">
        <f>F65</f>
        <v>1706.558014485141</v>
      </c>
      <c r="K74">
        <f>F66</f>
        <v>2140.666670392317</v>
      </c>
      <c r="L74">
        <f>F67</f>
        <v>2465.8588575838148</v>
      </c>
      <c r="M74">
        <f>F68</f>
        <v>2261.126101582131</v>
      </c>
      <c r="N74" s="4">
        <f>SUM(N70:N73)</f>
        <v>8574.2096440434034</v>
      </c>
      <c r="O74" s="119" t="s">
        <v>202</v>
      </c>
      <c r="Q74" s="128"/>
      <c r="R74" s="131" t="s">
        <v>199</v>
      </c>
      <c r="S74" s="131">
        <v>1</v>
      </c>
      <c r="T74" s="131">
        <v>2</v>
      </c>
      <c r="U74" s="131">
        <v>3</v>
      </c>
      <c r="V74" s="131">
        <v>4</v>
      </c>
      <c r="W74" s="120" t="s">
        <v>198</v>
      </c>
      <c r="X74" s="120" t="s">
        <v>197</v>
      </c>
      <c r="Y74" s="129" t="s">
        <v>194</v>
      </c>
    </row>
    <row r="75" spans="3:25" ht="15.6" x14ac:dyDescent="0.3">
      <c r="H75" s="229" t="s">
        <v>178</v>
      </c>
      <c r="I75" s="135" t="s">
        <v>199</v>
      </c>
      <c r="J75" s="141" t="s">
        <v>11</v>
      </c>
      <c r="K75" s="140" t="s">
        <v>12</v>
      </c>
      <c r="L75" s="140" t="s">
        <v>13</v>
      </c>
      <c r="M75" s="140" t="s">
        <v>14</v>
      </c>
      <c r="N75" s="138" t="s">
        <v>172</v>
      </c>
      <c r="Q75" s="128"/>
      <c r="R75" s="131">
        <v>1</v>
      </c>
      <c r="S75" s="216">
        <f t="shared" ref="S75:V78" si="4">S64*$Y64</f>
        <v>1031.3434063131137</v>
      </c>
      <c r="T75" s="216">
        <f t="shared" si="4"/>
        <v>0</v>
      </c>
      <c r="U75" s="216">
        <f t="shared" si="4"/>
        <v>543.94804959137332</v>
      </c>
      <c r="V75" s="216">
        <f t="shared" si="4"/>
        <v>474.7085440955131</v>
      </c>
      <c r="W75" s="165">
        <f>W64</f>
        <v>2050</v>
      </c>
      <c r="X75" s="165">
        <f>SUM(S75:V75)</f>
        <v>2050</v>
      </c>
      <c r="Y75" s="129">
        <f>W75/X75</f>
        <v>1</v>
      </c>
    </row>
    <row r="76" spans="3:25" ht="15.6" x14ac:dyDescent="0.3">
      <c r="H76" s="229"/>
      <c r="I76" s="111" t="s">
        <v>11</v>
      </c>
      <c r="J76" s="66"/>
      <c r="K76" s="87"/>
      <c r="L76" s="87"/>
      <c r="M76" s="89"/>
      <c r="N76" s="81">
        <f>E70</f>
        <v>3044.1735794193137</v>
      </c>
      <c r="Q76" s="128"/>
      <c r="R76" s="131">
        <v>2</v>
      </c>
      <c r="S76" s="216">
        <f t="shared" si="4"/>
        <v>0</v>
      </c>
      <c r="T76" s="216">
        <f t="shared" si="4"/>
        <v>622.6447951816159</v>
      </c>
      <c r="U76" s="216">
        <f t="shared" si="4"/>
        <v>710.76916968667263</v>
      </c>
      <c r="V76" s="216">
        <f t="shared" si="4"/>
        <v>716.58603513171147</v>
      </c>
      <c r="W76" s="165">
        <f>W65</f>
        <v>2050</v>
      </c>
      <c r="X76" s="165">
        <f>SUM(S76:V76)</f>
        <v>2050</v>
      </c>
      <c r="Y76" s="129">
        <f>W76/X76</f>
        <v>1</v>
      </c>
    </row>
    <row r="77" spans="3:25" ht="15.6" x14ac:dyDescent="0.3">
      <c r="H77" s="229"/>
      <c r="I77" s="111" t="s">
        <v>12</v>
      </c>
      <c r="J77" s="70"/>
      <c r="M77" s="69"/>
      <c r="N77" s="67">
        <f>E71</f>
        <v>3044.1735794193137</v>
      </c>
      <c r="Q77" s="128"/>
      <c r="R77" s="131">
        <v>3</v>
      </c>
      <c r="S77" s="216">
        <f t="shared" si="4"/>
        <v>426.47336359511218</v>
      </c>
      <c r="T77" s="216">
        <f t="shared" si="4"/>
        <v>569.39612530876707</v>
      </c>
      <c r="U77" s="216">
        <f t="shared" si="4"/>
        <v>58.130511096120813</v>
      </c>
      <c r="V77" s="216">
        <f t="shared" si="4"/>
        <v>0</v>
      </c>
      <c r="W77" s="165">
        <f>W66</f>
        <v>1054</v>
      </c>
      <c r="X77" s="165">
        <f>SUM(S77:V77)</f>
        <v>1054</v>
      </c>
      <c r="Y77" s="129">
        <f>W77/X77</f>
        <v>1</v>
      </c>
    </row>
    <row r="78" spans="3:25" ht="15.6" x14ac:dyDescent="0.3">
      <c r="H78" s="229"/>
      <c r="I78" s="111" t="s">
        <v>13</v>
      </c>
      <c r="J78" s="70"/>
      <c r="M78" s="69"/>
      <c r="N78" s="67">
        <f>E72</f>
        <v>1480.8887406556896</v>
      </c>
      <c r="Q78" s="128"/>
      <c r="R78" s="131">
        <v>4</v>
      </c>
      <c r="S78" s="216">
        <f t="shared" si="4"/>
        <v>379.0291402575761</v>
      </c>
      <c r="T78" s="216">
        <f t="shared" si="4"/>
        <v>506.66644305720376</v>
      </c>
      <c r="U78" s="216">
        <f t="shared" si="4"/>
        <v>0</v>
      </c>
      <c r="V78" s="216">
        <f t="shared" si="4"/>
        <v>222.30441668522019</v>
      </c>
      <c r="W78" s="165">
        <f>W67</f>
        <v>1108</v>
      </c>
      <c r="X78" s="165">
        <f>SUM(S78:V78)</f>
        <v>1108</v>
      </c>
      <c r="Y78" s="129">
        <f>W78/X78</f>
        <v>1</v>
      </c>
    </row>
    <row r="79" spans="3:25" ht="15.6" x14ac:dyDescent="0.3">
      <c r="H79" s="229"/>
      <c r="I79" s="111" t="s">
        <v>14</v>
      </c>
      <c r="J79" s="72"/>
      <c r="K79" s="93"/>
      <c r="L79" s="93"/>
      <c r="M79" s="94"/>
      <c r="N79" s="73">
        <f>E73</f>
        <v>1578.2089508716722</v>
      </c>
      <c r="Q79" s="128"/>
      <c r="R79" s="120" t="s">
        <v>196</v>
      </c>
      <c r="S79" s="165">
        <f>S68</f>
        <v>2050</v>
      </c>
      <c r="T79" s="165">
        <f>T68</f>
        <v>2050</v>
      </c>
      <c r="U79" s="165">
        <f>U68</f>
        <v>1054</v>
      </c>
      <c r="V79" s="165">
        <f>V68</f>
        <v>1108</v>
      </c>
      <c r="W79" s="120"/>
      <c r="X79" s="120"/>
      <c r="Y79" s="129"/>
    </row>
    <row r="80" spans="3:25" ht="15.6" x14ac:dyDescent="0.3">
      <c r="H80" s="229"/>
      <c r="I80" s="138" t="s">
        <v>173</v>
      </c>
      <c r="J80" s="137">
        <f>F70</f>
        <v>1930.3584281999242</v>
      </c>
      <c r="K80" s="136">
        <f>F71</f>
        <v>2423.5572278064883</v>
      </c>
      <c r="L80" s="136">
        <f>F72</f>
        <v>2788.6181283808864</v>
      </c>
      <c r="M80" s="135">
        <f>F73</f>
        <v>2558.5385458951887</v>
      </c>
      <c r="N80" s="4">
        <f>SUM(N76:N79)</f>
        <v>9147.4448503659896</v>
      </c>
      <c r="O80" s="119" t="s">
        <v>202</v>
      </c>
      <c r="Q80" s="128"/>
      <c r="R80" s="120" t="s">
        <v>195</v>
      </c>
      <c r="S80" s="165">
        <f>SUM(S75:S78)</f>
        <v>1836.845910165802</v>
      </c>
      <c r="T80" s="165">
        <f>SUM(T75:T78)</f>
        <v>1698.7073635475867</v>
      </c>
      <c r="U80" s="165">
        <f>SUM(U75:U78)</f>
        <v>1312.8477303741665</v>
      </c>
      <c r="V80" s="165">
        <f>SUM(V75:V78)</f>
        <v>1413.5989959124449</v>
      </c>
      <c r="W80" s="120"/>
      <c r="X80" s="120"/>
      <c r="Y80" s="129"/>
    </row>
    <row r="81" spans="17:25" ht="15.6" x14ac:dyDescent="0.3">
      <c r="Q81" s="128"/>
      <c r="R81" s="120" t="s">
        <v>194</v>
      </c>
      <c r="S81" s="120">
        <f>S79/S80</f>
        <v>1.1160435334583714</v>
      </c>
      <c r="T81" s="120">
        <f>T79/T80</f>
        <v>1.2067999727267753</v>
      </c>
      <c r="U81" s="120">
        <f>U79/U80</f>
        <v>0.80283491802937879</v>
      </c>
      <c r="V81" s="120">
        <f>V79/V80</f>
        <v>0.78381493139418368</v>
      </c>
      <c r="W81" s="120"/>
      <c r="X81" s="120"/>
      <c r="Y81" s="129"/>
    </row>
    <row r="82" spans="17:25" ht="15.6" x14ac:dyDescent="0.3">
      <c r="Q82" s="128"/>
      <c r="R82" s="120"/>
      <c r="S82" s="120"/>
      <c r="T82" s="120"/>
      <c r="U82" s="120"/>
      <c r="V82" s="120"/>
      <c r="W82" s="120"/>
      <c r="X82" s="120"/>
      <c r="Y82" s="129"/>
    </row>
    <row r="83" spans="17:25" ht="15.6" x14ac:dyDescent="0.3">
      <c r="Q83" s="128"/>
      <c r="R83" s="120"/>
      <c r="S83" s="120"/>
      <c r="T83" s="120"/>
      <c r="U83" s="120"/>
      <c r="V83" s="120"/>
      <c r="W83" s="120"/>
      <c r="X83" s="120"/>
      <c r="Y83" s="129"/>
    </row>
    <row r="84" spans="17:25" ht="15.6" x14ac:dyDescent="0.3">
      <c r="Q84" s="70"/>
      <c r="R84" s="246" t="s">
        <v>201</v>
      </c>
      <c r="S84" s="246"/>
      <c r="T84" s="246"/>
      <c r="U84" s="246"/>
      <c r="V84" s="246"/>
      <c r="W84" s="120"/>
      <c r="X84" s="120"/>
      <c r="Y84" s="129"/>
    </row>
    <row r="85" spans="17:25" ht="15.6" x14ac:dyDescent="0.3">
      <c r="Q85" s="128"/>
      <c r="R85" s="131" t="s">
        <v>199</v>
      </c>
      <c r="S85" s="131">
        <v>1</v>
      </c>
      <c r="T85" s="131">
        <v>2</v>
      </c>
      <c r="U85" s="131">
        <v>3</v>
      </c>
      <c r="V85" s="131">
        <v>4</v>
      </c>
      <c r="W85" s="120" t="s">
        <v>198</v>
      </c>
      <c r="X85" s="120" t="s">
        <v>197</v>
      </c>
      <c r="Y85" s="129" t="s">
        <v>194</v>
      </c>
    </row>
    <row r="86" spans="17:25" ht="15.6" x14ac:dyDescent="0.3">
      <c r="Q86" s="128"/>
      <c r="R86" s="131">
        <v>1</v>
      </c>
      <c r="S86" s="131">
        <f t="shared" ref="S86:V89" si="5">S75*S$81</f>
        <v>1151.0241393906804</v>
      </c>
      <c r="T86" s="131">
        <f t="shared" si="5"/>
        <v>0</v>
      </c>
      <c r="U86" s="131">
        <f t="shared" si="5"/>
        <v>436.70048780593066</v>
      </c>
      <c r="V86" s="131">
        <f t="shared" si="5"/>
        <v>372.08364492245744</v>
      </c>
      <c r="W86" s="165">
        <f>W75</f>
        <v>2050</v>
      </c>
      <c r="X86" s="165">
        <f>SUM(S86:V86)</f>
        <v>1959.8082721190685</v>
      </c>
      <c r="Y86" s="129">
        <f>W86/X86</f>
        <v>1.0460206894541835</v>
      </c>
    </row>
    <row r="87" spans="17:25" ht="15.6" x14ac:dyDescent="0.3">
      <c r="Q87" s="128"/>
      <c r="R87" s="131">
        <v>2</v>
      </c>
      <c r="S87" s="131">
        <f t="shared" si="5"/>
        <v>0</v>
      </c>
      <c r="T87" s="131">
        <f t="shared" si="5"/>
        <v>751.40772184364266</v>
      </c>
      <c r="U87" s="131">
        <f t="shared" si="5"/>
        <v>570.63030808320946</v>
      </c>
      <c r="V87" s="131">
        <f t="shared" si="5"/>
        <v>561.67083396479256</v>
      </c>
      <c r="W87" s="165">
        <f>W76</f>
        <v>2050</v>
      </c>
      <c r="X87" s="165">
        <f>SUM(S87:V87)</f>
        <v>1883.7088638916448</v>
      </c>
      <c r="Y87" s="129">
        <f>W87/X87</f>
        <v>1.0882785760028788</v>
      </c>
    </row>
    <row r="88" spans="17:25" ht="15.6" x14ac:dyDescent="0.3">
      <c r="Q88" s="128"/>
      <c r="R88" s="131">
        <v>3</v>
      </c>
      <c r="S88" s="131">
        <f t="shared" si="5"/>
        <v>475.96283963256576</v>
      </c>
      <c r="T88" s="131">
        <f t="shared" si="5"/>
        <v>687.14722849335158</v>
      </c>
      <c r="U88" s="131">
        <f t="shared" si="5"/>
        <v>46.669204110860043</v>
      </c>
      <c r="V88" s="131">
        <f t="shared" si="5"/>
        <v>0</v>
      </c>
      <c r="W88" s="165">
        <f>W77</f>
        <v>1054</v>
      </c>
      <c r="X88" s="165">
        <f>SUM(S88:V88)</f>
        <v>1209.7792722367772</v>
      </c>
      <c r="Y88" s="129">
        <f>W88/X88</f>
        <v>0.87123331023125006</v>
      </c>
    </row>
    <row r="89" spans="17:25" ht="15.6" x14ac:dyDescent="0.3">
      <c r="Q89" s="128"/>
      <c r="R89" s="131">
        <v>4</v>
      </c>
      <c r="S89" s="131">
        <f t="shared" si="5"/>
        <v>423.01302097675386</v>
      </c>
      <c r="T89" s="131">
        <f t="shared" si="5"/>
        <v>611.44504966300576</v>
      </c>
      <c r="U89" s="131">
        <f t="shared" si="5"/>
        <v>0</v>
      </c>
      <c r="V89" s="131">
        <f t="shared" si="5"/>
        <v>174.24552111274988</v>
      </c>
      <c r="W89" s="165">
        <f>W78</f>
        <v>1108</v>
      </c>
      <c r="X89" s="165">
        <f>SUM(S89:V89)</f>
        <v>1208.7035917525095</v>
      </c>
      <c r="Y89" s="129">
        <f>W89/X89</f>
        <v>0.91668462604094814</v>
      </c>
    </row>
    <row r="90" spans="17:25" ht="15.6" x14ac:dyDescent="0.3">
      <c r="Q90" s="128"/>
      <c r="R90" s="120" t="s">
        <v>196</v>
      </c>
      <c r="S90" s="165">
        <f>S79</f>
        <v>2050</v>
      </c>
      <c r="T90" s="165">
        <f>T79</f>
        <v>2050</v>
      </c>
      <c r="U90" s="165">
        <f>U79</f>
        <v>1054</v>
      </c>
      <c r="V90" s="165">
        <f>V79</f>
        <v>1108</v>
      </c>
      <c r="W90" s="120"/>
      <c r="X90" s="120"/>
      <c r="Y90" s="129"/>
    </row>
    <row r="91" spans="17:25" ht="15.6" x14ac:dyDescent="0.3">
      <c r="Q91" s="128"/>
      <c r="R91" s="120" t="s">
        <v>195</v>
      </c>
      <c r="S91" s="165">
        <f>SUM(S86:S89)</f>
        <v>2050</v>
      </c>
      <c r="T91" s="165">
        <f>SUM(T86:T89)</f>
        <v>2050</v>
      </c>
      <c r="U91" s="165">
        <f>SUM(U86:U89)</f>
        <v>1054</v>
      </c>
      <c r="V91" s="165">
        <f>SUM(V86:V89)</f>
        <v>1108</v>
      </c>
      <c r="W91" s="120"/>
      <c r="X91" s="120"/>
      <c r="Y91" s="129"/>
    </row>
    <row r="92" spans="17:25" ht="15.6" x14ac:dyDescent="0.3">
      <c r="Q92" s="128"/>
      <c r="R92" s="120" t="s">
        <v>194</v>
      </c>
      <c r="S92" s="120">
        <f>S90/S91</f>
        <v>1</v>
      </c>
      <c r="T92" s="120">
        <f>T90/T91</f>
        <v>1</v>
      </c>
      <c r="U92" s="120">
        <f>U90/U91</f>
        <v>1</v>
      </c>
      <c r="V92" s="120">
        <f>V90/V91</f>
        <v>1</v>
      </c>
      <c r="W92" s="120"/>
      <c r="X92" s="120"/>
      <c r="Y92" s="129"/>
    </row>
    <row r="93" spans="17:25" ht="15.6" x14ac:dyDescent="0.3">
      <c r="Q93" s="128"/>
      <c r="R93" s="120"/>
      <c r="S93" s="120"/>
      <c r="T93" s="120"/>
      <c r="U93" s="120"/>
      <c r="V93" s="120"/>
      <c r="W93" s="120"/>
      <c r="X93" s="120"/>
      <c r="Y93" s="129"/>
    </row>
    <row r="94" spans="17:25" ht="15.6" x14ac:dyDescent="0.3">
      <c r="Q94" s="128"/>
      <c r="R94" s="120"/>
      <c r="S94" s="120"/>
      <c r="T94" s="120"/>
      <c r="U94" s="120"/>
      <c r="V94" s="120"/>
      <c r="W94" s="120"/>
      <c r="X94" s="120"/>
      <c r="Y94" s="129"/>
    </row>
    <row r="95" spans="17:25" ht="15.6" x14ac:dyDescent="0.3">
      <c r="Q95" s="70"/>
      <c r="R95" s="246" t="s">
        <v>200</v>
      </c>
      <c r="S95" s="246"/>
      <c r="T95" s="246"/>
      <c r="U95" s="246"/>
      <c r="V95" s="246"/>
      <c r="W95" s="120"/>
      <c r="X95" s="120"/>
      <c r="Y95" s="129"/>
    </row>
    <row r="96" spans="17:25" ht="15.6" x14ac:dyDescent="0.3">
      <c r="Q96" s="128"/>
      <c r="R96" s="131" t="s">
        <v>199</v>
      </c>
      <c r="S96" s="131">
        <v>1</v>
      </c>
      <c r="T96" s="131">
        <v>2</v>
      </c>
      <c r="U96" s="131">
        <v>3</v>
      </c>
      <c r="V96" s="131">
        <v>4</v>
      </c>
      <c r="W96" s="120" t="s">
        <v>198</v>
      </c>
      <c r="X96" s="120" t="s">
        <v>197</v>
      </c>
      <c r="Y96" s="129" t="s">
        <v>194</v>
      </c>
    </row>
    <row r="97" spans="17:25" ht="15.6" x14ac:dyDescent="0.3">
      <c r="Q97" s="128"/>
      <c r="R97" s="131">
        <v>1</v>
      </c>
      <c r="S97" s="131">
        <f t="shared" ref="S97:V100" si="6">S86*$Y86</f>
        <v>1203.9950638638477</v>
      </c>
      <c r="T97" s="131">
        <f t="shared" si="6"/>
        <v>0</v>
      </c>
      <c r="U97" s="131">
        <f t="shared" si="6"/>
        <v>456.79774533973784</v>
      </c>
      <c r="V97" s="131">
        <f t="shared" si="6"/>
        <v>389.20719079641452</v>
      </c>
      <c r="W97" s="165">
        <f>W86</f>
        <v>2050</v>
      </c>
      <c r="X97" s="165">
        <f>SUM(S97:V97)</f>
        <v>2050</v>
      </c>
      <c r="Y97" s="129">
        <f>W97/X97</f>
        <v>1</v>
      </c>
    </row>
    <row r="98" spans="17:25" ht="15.6" x14ac:dyDescent="0.3">
      <c r="Q98" s="128"/>
      <c r="R98" s="131">
        <v>2</v>
      </c>
      <c r="S98" s="131">
        <f t="shared" si="6"/>
        <v>0</v>
      </c>
      <c r="T98" s="131">
        <f t="shared" si="6"/>
        <v>817.74092552556669</v>
      </c>
      <c r="U98" s="131">
        <f t="shared" si="6"/>
        <v>621.00473910487926</v>
      </c>
      <c r="V98" s="131">
        <f t="shared" si="6"/>
        <v>611.25433536955381</v>
      </c>
      <c r="W98" s="165">
        <f>W87</f>
        <v>2050</v>
      </c>
      <c r="X98" s="165">
        <f>SUM(S98:V98)</f>
        <v>2049.9999999999995</v>
      </c>
      <c r="Y98" s="129">
        <f>W98/X98</f>
        <v>1.0000000000000002</v>
      </c>
    </row>
    <row r="99" spans="17:25" ht="15.6" x14ac:dyDescent="0.3">
      <c r="Q99" s="128"/>
      <c r="R99" s="131">
        <v>3</v>
      </c>
      <c r="S99" s="131">
        <f t="shared" si="6"/>
        <v>414.67468032014591</v>
      </c>
      <c r="T99" s="131">
        <f t="shared" si="6"/>
        <v>598.66555449649184</v>
      </c>
      <c r="U99" s="131">
        <f t="shared" si="6"/>
        <v>40.65976518336246</v>
      </c>
      <c r="V99" s="131">
        <f t="shared" si="6"/>
        <v>0</v>
      </c>
      <c r="W99" s="165">
        <f>W88</f>
        <v>1054</v>
      </c>
      <c r="X99" s="165">
        <f>SUM(S99:V99)</f>
        <v>1054.0000000000002</v>
      </c>
      <c r="Y99" s="129">
        <f>W99/X99</f>
        <v>0.99999999999999978</v>
      </c>
    </row>
    <row r="100" spans="17:25" ht="15.6" x14ac:dyDescent="0.3">
      <c r="Q100" s="128"/>
      <c r="R100" s="131">
        <v>4</v>
      </c>
      <c r="S100" s="131">
        <f t="shared" si="6"/>
        <v>387.76953294452738</v>
      </c>
      <c r="T100" s="131">
        <f t="shared" si="6"/>
        <v>560.50227669492142</v>
      </c>
      <c r="U100" s="131">
        <f t="shared" si="6"/>
        <v>0</v>
      </c>
      <c r="V100" s="131">
        <f t="shared" si="6"/>
        <v>159.72819036055125</v>
      </c>
      <c r="W100" s="165">
        <f>W89</f>
        <v>1108</v>
      </c>
      <c r="X100" s="165">
        <f>SUM(S100:V100)</f>
        <v>1108</v>
      </c>
      <c r="Y100" s="129">
        <f>W100/X100</f>
        <v>1</v>
      </c>
    </row>
    <row r="101" spans="17:25" ht="15.6" x14ac:dyDescent="0.3">
      <c r="Q101" s="128"/>
      <c r="R101" s="120" t="s">
        <v>196</v>
      </c>
      <c r="S101" s="165">
        <f>S90</f>
        <v>2050</v>
      </c>
      <c r="T101" s="165">
        <f>T90</f>
        <v>2050</v>
      </c>
      <c r="U101" s="165">
        <f>U90</f>
        <v>1054</v>
      </c>
      <c r="V101" s="165">
        <f>V90</f>
        <v>1108</v>
      </c>
      <c r="W101" s="120"/>
      <c r="X101" s="120"/>
      <c r="Y101" s="129"/>
    </row>
    <row r="102" spans="17:25" ht="15.6" x14ac:dyDescent="0.3">
      <c r="Q102" s="128"/>
      <c r="R102" s="120" t="s">
        <v>195</v>
      </c>
      <c r="S102" s="165">
        <f>SUM(S97:S100)</f>
        <v>2006.4392771285209</v>
      </c>
      <c r="T102" s="165">
        <f>SUM(T97:T100)</f>
        <v>1976.90875671698</v>
      </c>
      <c r="U102" s="165">
        <f>SUM(U97:U100)</f>
        <v>1118.4622496279796</v>
      </c>
      <c r="V102" s="165">
        <f>SUM(V97:V100)</f>
        <v>1160.1897165265195</v>
      </c>
      <c r="W102" s="120"/>
      <c r="X102" s="120"/>
      <c r="Y102" s="129"/>
    </row>
    <row r="103" spans="17:25" ht="15.6" x14ac:dyDescent="0.3">
      <c r="Q103" s="128"/>
      <c r="R103" s="120" t="s">
        <v>194</v>
      </c>
      <c r="S103" s="120">
        <f>S101/S102</f>
        <v>1.0217104615963362</v>
      </c>
      <c r="T103" s="120">
        <f>T101/T102</f>
        <v>1.0369724920458148</v>
      </c>
      <c r="U103" s="120">
        <f>U101/U102</f>
        <v>0.9423652880109088</v>
      </c>
      <c r="V103" s="120">
        <f>V101/V102</f>
        <v>0.95501622210308001</v>
      </c>
      <c r="W103" s="120"/>
      <c r="X103" s="120"/>
      <c r="Y103" s="129"/>
    </row>
    <row r="104" spans="17:25" ht="15.6" x14ac:dyDescent="0.3">
      <c r="Q104" s="128"/>
      <c r="R104" s="120"/>
      <c r="S104" s="120"/>
      <c r="T104" s="120"/>
      <c r="U104" s="120"/>
      <c r="V104" s="120"/>
      <c r="W104" s="120"/>
      <c r="X104" s="120"/>
      <c r="Y104" s="129"/>
    </row>
    <row r="105" spans="17:25" ht="15.6" x14ac:dyDescent="0.3">
      <c r="Q105" s="128"/>
      <c r="Y105" s="69"/>
    </row>
    <row r="106" spans="17:25" ht="15.6" x14ac:dyDescent="0.3">
      <c r="Q106" s="128"/>
      <c r="R106" s="246" t="s">
        <v>244</v>
      </c>
      <c r="S106" s="246"/>
      <c r="T106" s="246"/>
      <c r="U106" s="246"/>
      <c r="V106" s="246"/>
      <c r="W106" s="120"/>
      <c r="X106" s="120"/>
      <c r="Y106" s="129"/>
    </row>
    <row r="107" spans="17:25" ht="15.6" x14ac:dyDescent="0.3">
      <c r="Q107" s="128"/>
      <c r="R107" s="131" t="s">
        <v>199</v>
      </c>
      <c r="S107" s="131">
        <v>1</v>
      </c>
      <c r="T107" s="131">
        <v>2</v>
      </c>
      <c r="U107" s="131">
        <v>3</v>
      </c>
      <c r="V107" s="131">
        <v>4</v>
      </c>
      <c r="W107" s="120" t="s">
        <v>198</v>
      </c>
      <c r="X107" s="120" t="s">
        <v>197</v>
      </c>
      <c r="Y107" s="129" t="s">
        <v>194</v>
      </c>
    </row>
    <row r="108" spans="17:25" ht="15.6" x14ac:dyDescent="0.3">
      <c r="Q108" s="70"/>
      <c r="R108" s="131">
        <v>1</v>
      </c>
      <c r="S108" s="131">
        <f>S97*S$103</f>
        <v>1230.134352460042</v>
      </c>
      <c r="T108" s="131">
        <f t="shared" ref="T108:V108" si="7">T97*T$103</f>
        <v>0</v>
      </c>
      <c r="U108" s="131">
        <f t="shared" si="7"/>
        <v>430.47033884981585</v>
      </c>
      <c r="V108" s="131">
        <f t="shared" si="7"/>
        <v>371.69918096974448</v>
      </c>
      <c r="W108" s="165">
        <f>W97</f>
        <v>2050</v>
      </c>
      <c r="X108" s="165">
        <f>SUM(S108:V108)</f>
        <v>2032.3038722796023</v>
      </c>
      <c r="Y108" s="129">
        <f>W108/X108</f>
        <v>1.0087074221339489</v>
      </c>
    </row>
    <row r="109" spans="17:25" ht="15.6" x14ac:dyDescent="0.3">
      <c r="Q109" s="70"/>
      <c r="R109" s="131">
        <v>2</v>
      </c>
      <c r="S109" s="131">
        <f t="shared" ref="S109:V109" si="8">S98*S$103</f>
        <v>0</v>
      </c>
      <c r="T109" s="131">
        <f t="shared" si="8"/>
        <v>847.97484539009793</v>
      </c>
      <c r="U109" s="131">
        <f t="shared" si="8"/>
        <v>585.21330982270888</v>
      </c>
      <c r="V109" s="131">
        <f t="shared" si="8"/>
        <v>583.75780610876041</v>
      </c>
      <c r="W109" s="165">
        <f>W98</f>
        <v>2050</v>
      </c>
      <c r="X109" s="165">
        <f>SUM(S109:V109)</f>
        <v>2016.9459613215672</v>
      </c>
      <c r="Y109" s="129">
        <f>W109/X109</f>
        <v>1.0163881627531433</v>
      </c>
    </row>
    <row r="110" spans="17:25" ht="15.6" x14ac:dyDescent="0.3">
      <c r="Q110" s="70"/>
      <c r="R110" s="131">
        <v>3</v>
      </c>
      <c r="S110" s="131">
        <f t="shared" ref="S110:V110" si="9">S99*S$103</f>
        <v>423.67745904220942</v>
      </c>
      <c r="T110" s="131">
        <f t="shared" si="9"/>
        <v>620.79971194821667</v>
      </c>
      <c r="U110" s="131">
        <f t="shared" si="9"/>
        <v>38.316351327475289</v>
      </c>
      <c r="V110" s="131">
        <f t="shared" si="9"/>
        <v>0</v>
      </c>
      <c r="W110" s="165">
        <f>W99</f>
        <v>1054</v>
      </c>
      <c r="X110" s="165">
        <f>SUM(S110:V110)</f>
        <v>1082.7935223179015</v>
      </c>
      <c r="Y110" s="129">
        <f>W110/X110</f>
        <v>0.97340811362053203</v>
      </c>
    </row>
    <row r="111" spans="17:25" ht="15.6" x14ac:dyDescent="0.3">
      <c r="Q111" s="70"/>
      <c r="R111" s="131">
        <v>4</v>
      </c>
      <c r="S111" s="131">
        <f t="shared" ref="S111:V111" si="10">S100*S$103</f>
        <v>396.18818849774874</v>
      </c>
      <c r="T111" s="131">
        <f t="shared" si="10"/>
        <v>581.22544266168552</v>
      </c>
      <c r="U111" s="131">
        <f t="shared" si="10"/>
        <v>0</v>
      </c>
      <c r="V111" s="131">
        <f t="shared" si="10"/>
        <v>152.54301292149526</v>
      </c>
      <c r="W111" s="165">
        <f>W100</f>
        <v>1108</v>
      </c>
      <c r="X111" s="165">
        <f>SUM(S111:V111)</f>
        <v>1129.9566440809297</v>
      </c>
      <c r="Y111" s="129">
        <f>W111/X111</f>
        <v>0.9805685959758319</v>
      </c>
    </row>
    <row r="112" spans="17:25" ht="15.6" x14ac:dyDescent="0.3">
      <c r="Q112" s="70"/>
      <c r="R112" s="120" t="s">
        <v>196</v>
      </c>
      <c r="S112" s="165">
        <f>S101</f>
        <v>2050</v>
      </c>
      <c r="T112" s="165">
        <f>T101</f>
        <v>2050</v>
      </c>
      <c r="U112" s="165">
        <f>U101</f>
        <v>1054</v>
      </c>
      <c r="V112" s="165">
        <f>V101</f>
        <v>1108</v>
      </c>
      <c r="W112" s="120"/>
      <c r="X112" s="120"/>
      <c r="Y112" s="129"/>
    </row>
    <row r="113" spans="10:25" ht="15.6" x14ac:dyDescent="0.3">
      <c r="J113" s="110"/>
      <c r="Q113" s="70"/>
      <c r="R113" s="120" t="s">
        <v>195</v>
      </c>
      <c r="S113" s="165">
        <f>SUM(S108:S111)</f>
        <v>2050</v>
      </c>
      <c r="T113" s="165">
        <f>SUM(T108:T111)</f>
        <v>2050</v>
      </c>
      <c r="U113" s="165">
        <f>SUM(U108:U111)</f>
        <v>1054</v>
      </c>
      <c r="V113" s="165">
        <f>SUM(V108:V111)</f>
        <v>1108.0000000000002</v>
      </c>
      <c r="W113" s="120"/>
      <c r="X113" s="120"/>
      <c r="Y113" s="129"/>
    </row>
    <row r="114" spans="10:25" ht="15.6" x14ac:dyDescent="0.3">
      <c r="J114" s="110"/>
      <c r="Q114" s="70"/>
      <c r="R114" s="120" t="s">
        <v>194</v>
      </c>
      <c r="S114" s="120">
        <f>S112/S113</f>
        <v>1</v>
      </c>
      <c r="T114" s="120">
        <f>T112/T113</f>
        <v>1</v>
      </c>
      <c r="U114" s="120">
        <f>U112/U113</f>
        <v>1</v>
      </c>
      <c r="V114" s="120">
        <f>V112/V113</f>
        <v>0.99999999999999978</v>
      </c>
      <c r="W114" s="120"/>
      <c r="X114" s="120"/>
      <c r="Y114" s="129"/>
    </row>
    <row r="115" spans="10:25" x14ac:dyDescent="0.3">
      <c r="J115" s="110"/>
      <c r="Q115" s="70"/>
      <c r="Y115" s="69"/>
    </row>
    <row r="116" spans="10:25" x14ac:dyDescent="0.3">
      <c r="J116" s="110"/>
      <c r="Q116" s="70"/>
      <c r="Y116" s="69"/>
    </row>
    <row r="117" spans="10:25" x14ac:dyDescent="0.3">
      <c r="J117" s="110"/>
      <c r="Q117" s="70"/>
      <c r="Y117" s="69"/>
    </row>
    <row r="118" spans="10:25" ht="15.6" x14ac:dyDescent="0.3">
      <c r="J118" s="110"/>
      <c r="Q118" s="70"/>
      <c r="R118" s="120"/>
      <c r="S118" s="120"/>
      <c r="T118" s="120"/>
      <c r="U118" s="120"/>
      <c r="V118" s="120"/>
      <c r="W118" s="120"/>
      <c r="X118" s="121" t="s">
        <v>193</v>
      </c>
      <c r="Y118" s="91">
        <v>1.25</v>
      </c>
    </row>
    <row r="119" spans="10:25" ht="15.6" x14ac:dyDescent="0.3">
      <c r="J119" s="110"/>
      <c r="Q119" s="72"/>
      <c r="R119" s="124" t="s">
        <v>192</v>
      </c>
      <c r="S119" s="127">
        <f>SUMPRODUCT(S108:V111,I28:L31)/N44</f>
        <v>14.787466223125298</v>
      </c>
      <c r="T119" s="125"/>
      <c r="U119" s="126" t="s">
        <v>191</v>
      </c>
      <c r="V119" s="126">
        <f>V38</f>
        <v>11.863013698630137</v>
      </c>
      <c r="W119" s="125"/>
      <c r="X119" s="124" t="s">
        <v>190</v>
      </c>
      <c r="Y119" s="123">
        <v>1.95</v>
      </c>
    </row>
    <row r="120" spans="10:25" x14ac:dyDescent="0.3">
      <c r="Y120" t="s">
        <v>250</v>
      </c>
    </row>
    <row r="121" spans="10:25" ht="17.399999999999999" x14ac:dyDescent="0.3">
      <c r="Q121" s="120"/>
      <c r="R121" s="120"/>
      <c r="U121" s="121" t="s">
        <v>189</v>
      </c>
      <c r="V121" s="121"/>
      <c r="W121" s="121"/>
    </row>
    <row r="122" spans="10:25" ht="18" x14ac:dyDescent="0.35">
      <c r="K122" s="110"/>
      <c r="L122" s="110"/>
      <c r="M122" s="110"/>
      <c r="N122" s="110"/>
      <c r="O122" s="110"/>
      <c r="Q122" s="243" t="s">
        <v>188</v>
      </c>
      <c r="R122" s="244"/>
      <c r="S122" s="245"/>
      <c r="T122" s="120"/>
      <c r="U122" s="120"/>
      <c r="V122" s="120"/>
      <c r="W122" s="120"/>
      <c r="X122" s="120"/>
      <c r="Y122" s="120"/>
    </row>
    <row r="123" spans="10:25" x14ac:dyDescent="0.3">
      <c r="K123" s="64" t="s">
        <v>171</v>
      </c>
      <c r="L123" s="64" t="s">
        <v>166</v>
      </c>
      <c r="M123" s="64" t="s">
        <v>167</v>
      </c>
      <c r="N123" s="64" t="s">
        <v>168</v>
      </c>
      <c r="O123" s="110"/>
      <c r="Q123" s="122" t="s">
        <v>187</v>
      </c>
      <c r="R123" s="9" t="s">
        <v>186</v>
      </c>
      <c r="S123" s="4" t="s">
        <v>185</v>
      </c>
    </row>
    <row r="124" spans="10:25" x14ac:dyDescent="0.3">
      <c r="K124" s="64" t="s">
        <v>11</v>
      </c>
      <c r="L124" s="20">
        <v>1500</v>
      </c>
      <c r="M124" s="20">
        <v>600</v>
      </c>
      <c r="N124" s="20">
        <v>500</v>
      </c>
      <c r="O124" s="110"/>
      <c r="Q124" s="5">
        <v>1</v>
      </c>
      <c r="R124" s="118">
        <f t="shared" ref="R124:R153" si="11">E4</f>
        <v>0</v>
      </c>
      <c r="S124" s="117">
        <f t="shared" ref="S124:S153" si="12">(Q124^$S$40)*(EXP((-$S$39)*Q124))</f>
        <v>0.14227407158651359</v>
      </c>
    </row>
    <row r="125" spans="10:25" x14ac:dyDescent="0.3">
      <c r="K125" s="64" t="s">
        <v>12</v>
      </c>
      <c r="L125" s="20">
        <v>1500</v>
      </c>
      <c r="M125" s="20">
        <v>600</v>
      </c>
      <c r="N125" s="20">
        <v>1000</v>
      </c>
      <c r="O125" s="110"/>
      <c r="Q125" s="5">
        <v>2</v>
      </c>
      <c r="R125" s="118">
        <f t="shared" si="11"/>
        <v>0</v>
      </c>
      <c r="S125" s="117">
        <f t="shared" si="12"/>
        <v>4.8143650225211193E-2</v>
      </c>
    </row>
    <row r="126" spans="10:25" x14ac:dyDescent="0.3">
      <c r="K126" s="64" t="s">
        <v>13</v>
      </c>
      <c r="L126" s="20">
        <v>600</v>
      </c>
      <c r="M126" s="20">
        <v>800</v>
      </c>
      <c r="N126" s="20">
        <v>2000</v>
      </c>
      <c r="O126" s="110"/>
      <c r="Q126" s="5">
        <v>3</v>
      </c>
      <c r="R126" s="118">
        <f t="shared" si="11"/>
        <v>8.21917808219178E-3</v>
      </c>
      <c r="S126" s="117">
        <f t="shared" si="12"/>
        <v>1.1370481325651098E-2</v>
      </c>
    </row>
    <row r="127" spans="10:25" x14ac:dyDescent="0.3">
      <c r="K127" s="64" t="s">
        <v>14</v>
      </c>
      <c r="L127" s="20">
        <v>700</v>
      </c>
      <c r="M127" s="20">
        <v>400</v>
      </c>
      <c r="N127" s="20">
        <v>1800</v>
      </c>
      <c r="O127" s="110"/>
      <c r="Q127" s="5">
        <v>4</v>
      </c>
      <c r="R127" s="118">
        <f t="shared" si="11"/>
        <v>1.3698630136986301E-2</v>
      </c>
      <c r="S127" s="117">
        <f t="shared" si="12"/>
        <v>2.3178110570074781E-3</v>
      </c>
    </row>
    <row r="128" spans="10:25" x14ac:dyDescent="0.3">
      <c r="K128" s="110"/>
      <c r="L128" s="110"/>
      <c r="M128" s="110"/>
      <c r="N128" s="110"/>
      <c r="O128" s="110"/>
      <c r="Q128" s="5">
        <v>5</v>
      </c>
      <c r="R128" s="118">
        <f t="shared" si="11"/>
        <v>3.287671232876712E-2</v>
      </c>
      <c r="S128" s="117">
        <f t="shared" si="12"/>
        <v>4.3585427180827777E-4</v>
      </c>
    </row>
    <row r="129" spans="17:19" x14ac:dyDescent="0.3">
      <c r="Q129" s="5">
        <v>6</v>
      </c>
      <c r="R129" s="118">
        <f t="shared" si="11"/>
        <v>6.8493150684931503E-2</v>
      </c>
      <c r="S129" s="117">
        <f t="shared" si="12"/>
        <v>7.7883170870506397E-5</v>
      </c>
    </row>
    <row r="130" spans="17:19" x14ac:dyDescent="0.3">
      <c r="Q130" s="5">
        <v>7</v>
      </c>
      <c r="R130" s="118">
        <f t="shared" si="11"/>
        <v>5.2054794520547946E-2</v>
      </c>
      <c r="S130" s="117">
        <f t="shared" si="12"/>
        <v>1.3435470263001507E-5</v>
      </c>
    </row>
    <row r="131" spans="17:19" x14ac:dyDescent="0.3">
      <c r="Q131" s="5">
        <v>8</v>
      </c>
      <c r="R131" s="118">
        <f t="shared" si="11"/>
        <v>0.1095890410958904</v>
      </c>
      <c r="S131" s="117">
        <f t="shared" si="12"/>
        <v>2.2587520828841617E-6</v>
      </c>
    </row>
    <row r="132" spans="17:19" x14ac:dyDescent="0.3">
      <c r="Q132" s="5">
        <v>9</v>
      </c>
      <c r="R132" s="118">
        <f t="shared" si="11"/>
        <v>0.12328767123287671</v>
      </c>
      <c r="S132" s="117">
        <f t="shared" si="12"/>
        <v>3.7233595762818781E-7</v>
      </c>
    </row>
    <row r="133" spans="17:19" x14ac:dyDescent="0.3">
      <c r="Q133" s="5">
        <v>10</v>
      </c>
      <c r="R133" s="118">
        <f t="shared" si="11"/>
        <v>0.10410958904109589</v>
      </c>
      <c r="S133" s="117">
        <f t="shared" si="12"/>
        <v>6.0430696932059547E-8</v>
      </c>
    </row>
    <row r="134" spans="17:19" x14ac:dyDescent="0.3">
      <c r="Q134" s="5">
        <v>11</v>
      </c>
      <c r="R134" s="118">
        <f t="shared" si="11"/>
        <v>8.2191780821917804E-2</v>
      </c>
      <c r="S134" s="117">
        <f t="shared" si="12"/>
        <v>9.6855484875928316E-9</v>
      </c>
    </row>
    <row r="135" spans="17:19" x14ac:dyDescent="0.3">
      <c r="Q135" s="5">
        <v>12</v>
      </c>
      <c r="R135" s="118">
        <f t="shared" si="11"/>
        <v>5.7534246575342465E-2</v>
      </c>
      <c r="S135" s="117">
        <f t="shared" si="12"/>
        <v>1.5363341385429766E-9</v>
      </c>
    </row>
    <row r="136" spans="17:19" x14ac:dyDescent="0.3">
      <c r="Q136" s="5">
        <v>13</v>
      </c>
      <c r="R136" s="118">
        <f t="shared" si="11"/>
        <v>4.6575342465753428E-2</v>
      </c>
      <c r="S136" s="117">
        <f t="shared" si="12"/>
        <v>2.4158172285283842E-10</v>
      </c>
    </row>
    <row r="137" spans="17:19" x14ac:dyDescent="0.3">
      <c r="Q137" s="5">
        <v>14</v>
      </c>
      <c r="R137" s="118">
        <f t="shared" si="11"/>
        <v>5.2054794520547946E-2</v>
      </c>
      <c r="S137" s="117">
        <f t="shared" si="12"/>
        <v>3.7706887796835057E-11</v>
      </c>
    </row>
    <row r="138" spans="17:19" x14ac:dyDescent="0.3">
      <c r="Q138" s="5">
        <v>15</v>
      </c>
      <c r="R138" s="118">
        <f t="shared" si="11"/>
        <v>4.1095890410958902E-2</v>
      </c>
      <c r="S138" s="117">
        <f t="shared" si="12"/>
        <v>5.8479072798695064E-12</v>
      </c>
    </row>
    <row r="139" spans="17:19" x14ac:dyDescent="0.3">
      <c r="Q139" s="5">
        <v>16</v>
      </c>
      <c r="R139" s="118">
        <f t="shared" si="11"/>
        <v>3.287671232876712E-2</v>
      </c>
      <c r="S139" s="117">
        <f t="shared" si="12"/>
        <v>9.0190780015082857E-13</v>
      </c>
    </row>
    <row r="140" spans="17:19" x14ac:dyDescent="0.3">
      <c r="Q140" s="5">
        <v>17</v>
      </c>
      <c r="R140" s="118">
        <f t="shared" si="11"/>
        <v>2.7397260273972601E-2</v>
      </c>
      <c r="S140" s="117">
        <f t="shared" si="12"/>
        <v>1.3842007385639698E-13</v>
      </c>
    </row>
    <row r="141" spans="17:19" x14ac:dyDescent="0.3">
      <c r="Q141" s="5">
        <v>18</v>
      </c>
      <c r="R141" s="118">
        <f t="shared" si="11"/>
        <v>2.4657534246575342E-2</v>
      </c>
      <c r="S141" s="117">
        <f t="shared" si="12"/>
        <v>2.1152140208857554E-14</v>
      </c>
    </row>
    <row r="142" spans="17:19" x14ac:dyDescent="0.3">
      <c r="Q142" s="5">
        <v>19</v>
      </c>
      <c r="R142" s="118">
        <f t="shared" si="11"/>
        <v>1.643835616438356E-2</v>
      </c>
      <c r="S142" s="117">
        <f t="shared" si="12"/>
        <v>3.2198189100783557E-15</v>
      </c>
    </row>
    <row r="143" spans="17:19" x14ac:dyDescent="0.3">
      <c r="Q143" s="5">
        <v>20</v>
      </c>
      <c r="R143" s="118">
        <f t="shared" si="11"/>
        <v>8.21917808219178E-3</v>
      </c>
      <c r="S143" s="117">
        <f t="shared" si="12"/>
        <v>4.8843041537266248E-16</v>
      </c>
    </row>
    <row r="144" spans="17:19" x14ac:dyDescent="0.3">
      <c r="Q144" s="5">
        <v>21</v>
      </c>
      <c r="R144" s="118">
        <f t="shared" si="11"/>
        <v>1.3698630136986301E-2</v>
      </c>
      <c r="S144" s="117">
        <f t="shared" si="12"/>
        <v>7.3860983202995739E-17</v>
      </c>
    </row>
    <row r="145" spans="15:19" x14ac:dyDescent="0.3">
      <c r="Q145" s="5">
        <v>22</v>
      </c>
      <c r="R145" s="118">
        <f t="shared" si="11"/>
        <v>1.9178082191780823E-2</v>
      </c>
      <c r="S145" s="117">
        <f t="shared" si="12"/>
        <v>1.1137688757652858E-17</v>
      </c>
    </row>
    <row r="146" spans="15:19" x14ac:dyDescent="0.3">
      <c r="Q146" s="5">
        <v>23</v>
      </c>
      <c r="R146" s="118">
        <f t="shared" si="11"/>
        <v>1.643835616438356E-2</v>
      </c>
      <c r="S146" s="117">
        <f t="shared" si="12"/>
        <v>1.6751445227676234E-18</v>
      </c>
    </row>
    <row r="147" spans="15:19" x14ac:dyDescent="0.3">
      <c r="Q147" s="5">
        <v>24</v>
      </c>
      <c r="R147" s="118">
        <f t="shared" si="11"/>
        <v>1.643835616438356E-2</v>
      </c>
      <c r="S147" s="117">
        <f t="shared" si="12"/>
        <v>2.5135197327397951E-19</v>
      </c>
    </row>
    <row r="148" spans="15:19" x14ac:dyDescent="0.3">
      <c r="Q148" s="5">
        <v>25</v>
      </c>
      <c r="R148" s="118">
        <f t="shared" si="11"/>
        <v>1.3698630136986301E-2</v>
      </c>
      <c r="S148" s="117">
        <f t="shared" si="12"/>
        <v>3.7633015388432496E-20</v>
      </c>
    </row>
    <row r="149" spans="15:19" x14ac:dyDescent="0.3">
      <c r="Q149" s="5">
        <v>26</v>
      </c>
      <c r="R149" s="118">
        <f t="shared" si="11"/>
        <v>5.4794520547945206E-3</v>
      </c>
      <c r="S149" s="117">
        <f t="shared" si="12"/>
        <v>5.6232378359536494E-21</v>
      </c>
    </row>
    <row r="150" spans="15:19" x14ac:dyDescent="0.3">
      <c r="Q150" s="5">
        <v>27</v>
      </c>
      <c r="R150" s="118">
        <f t="shared" si="11"/>
        <v>2.7397260273972603E-3</v>
      </c>
      <c r="S150" s="117">
        <f t="shared" si="12"/>
        <v>8.3868762119147017E-22</v>
      </c>
    </row>
    <row r="151" spans="15:19" x14ac:dyDescent="0.3">
      <c r="Q151" s="5">
        <v>28</v>
      </c>
      <c r="R151" s="118">
        <f t="shared" si="11"/>
        <v>2.7397260273972603E-3</v>
      </c>
      <c r="S151" s="117">
        <f t="shared" si="12"/>
        <v>1.2487308101159182E-22</v>
      </c>
    </row>
    <row r="152" spans="15:19" x14ac:dyDescent="0.3">
      <c r="Q152" s="5">
        <v>29</v>
      </c>
      <c r="R152" s="118">
        <f t="shared" si="11"/>
        <v>5.4794520547945206E-3</v>
      </c>
      <c r="S152" s="117">
        <f t="shared" si="12"/>
        <v>1.8562845317265053E-23</v>
      </c>
    </row>
    <row r="153" spans="15:19" x14ac:dyDescent="0.3">
      <c r="Q153" s="14">
        <v>30</v>
      </c>
      <c r="R153" s="118">
        <f t="shared" si="11"/>
        <v>2.7397260273972603E-3</v>
      </c>
      <c r="S153" s="117">
        <f t="shared" si="12"/>
        <v>2.7553347978302002E-24</v>
      </c>
    </row>
    <row r="156" spans="15:19" x14ac:dyDescent="0.3">
      <c r="O156" s="110"/>
      <c r="P156" s="110"/>
      <c r="Q156" s="110"/>
      <c r="R156" s="110"/>
      <c r="S156" s="110"/>
    </row>
    <row r="157" spans="15:19" x14ac:dyDescent="0.3">
      <c r="O157" s="110"/>
      <c r="P157" s="110"/>
      <c r="Q157" s="110"/>
      <c r="R157" s="110"/>
      <c r="S157" s="110"/>
    </row>
    <row r="158" spans="15:19" x14ac:dyDescent="0.3">
      <c r="O158" s="110"/>
      <c r="P158" s="110"/>
      <c r="Q158" s="110"/>
      <c r="R158" s="110"/>
      <c r="S158" s="110"/>
    </row>
    <row r="159" spans="15:19" x14ac:dyDescent="0.3">
      <c r="O159" s="110"/>
      <c r="P159" s="110"/>
      <c r="Q159" s="110"/>
      <c r="R159" s="110"/>
      <c r="S159" s="110"/>
    </row>
    <row r="160" spans="15:19" x14ac:dyDescent="0.3">
      <c r="O160" s="110"/>
      <c r="P160" s="110"/>
      <c r="Q160" s="110"/>
      <c r="R160" s="110"/>
      <c r="S160" s="110"/>
    </row>
    <row r="161" spans="15:19" ht="40.799999999999997" x14ac:dyDescent="0.85">
      <c r="O161" s="110"/>
      <c r="P161" s="116" t="s">
        <v>184</v>
      </c>
      <c r="Q161" s="110"/>
      <c r="R161" s="110"/>
      <c r="S161" s="110"/>
    </row>
  </sheetData>
  <mergeCells count="23">
    <mergeCell ref="Q122:S122"/>
    <mergeCell ref="C40:C44"/>
    <mergeCell ref="H39:H44"/>
    <mergeCell ref="H45:H50"/>
    <mergeCell ref="H51:H56"/>
    <mergeCell ref="H57:H62"/>
    <mergeCell ref="H63:H68"/>
    <mergeCell ref="C45:C49"/>
    <mergeCell ref="H75:H80"/>
    <mergeCell ref="R84:V84"/>
    <mergeCell ref="R95:V95"/>
    <mergeCell ref="R106:V106"/>
    <mergeCell ref="H38:N38"/>
    <mergeCell ref="C2:E2"/>
    <mergeCell ref="R51:V51"/>
    <mergeCell ref="R62:V62"/>
    <mergeCell ref="R73:V73"/>
    <mergeCell ref="C70:C74"/>
    <mergeCell ref="C50:C54"/>
    <mergeCell ref="C55:C59"/>
    <mergeCell ref="C60:C64"/>
    <mergeCell ref="C65:C69"/>
    <mergeCell ref="H69:H74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340C6-B0CA-4A0D-BDFF-34E8B6E54880}">
  <dimension ref="B2:BS159"/>
  <sheetViews>
    <sheetView topLeftCell="A120" zoomScale="55" zoomScaleNormal="55" workbookViewId="0">
      <selection activeCell="E134" sqref="E134"/>
    </sheetView>
  </sheetViews>
  <sheetFormatPr defaultColWidth="9.88671875" defaultRowHeight="15.6" x14ac:dyDescent="0.3"/>
  <cols>
    <col min="1" max="3" width="9.88671875" style="120"/>
    <col min="4" max="4" width="20.109375" style="120" customWidth="1"/>
    <col min="5" max="5" width="15.21875" style="120" bestFit="1" customWidth="1"/>
    <col min="6" max="6" width="9.88671875" style="120"/>
    <col min="7" max="7" width="12" style="120" bestFit="1" customWidth="1"/>
    <col min="8" max="8" width="9.88671875" style="120"/>
    <col min="9" max="9" width="13.33203125" style="120" bestFit="1" customWidth="1"/>
    <col min="10" max="10" width="9.88671875" style="120"/>
    <col min="11" max="11" width="11" style="120" customWidth="1"/>
    <col min="12" max="12" width="13.21875" style="120" bestFit="1" customWidth="1"/>
    <col min="13" max="13" width="9.88671875" style="120"/>
    <col min="14" max="14" width="21.44140625" style="120" customWidth="1"/>
    <col min="15" max="23" width="9.88671875" style="120"/>
    <col min="24" max="24" width="19.33203125" style="120" customWidth="1"/>
    <col min="25" max="33" width="9.88671875" style="120"/>
    <col min="34" max="34" width="20.88671875" style="120" customWidth="1"/>
    <col min="35" max="43" width="9.88671875" style="120"/>
    <col min="44" max="44" width="20.6640625" style="120" customWidth="1"/>
    <col min="45" max="53" width="9.88671875" style="120"/>
    <col min="54" max="54" width="20.5546875" style="120" customWidth="1"/>
    <col min="55" max="63" width="9.88671875" style="120"/>
    <col min="64" max="64" width="19" style="120" customWidth="1"/>
    <col min="65" max="16384" width="9.88671875" style="120"/>
  </cols>
  <sheetData>
    <row r="2" spans="2:71" ht="17.399999999999999" x14ac:dyDescent="0.3">
      <c r="B2" s="170" t="s">
        <v>249</v>
      </c>
      <c r="C2" s="169"/>
      <c r="D2" s="167" t="s">
        <v>208</v>
      </c>
      <c r="E2" s="167"/>
      <c r="F2" s="167"/>
      <c r="G2" s="167" t="s">
        <v>192</v>
      </c>
      <c r="H2" s="168">
        <f>'[2]Trip Length Frequency'!S106</f>
        <v>11.865155208352226</v>
      </c>
      <c r="I2" s="167"/>
      <c r="J2" s="167"/>
      <c r="K2" s="166"/>
      <c r="L2" s="170" t="s">
        <v>224</v>
      </c>
      <c r="M2" s="169"/>
      <c r="N2" s="167" t="s">
        <v>208</v>
      </c>
      <c r="O2" s="167"/>
      <c r="P2" s="167"/>
      <c r="Q2" s="167" t="s">
        <v>192</v>
      </c>
      <c r="R2" s="168">
        <f>$H$2</f>
        <v>11.865155208352226</v>
      </c>
      <c r="S2" s="167"/>
      <c r="T2" s="167"/>
      <c r="U2" s="166"/>
      <c r="V2" s="170" t="s">
        <v>223</v>
      </c>
      <c r="W2" s="169"/>
      <c r="X2" s="167" t="s">
        <v>208</v>
      </c>
      <c r="Y2" s="167"/>
      <c r="Z2" s="167"/>
      <c r="AA2" s="167" t="s">
        <v>192</v>
      </c>
      <c r="AB2" s="168">
        <f>$H$2</f>
        <v>11.865155208352226</v>
      </c>
      <c r="AC2" s="167"/>
      <c r="AD2" s="167"/>
      <c r="AE2" s="166"/>
      <c r="AF2" s="170" t="s">
        <v>222</v>
      </c>
      <c r="AG2" s="169"/>
      <c r="AH2" s="167" t="s">
        <v>208</v>
      </c>
      <c r="AI2" s="167"/>
      <c r="AJ2" s="167"/>
      <c r="AK2" s="167" t="s">
        <v>192</v>
      </c>
      <c r="AL2" s="168">
        <f>$H$2</f>
        <v>11.865155208352226</v>
      </c>
      <c r="AM2" s="167"/>
      <c r="AN2" s="167"/>
      <c r="AO2" s="166"/>
      <c r="AP2" s="170" t="s">
        <v>221</v>
      </c>
      <c r="AQ2" s="169"/>
      <c r="AR2" s="167" t="s">
        <v>208</v>
      </c>
      <c r="AS2" s="167"/>
      <c r="AT2" s="167"/>
      <c r="AU2" s="167" t="s">
        <v>192</v>
      </c>
      <c r="AV2" s="168">
        <f>$H$2</f>
        <v>11.865155208352226</v>
      </c>
      <c r="AW2" s="167"/>
      <c r="AX2" s="167"/>
      <c r="AY2" s="166"/>
      <c r="AZ2" s="170" t="s">
        <v>220</v>
      </c>
      <c r="BA2" s="169"/>
      <c r="BB2" s="167" t="s">
        <v>208</v>
      </c>
      <c r="BC2" s="167"/>
      <c r="BD2" s="167"/>
      <c r="BE2" s="167" t="s">
        <v>192</v>
      </c>
      <c r="BF2" s="168" t="str">
        <f>'[2]Trip Length Frequency'!BT106</f>
        <v>mean</v>
      </c>
      <c r="BG2" s="167">
        <f>$H$2</f>
        <v>11.865155208352226</v>
      </c>
      <c r="BH2" s="167"/>
      <c r="BI2" s="166"/>
      <c r="BJ2" s="170" t="s">
        <v>219</v>
      </c>
      <c r="BK2" s="169"/>
      <c r="BL2" s="167" t="s">
        <v>208</v>
      </c>
      <c r="BM2" s="167"/>
      <c r="BN2" s="167"/>
      <c r="BO2" s="167" t="s">
        <v>192</v>
      </c>
      <c r="BP2" s="168">
        <f>$H$2</f>
        <v>11.865155208352226</v>
      </c>
      <c r="BQ2" s="167"/>
      <c r="BR2" s="167"/>
      <c r="BS2" s="166"/>
    </row>
    <row r="3" spans="2:71" x14ac:dyDescent="0.3">
      <c r="C3" s="128"/>
      <c r="D3" s="120" t="s">
        <v>193</v>
      </c>
      <c r="E3" s="120">
        <f>'[2]Trip Length Frequency'!S40</f>
        <v>2.25</v>
      </c>
      <c r="K3" s="129"/>
      <c r="M3" s="128"/>
      <c r="N3" s="120" t="s">
        <v>193</v>
      </c>
      <c r="O3" s="120">
        <f>E3</f>
        <v>2.25</v>
      </c>
      <c r="U3" s="129"/>
      <c r="W3" s="128"/>
      <c r="X3" s="120" t="s">
        <v>193</v>
      </c>
      <c r="Y3" s="120">
        <f>E3</f>
        <v>2.25</v>
      </c>
      <c r="AE3" s="129"/>
      <c r="AG3" s="128"/>
      <c r="AH3" s="120" t="s">
        <v>193</v>
      </c>
      <c r="AI3" s="120">
        <f>E3</f>
        <v>2.25</v>
      </c>
      <c r="AO3" s="129"/>
      <c r="AQ3" s="128"/>
      <c r="AR3" s="120" t="s">
        <v>193</v>
      </c>
      <c r="AS3" s="120">
        <f>E3</f>
        <v>2.25</v>
      </c>
      <c r="AY3" s="129"/>
      <c r="BA3" s="128"/>
      <c r="BB3" s="120" t="s">
        <v>193</v>
      </c>
      <c r="BC3" s="120">
        <f>E3</f>
        <v>2.25</v>
      </c>
      <c r="BI3" s="129"/>
      <c r="BK3" s="128"/>
      <c r="BL3" s="120" t="s">
        <v>193</v>
      </c>
      <c r="BM3" s="120">
        <f>E3</f>
        <v>2.25</v>
      </c>
      <c r="BS3" s="129"/>
    </row>
    <row r="4" spans="2:71" x14ac:dyDescent="0.3">
      <c r="C4" s="128"/>
      <c r="D4" s="120" t="s">
        <v>190</v>
      </c>
      <c r="E4" s="120">
        <f>'[2]Trip Length Frequency'!S39</f>
        <v>0.61499999999999999</v>
      </c>
      <c r="K4" s="129"/>
      <c r="M4" s="128"/>
      <c r="N4" s="120" t="s">
        <v>190</v>
      </c>
      <c r="O4" s="120">
        <f>E4</f>
        <v>0.61499999999999999</v>
      </c>
      <c r="U4" s="129"/>
      <c r="W4" s="128"/>
      <c r="X4" s="120" t="s">
        <v>190</v>
      </c>
      <c r="Y4" s="120">
        <f>E4</f>
        <v>0.61499999999999999</v>
      </c>
      <c r="AE4" s="129"/>
      <c r="AG4" s="128"/>
      <c r="AH4" s="120" t="s">
        <v>190</v>
      </c>
      <c r="AI4" s="120">
        <f>E4</f>
        <v>0.61499999999999999</v>
      </c>
      <c r="AO4" s="129"/>
      <c r="AQ4" s="128"/>
      <c r="AR4" s="120" t="s">
        <v>190</v>
      </c>
      <c r="AS4" s="120">
        <f>E4</f>
        <v>0.61499999999999999</v>
      </c>
      <c r="AY4" s="129"/>
      <c r="BA4" s="128"/>
      <c r="BB4" s="120" t="s">
        <v>190</v>
      </c>
      <c r="BC4" s="120">
        <f>E4</f>
        <v>0.61499999999999999</v>
      </c>
      <c r="BI4" s="129"/>
      <c r="BK4" s="128"/>
      <c r="BL4" s="120" t="s">
        <v>190</v>
      </c>
      <c r="BM4" s="120">
        <f>E4</f>
        <v>0.61499999999999999</v>
      </c>
      <c r="BS4" s="129"/>
    </row>
    <row r="5" spans="2:71" x14ac:dyDescent="0.3">
      <c r="C5" s="128"/>
      <c r="D5" s="120" t="s">
        <v>207</v>
      </c>
      <c r="K5" s="129"/>
      <c r="M5" s="128"/>
      <c r="N5" s="120" t="s">
        <v>207</v>
      </c>
      <c r="U5" s="129"/>
      <c r="W5" s="128"/>
      <c r="X5" s="120" t="s">
        <v>207</v>
      </c>
      <c r="AE5" s="129"/>
      <c r="AG5" s="128"/>
      <c r="AH5" s="120" t="s">
        <v>207</v>
      </c>
      <c r="AO5" s="129"/>
      <c r="AQ5" s="128"/>
      <c r="AR5" s="120" t="s">
        <v>207</v>
      </c>
      <c r="AY5" s="129"/>
      <c r="BA5" s="128"/>
      <c r="BB5" s="120" t="s">
        <v>207</v>
      </c>
      <c r="BI5" s="129"/>
      <c r="BK5" s="128"/>
      <c r="BL5" s="120" t="s">
        <v>207</v>
      </c>
      <c r="BS5" s="129"/>
    </row>
    <row r="6" spans="2:71" x14ac:dyDescent="0.3">
      <c r="C6" s="128"/>
      <c r="D6" s="131" t="s">
        <v>199</v>
      </c>
      <c r="E6" s="134" t="s">
        <v>11</v>
      </c>
      <c r="F6" s="134" t="s">
        <v>12</v>
      </c>
      <c r="G6" s="134" t="s">
        <v>13</v>
      </c>
      <c r="H6" s="133" t="s">
        <v>14</v>
      </c>
      <c r="K6" s="129"/>
      <c r="M6" s="128"/>
      <c r="N6" s="131" t="s">
        <v>199</v>
      </c>
      <c r="O6" s="134" t="s">
        <v>11</v>
      </c>
      <c r="P6" s="134" t="s">
        <v>12</v>
      </c>
      <c r="Q6" s="134" t="s">
        <v>13</v>
      </c>
      <c r="R6" s="133" t="s">
        <v>14</v>
      </c>
      <c r="U6" s="129"/>
      <c r="W6" s="128"/>
      <c r="X6" s="131" t="s">
        <v>199</v>
      </c>
      <c r="Y6" s="134" t="s">
        <v>11</v>
      </c>
      <c r="Z6" s="134" t="s">
        <v>12</v>
      </c>
      <c r="AA6" s="134" t="s">
        <v>13</v>
      </c>
      <c r="AB6" s="133" t="s">
        <v>14</v>
      </c>
      <c r="AE6" s="129"/>
      <c r="AG6" s="128"/>
      <c r="AH6" s="131" t="s">
        <v>199</v>
      </c>
      <c r="AI6" s="134" t="s">
        <v>11</v>
      </c>
      <c r="AJ6" s="134" t="s">
        <v>12</v>
      </c>
      <c r="AK6" s="134" t="s">
        <v>13</v>
      </c>
      <c r="AL6" s="133" t="s">
        <v>14</v>
      </c>
      <c r="AO6" s="129"/>
      <c r="AQ6" s="128"/>
      <c r="AR6" s="131" t="s">
        <v>199</v>
      </c>
      <c r="AS6" s="134" t="s">
        <v>11</v>
      </c>
      <c r="AT6" s="134" t="s">
        <v>12</v>
      </c>
      <c r="AU6" s="134" t="s">
        <v>13</v>
      </c>
      <c r="AV6" s="133" t="s">
        <v>14</v>
      </c>
      <c r="AY6" s="129"/>
      <c r="BA6" s="128"/>
      <c r="BB6" s="131" t="s">
        <v>199</v>
      </c>
      <c r="BC6" s="134" t="s">
        <v>11</v>
      </c>
      <c r="BD6" s="134" t="s">
        <v>12</v>
      </c>
      <c r="BE6" s="134" t="s">
        <v>13</v>
      </c>
      <c r="BF6" s="133" t="s">
        <v>14</v>
      </c>
      <c r="BI6" s="129"/>
      <c r="BK6" s="128"/>
      <c r="BL6" s="131" t="s">
        <v>199</v>
      </c>
      <c r="BM6" s="134" t="s">
        <v>11</v>
      </c>
      <c r="BN6" s="134" t="s">
        <v>12</v>
      </c>
      <c r="BO6" s="134" t="s">
        <v>13</v>
      </c>
      <c r="BP6" s="133" t="s">
        <v>14</v>
      </c>
      <c r="BS6" s="129"/>
    </row>
    <row r="7" spans="2:71" x14ac:dyDescent="0.3">
      <c r="C7" s="128"/>
      <c r="D7" s="4" t="s">
        <v>11</v>
      </c>
      <c r="E7" s="132">
        <f>'Trip Length Frequency'!S44</f>
        <v>5.8479072798695064E-12</v>
      </c>
      <c r="F7" s="132">
        <f>'Trip Length Frequency'!T44</f>
        <v>0</v>
      </c>
      <c r="G7" s="132">
        <f>'Trip Length Frequency'!U44</f>
        <v>2.2821851149929744E-11</v>
      </c>
      <c r="H7" s="132">
        <f>'Trip Length Frequency'!V44</f>
        <v>1.0287054504550107E-11</v>
      </c>
      <c r="I7" s="120">
        <f>SUMPRODUCT(E18:H18,E7:H7)</f>
        <v>4.744049742679996E-8</v>
      </c>
      <c r="K7" s="129"/>
      <c r="M7" s="128"/>
      <c r="N7" s="4" t="s">
        <v>11</v>
      </c>
      <c r="O7" s="132">
        <f t="shared" ref="O7:R10" si="0">E7</f>
        <v>5.8479072798695064E-12</v>
      </c>
      <c r="P7" s="132">
        <f t="shared" si="0"/>
        <v>0</v>
      </c>
      <c r="Q7" s="132">
        <f t="shared" si="0"/>
        <v>2.2821851149929744E-11</v>
      </c>
      <c r="R7" s="132">
        <f t="shared" si="0"/>
        <v>1.0287054504550107E-11</v>
      </c>
      <c r="S7" s="120">
        <f>SUMPRODUCT(O18:R18,O7:R7)</f>
        <v>6.9587157663844139E-8</v>
      </c>
      <c r="U7" s="129"/>
      <c r="W7" s="128"/>
      <c r="X7" s="4" t="s">
        <v>11</v>
      </c>
      <c r="Y7" s="132">
        <f t="shared" ref="Y7:AB10" si="1">E7</f>
        <v>5.8479072798695064E-12</v>
      </c>
      <c r="Z7" s="132">
        <f t="shared" si="1"/>
        <v>0</v>
      </c>
      <c r="AA7" s="132">
        <f t="shared" si="1"/>
        <v>2.2821851149929744E-11</v>
      </c>
      <c r="AB7" s="132">
        <f t="shared" si="1"/>
        <v>1.0287054504550107E-11</v>
      </c>
      <c r="AC7" s="120">
        <f>SUMPRODUCT(Y18:AB18,Y7:AB7)</f>
        <v>6.9587157663844139E-8</v>
      </c>
      <c r="AE7" s="129"/>
      <c r="AG7" s="128"/>
      <c r="AH7" s="4" t="s">
        <v>11</v>
      </c>
      <c r="AI7" s="132">
        <f t="shared" ref="AI7:AL10" si="2">E7</f>
        <v>5.8479072798695064E-12</v>
      </c>
      <c r="AJ7" s="132">
        <f t="shared" si="2"/>
        <v>0</v>
      </c>
      <c r="AK7" s="132">
        <f t="shared" si="2"/>
        <v>2.2821851149929744E-11</v>
      </c>
      <c r="AL7" s="132">
        <f t="shared" si="2"/>
        <v>1.0287054504550107E-11</v>
      </c>
      <c r="AM7" s="120">
        <f>SUMPRODUCT(AI18:AL18,AI7:AL7)</f>
        <v>7.8828087979827193E-8</v>
      </c>
      <c r="AO7" s="129"/>
      <c r="AQ7" s="128"/>
      <c r="AR7" s="4" t="s">
        <v>11</v>
      </c>
      <c r="AS7" s="132">
        <f t="shared" ref="AS7:AV10" si="3">E7</f>
        <v>5.8479072798695064E-12</v>
      </c>
      <c r="AT7" s="132">
        <f t="shared" si="3"/>
        <v>0</v>
      </c>
      <c r="AU7" s="132">
        <f t="shared" si="3"/>
        <v>2.2821851149929744E-11</v>
      </c>
      <c r="AV7" s="132">
        <f t="shared" si="3"/>
        <v>1.0287054504550107E-11</v>
      </c>
      <c r="AW7" s="120">
        <f>SUMPRODUCT(AS18:AV18,AS7:AV7)</f>
        <v>8.3977563868592572E-8</v>
      </c>
      <c r="AY7" s="129"/>
      <c r="BA7" s="128"/>
      <c r="BB7" s="4" t="s">
        <v>11</v>
      </c>
      <c r="BC7" s="132">
        <f t="shared" ref="BC7:BF10" si="4">E7</f>
        <v>5.8479072798695064E-12</v>
      </c>
      <c r="BD7" s="132">
        <f t="shared" si="4"/>
        <v>0</v>
      </c>
      <c r="BE7" s="132">
        <f t="shared" si="4"/>
        <v>2.2821851149929744E-11</v>
      </c>
      <c r="BF7" s="132">
        <f t="shared" si="4"/>
        <v>1.0287054504550107E-11</v>
      </c>
      <c r="BG7" s="120">
        <f>SUMPRODUCT(BC18:BF18,BC7:BF7)</f>
        <v>8.9515584289577224E-8</v>
      </c>
      <c r="BI7" s="129"/>
      <c r="BK7" s="128"/>
      <c r="BL7" s="4" t="s">
        <v>11</v>
      </c>
      <c r="BM7" s="132">
        <f t="shared" ref="BM7:BP10" si="5">E7</f>
        <v>5.8479072798695064E-12</v>
      </c>
      <c r="BN7" s="132">
        <f t="shared" si="5"/>
        <v>0</v>
      </c>
      <c r="BO7" s="132">
        <f t="shared" si="5"/>
        <v>2.2821851149929744E-11</v>
      </c>
      <c r="BP7" s="132">
        <f t="shared" si="5"/>
        <v>1.0287054504550107E-11</v>
      </c>
      <c r="BQ7" s="120">
        <f>SUMPRODUCT(BM18:BP18,BM7:BP7)</f>
        <v>1.0124981041854824E-7</v>
      </c>
      <c r="BS7" s="129"/>
    </row>
    <row r="8" spans="2:71" x14ac:dyDescent="0.3">
      <c r="C8" s="128"/>
      <c r="D8" s="4" t="s">
        <v>12</v>
      </c>
      <c r="E8" s="132">
        <f>'Trip Length Frequency'!S45</f>
        <v>0</v>
      </c>
      <c r="F8" s="132">
        <f>'Trip Length Frequency'!T45</f>
        <v>5.8479072798695064E-12</v>
      </c>
      <c r="G8" s="132">
        <f>'Trip Length Frequency'!U45</f>
        <v>2.5561552358107245E-11</v>
      </c>
      <c r="H8" s="132">
        <f>'Trip Length Frequency'!V45</f>
        <v>1.3310596907723133E-11</v>
      </c>
      <c r="I8" s="120">
        <f>SUMPRODUCT(E18:H18,E8:H8)</f>
        <v>5.3678227482934752E-8</v>
      </c>
      <c r="K8" s="129"/>
      <c r="M8" s="128"/>
      <c r="N8" s="4" t="s">
        <v>12</v>
      </c>
      <c r="O8" s="132">
        <f t="shared" si="0"/>
        <v>0</v>
      </c>
      <c r="P8" s="132">
        <f t="shared" si="0"/>
        <v>5.8479072798695064E-12</v>
      </c>
      <c r="Q8" s="132">
        <f t="shared" si="0"/>
        <v>2.5561552358107245E-11</v>
      </c>
      <c r="R8" s="132">
        <f t="shared" si="0"/>
        <v>1.3310596907723133E-11</v>
      </c>
      <c r="S8" s="120">
        <f>SUMPRODUCT(O18:R18,O8:R8)</f>
        <v>8.2079896204962026E-8</v>
      </c>
      <c r="U8" s="129"/>
      <c r="W8" s="128"/>
      <c r="X8" s="4" t="s">
        <v>12</v>
      </c>
      <c r="Y8" s="132">
        <f t="shared" si="1"/>
        <v>0</v>
      </c>
      <c r="Z8" s="132">
        <f t="shared" si="1"/>
        <v>5.8479072798695064E-12</v>
      </c>
      <c r="AA8" s="132">
        <f t="shared" si="1"/>
        <v>2.5561552358107245E-11</v>
      </c>
      <c r="AB8" s="132">
        <f t="shared" si="1"/>
        <v>1.3310596907723133E-11</v>
      </c>
      <c r="AC8" s="120">
        <f>SUMPRODUCT(Y18:AB18,Y8:AB8)</f>
        <v>8.2079896204962026E-8</v>
      </c>
      <c r="AE8" s="129"/>
      <c r="AG8" s="128"/>
      <c r="AH8" s="4" t="s">
        <v>12</v>
      </c>
      <c r="AI8" s="132">
        <f t="shared" si="2"/>
        <v>0</v>
      </c>
      <c r="AJ8" s="132">
        <f t="shared" si="2"/>
        <v>5.8479072798695064E-12</v>
      </c>
      <c r="AK8" s="132">
        <f t="shared" si="2"/>
        <v>2.5561552358107245E-11</v>
      </c>
      <c r="AL8" s="132">
        <f t="shared" si="2"/>
        <v>1.3310596907723133E-11</v>
      </c>
      <c r="AM8" s="120">
        <f>SUMPRODUCT(AI18:AL18,AI8:AL8)</f>
        <v>9.3008157755809612E-8</v>
      </c>
      <c r="AO8" s="129"/>
      <c r="AQ8" s="128"/>
      <c r="AR8" s="4" t="s">
        <v>12</v>
      </c>
      <c r="AS8" s="132">
        <f t="shared" si="3"/>
        <v>0</v>
      </c>
      <c r="AT8" s="132">
        <f t="shared" si="3"/>
        <v>5.8479072798695064E-12</v>
      </c>
      <c r="AU8" s="132">
        <f t="shared" si="3"/>
        <v>2.5561552358107245E-11</v>
      </c>
      <c r="AV8" s="132">
        <f t="shared" si="3"/>
        <v>1.3310596907723133E-11</v>
      </c>
      <c r="AW8" s="120">
        <f>SUMPRODUCT(AS18:AV18,AS8:AV8)</f>
        <v>9.9097683268315785E-8</v>
      </c>
      <c r="AY8" s="129"/>
      <c r="BA8" s="128"/>
      <c r="BB8" s="4" t="s">
        <v>12</v>
      </c>
      <c r="BC8" s="132">
        <f t="shared" si="4"/>
        <v>0</v>
      </c>
      <c r="BD8" s="132">
        <f t="shared" si="4"/>
        <v>5.8479072798695064E-12</v>
      </c>
      <c r="BE8" s="132">
        <f t="shared" si="4"/>
        <v>2.5561552358107245E-11</v>
      </c>
      <c r="BF8" s="132">
        <f t="shared" si="4"/>
        <v>1.3310596907723133E-11</v>
      </c>
      <c r="BG8" s="120">
        <f>SUMPRODUCT(BC18:BF18,BC8:BF8)</f>
        <v>1.0564653859708362E-7</v>
      </c>
      <c r="BI8" s="129"/>
      <c r="BK8" s="128"/>
      <c r="BL8" s="4" t="s">
        <v>12</v>
      </c>
      <c r="BM8" s="132">
        <f t="shared" si="5"/>
        <v>0</v>
      </c>
      <c r="BN8" s="132">
        <f t="shared" si="5"/>
        <v>5.8479072798695064E-12</v>
      </c>
      <c r="BO8" s="132">
        <f t="shared" si="5"/>
        <v>2.5561552358107245E-11</v>
      </c>
      <c r="BP8" s="132">
        <f t="shared" si="5"/>
        <v>1.3310596907723133E-11</v>
      </c>
      <c r="BQ8" s="120">
        <f>SUMPRODUCT(BM18:BP18,BM8:BP8)</f>
        <v>1.1950982150832793E-7</v>
      </c>
      <c r="BS8" s="129"/>
    </row>
    <row r="9" spans="2:71" x14ac:dyDescent="0.3">
      <c r="C9" s="128"/>
      <c r="D9" s="4" t="s">
        <v>13</v>
      </c>
      <c r="E9" s="132">
        <f>'Trip Length Frequency'!S46</f>
        <v>5.7981838965596981E-12</v>
      </c>
      <c r="F9" s="132">
        <f>'Trip Length Frequency'!T46</f>
        <v>1.4959335996332265E-11</v>
      </c>
      <c r="G9" s="132">
        <f>'Trip Length Frequency'!U46</f>
        <v>5.8479072798695064E-12</v>
      </c>
      <c r="H9" s="132">
        <f>'Trip Length Frequency'!V46</f>
        <v>0</v>
      </c>
      <c r="I9" s="120">
        <f>SUMPRODUCT(E18:H18,E9:H9)</f>
        <v>4.8716610053410986E-8</v>
      </c>
      <c r="K9" s="129"/>
      <c r="M9" s="128"/>
      <c r="N9" s="4" t="s">
        <v>13</v>
      </c>
      <c r="O9" s="132">
        <f t="shared" si="0"/>
        <v>5.7981838965596981E-12</v>
      </c>
      <c r="P9" s="132">
        <f t="shared" si="0"/>
        <v>1.4959335996332265E-11</v>
      </c>
      <c r="Q9" s="132">
        <f t="shared" si="0"/>
        <v>5.8479072798695064E-12</v>
      </c>
      <c r="R9" s="132">
        <f t="shared" si="0"/>
        <v>0</v>
      </c>
      <c r="S9" s="120">
        <f>SUMPRODUCT(O18:R18,O9:R9)</f>
        <v>4.3724638875197997E-8</v>
      </c>
      <c r="U9" s="129"/>
      <c r="W9" s="128"/>
      <c r="X9" s="4" t="s">
        <v>13</v>
      </c>
      <c r="Y9" s="132">
        <f t="shared" si="1"/>
        <v>5.7981838965596981E-12</v>
      </c>
      <c r="Z9" s="132">
        <f t="shared" si="1"/>
        <v>1.4959335996332265E-11</v>
      </c>
      <c r="AA9" s="132">
        <f t="shared" si="1"/>
        <v>5.8479072798695064E-12</v>
      </c>
      <c r="AB9" s="132">
        <f t="shared" si="1"/>
        <v>0</v>
      </c>
      <c r="AC9" s="120">
        <f>SUMPRODUCT(Y18:AB18,Y9:AB9)</f>
        <v>4.3724638875197997E-8</v>
      </c>
      <c r="AE9" s="129"/>
      <c r="AG9" s="128"/>
      <c r="AH9" s="4" t="s">
        <v>13</v>
      </c>
      <c r="AI9" s="132">
        <f t="shared" si="2"/>
        <v>5.7981838965596981E-12</v>
      </c>
      <c r="AJ9" s="132">
        <f t="shared" si="2"/>
        <v>1.4959335996332265E-11</v>
      </c>
      <c r="AK9" s="132">
        <f t="shared" si="2"/>
        <v>5.8479072798695064E-12</v>
      </c>
      <c r="AL9" s="132">
        <f t="shared" si="2"/>
        <v>0</v>
      </c>
      <c r="AM9" s="120">
        <f>SUMPRODUCT(AI18:AL18,AI9:AL9)</f>
        <v>4.9567486057534262E-8</v>
      </c>
      <c r="AO9" s="129"/>
      <c r="AQ9" s="128"/>
      <c r="AR9" s="4" t="s">
        <v>13</v>
      </c>
      <c r="AS9" s="132">
        <f t="shared" si="3"/>
        <v>5.7981838965596981E-12</v>
      </c>
      <c r="AT9" s="132">
        <f t="shared" si="3"/>
        <v>1.4959335996332265E-11</v>
      </c>
      <c r="AU9" s="132">
        <f t="shared" si="3"/>
        <v>5.8479072798695064E-12</v>
      </c>
      <c r="AV9" s="132">
        <f t="shared" si="3"/>
        <v>0</v>
      </c>
      <c r="AW9" s="120">
        <f>SUMPRODUCT(AS18:AV18,AS9:AV9)</f>
        <v>5.2828042499074858E-8</v>
      </c>
      <c r="AY9" s="129"/>
      <c r="BA9" s="128"/>
      <c r="BB9" s="4" t="s">
        <v>13</v>
      </c>
      <c r="BC9" s="132">
        <f t="shared" si="4"/>
        <v>5.7981838965596981E-12</v>
      </c>
      <c r="BD9" s="132">
        <f t="shared" si="4"/>
        <v>1.4959335996332265E-11</v>
      </c>
      <c r="BE9" s="132">
        <f t="shared" si="4"/>
        <v>5.8479072798695064E-12</v>
      </c>
      <c r="BF9" s="132">
        <f t="shared" si="4"/>
        <v>0</v>
      </c>
      <c r="BG9" s="120">
        <f>SUMPRODUCT(BC18:BF18,BC9:BF9)</f>
        <v>5.6338003141076258E-8</v>
      </c>
      <c r="BI9" s="129"/>
      <c r="BK9" s="128"/>
      <c r="BL9" s="4" t="s">
        <v>13</v>
      </c>
      <c r="BM9" s="132">
        <f t="shared" si="5"/>
        <v>5.7981838965596981E-12</v>
      </c>
      <c r="BN9" s="132">
        <f t="shared" si="5"/>
        <v>1.4959335996332265E-11</v>
      </c>
      <c r="BO9" s="132">
        <f t="shared" si="5"/>
        <v>5.8479072798695064E-12</v>
      </c>
      <c r="BP9" s="132">
        <f t="shared" si="5"/>
        <v>0</v>
      </c>
      <c r="BQ9" s="120">
        <f>SUMPRODUCT(BM18:BP18,BM9:BP9)</f>
        <v>6.3754960283808584E-8</v>
      </c>
      <c r="BS9" s="129"/>
    </row>
    <row r="10" spans="2:71" x14ac:dyDescent="0.3">
      <c r="C10" s="128"/>
      <c r="D10" s="4" t="s">
        <v>14</v>
      </c>
      <c r="E10" s="132">
        <f>'Trip Length Frequency'!S47</f>
        <v>2.6089044688989804E-12</v>
      </c>
      <c r="F10" s="132">
        <f>'Trip Length Frequency'!T47</f>
        <v>6.7391551243639047E-12</v>
      </c>
      <c r="G10" s="132">
        <f>'Trip Length Frequency'!U47</f>
        <v>0</v>
      </c>
      <c r="H10" s="132">
        <f>'Trip Length Frequency'!V47</f>
        <v>5.8479072798695064E-12</v>
      </c>
      <c r="I10" s="120">
        <f>SUMPRODUCT(E18:H18,E10:H10)</f>
        <v>2.5643003432284328E-8</v>
      </c>
      <c r="K10" s="129"/>
      <c r="M10" s="128"/>
      <c r="N10" s="4" t="s">
        <v>14</v>
      </c>
      <c r="O10" s="132">
        <f t="shared" si="0"/>
        <v>2.6089044688989804E-12</v>
      </c>
      <c r="P10" s="132">
        <f t="shared" si="0"/>
        <v>6.7391551243639047E-12</v>
      </c>
      <c r="Q10" s="132">
        <f t="shared" si="0"/>
        <v>0</v>
      </c>
      <c r="R10" s="132">
        <f t="shared" si="0"/>
        <v>5.8479072798695064E-12</v>
      </c>
      <c r="S10" s="120">
        <f>SUMPRODUCT(O18:R18,O10:R10)</f>
        <v>2.4903919649990816E-8</v>
      </c>
      <c r="U10" s="129"/>
      <c r="W10" s="128"/>
      <c r="X10" s="4" t="s">
        <v>14</v>
      </c>
      <c r="Y10" s="132">
        <f t="shared" si="1"/>
        <v>2.6089044688989804E-12</v>
      </c>
      <c r="Z10" s="132">
        <f t="shared" si="1"/>
        <v>6.7391551243639047E-12</v>
      </c>
      <c r="AA10" s="132">
        <f t="shared" si="1"/>
        <v>0</v>
      </c>
      <c r="AB10" s="132">
        <f t="shared" si="1"/>
        <v>5.8479072798695064E-12</v>
      </c>
      <c r="AC10" s="120">
        <f>SUMPRODUCT(Y18:AB18,Y10:AB10)</f>
        <v>2.4903919649990816E-8</v>
      </c>
      <c r="AE10" s="129"/>
      <c r="AG10" s="128"/>
      <c r="AH10" s="4" t="s">
        <v>14</v>
      </c>
      <c r="AI10" s="132">
        <f t="shared" si="2"/>
        <v>2.6089044688989804E-12</v>
      </c>
      <c r="AJ10" s="132">
        <f t="shared" si="2"/>
        <v>6.7391551243639047E-12</v>
      </c>
      <c r="AK10" s="132">
        <f t="shared" si="2"/>
        <v>0</v>
      </c>
      <c r="AL10" s="132">
        <f t="shared" si="2"/>
        <v>5.8479072798695064E-12</v>
      </c>
      <c r="AM10" s="120">
        <f>SUMPRODUCT(AI18:AL18,AI10:AL10)</f>
        <v>2.823791166029601E-8</v>
      </c>
      <c r="AO10" s="129"/>
      <c r="AQ10" s="128"/>
      <c r="AR10" s="4" t="s">
        <v>14</v>
      </c>
      <c r="AS10" s="132">
        <f t="shared" si="3"/>
        <v>2.6089044688989804E-12</v>
      </c>
      <c r="AT10" s="132">
        <f t="shared" si="3"/>
        <v>6.7391551243639047E-12</v>
      </c>
      <c r="AU10" s="132">
        <f t="shared" si="3"/>
        <v>0</v>
      </c>
      <c r="AV10" s="132">
        <f t="shared" si="3"/>
        <v>5.8479072798695064E-12</v>
      </c>
      <c r="AW10" s="120">
        <f>SUMPRODUCT(AS18:AV18,AS10:AV10)</f>
        <v>3.0098476236805281E-8</v>
      </c>
      <c r="AY10" s="129"/>
      <c r="BA10" s="128"/>
      <c r="BB10" s="4" t="s">
        <v>14</v>
      </c>
      <c r="BC10" s="132">
        <f t="shared" si="4"/>
        <v>2.6089044688989804E-12</v>
      </c>
      <c r="BD10" s="132">
        <f t="shared" si="4"/>
        <v>6.7391551243639047E-12</v>
      </c>
      <c r="BE10" s="132">
        <f t="shared" si="4"/>
        <v>0</v>
      </c>
      <c r="BF10" s="132">
        <f t="shared" si="4"/>
        <v>5.8479072798695064E-12</v>
      </c>
      <c r="BG10" s="120">
        <f>SUMPRODUCT(BC18:BF18,BC10:BF10)</f>
        <v>3.2101387381900162E-8</v>
      </c>
      <c r="BI10" s="129"/>
      <c r="BK10" s="128"/>
      <c r="BL10" s="4" t="s">
        <v>14</v>
      </c>
      <c r="BM10" s="132">
        <f t="shared" si="5"/>
        <v>2.6089044688989804E-12</v>
      </c>
      <c r="BN10" s="132">
        <f t="shared" si="5"/>
        <v>6.7391551243639047E-12</v>
      </c>
      <c r="BO10" s="132">
        <f t="shared" si="5"/>
        <v>0</v>
      </c>
      <c r="BP10" s="132">
        <f t="shared" si="5"/>
        <v>5.8479072798695064E-12</v>
      </c>
      <c r="BQ10" s="120">
        <f>SUMPRODUCT(BM18:BP18,BM10:BP10)</f>
        <v>3.6330945029236085E-8</v>
      </c>
      <c r="BS10" s="129"/>
    </row>
    <row r="11" spans="2:71" x14ac:dyDescent="0.3">
      <c r="C11" s="128"/>
      <c r="K11" s="129"/>
      <c r="M11" s="128"/>
      <c r="U11" s="129"/>
      <c r="W11" s="128"/>
      <c r="AE11" s="129"/>
      <c r="AG11" s="128"/>
      <c r="AO11" s="129"/>
      <c r="AQ11" s="128"/>
      <c r="AY11" s="129"/>
      <c r="BA11" s="128"/>
      <c r="BI11" s="129"/>
      <c r="BK11" s="128"/>
      <c r="BS11" s="129"/>
    </row>
    <row r="12" spans="2:71" x14ac:dyDescent="0.3">
      <c r="C12" s="128" t="s">
        <v>205</v>
      </c>
      <c r="K12" s="129"/>
      <c r="M12" s="128" t="s">
        <v>205</v>
      </c>
      <c r="U12" s="129"/>
      <c r="W12" s="128" t="s">
        <v>205</v>
      </c>
      <c r="AE12" s="129"/>
      <c r="AG12" s="128" t="s">
        <v>205</v>
      </c>
      <c r="AO12" s="129"/>
      <c r="AQ12" s="128" t="s">
        <v>205</v>
      </c>
      <c r="AY12" s="129"/>
      <c r="BA12" s="128" t="s">
        <v>205</v>
      </c>
      <c r="BI12" s="129"/>
      <c r="BK12" s="128" t="s">
        <v>205</v>
      </c>
      <c r="BS12" s="129"/>
    </row>
    <row r="13" spans="2:71" x14ac:dyDescent="0.3">
      <c r="C13" s="128"/>
      <c r="D13" s="131" t="s">
        <v>199</v>
      </c>
      <c r="E13" s="4" t="s">
        <v>11</v>
      </c>
      <c r="F13" s="4" t="s">
        <v>12</v>
      </c>
      <c r="G13" s="4" t="s">
        <v>13</v>
      </c>
      <c r="H13" s="4" t="s">
        <v>14</v>
      </c>
      <c r="I13" s="120" t="s">
        <v>198</v>
      </c>
      <c r="J13" s="120" t="s">
        <v>197</v>
      </c>
      <c r="K13" s="129" t="s">
        <v>194</v>
      </c>
      <c r="M13" s="128"/>
      <c r="N13" s="131" t="s">
        <v>199</v>
      </c>
      <c r="O13" s="4" t="s">
        <v>11</v>
      </c>
      <c r="P13" s="4" t="s">
        <v>12</v>
      </c>
      <c r="Q13" s="4" t="s">
        <v>13</v>
      </c>
      <c r="R13" s="4" t="s">
        <v>14</v>
      </c>
      <c r="S13" s="120" t="s">
        <v>198</v>
      </c>
      <c r="T13" s="120" t="s">
        <v>197</v>
      </c>
      <c r="U13" s="129" t="s">
        <v>194</v>
      </c>
      <c r="W13" s="128"/>
      <c r="X13" s="131" t="s">
        <v>199</v>
      </c>
      <c r="Y13" s="4" t="s">
        <v>11</v>
      </c>
      <c r="Z13" s="4" t="s">
        <v>12</v>
      </c>
      <c r="AA13" s="4" t="s">
        <v>13</v>
      </c>
      <c r="AB13" s="4" t="s">
        <v>14</v>
      </c>
      <c r="AC13" s="120" t="s">
        <v>198</v>
      </c>
      <c r="AD13" s="120" t="s">
        <v>197</v>
      </c>
      <c r="AE13" s="129" t="s">
        <v>194</v>
      </c>
      <c r="AG13" s="128"/>
      <c r="AH13" s="131" t="s">
        <v>199</v>
      </c>
      <c r="AI13" s="4" t="s">
        <v>11</v>
      </c>
      <c r="AJ13" s="4" t="s">
        <v>12</v>
      </c>
      <c r="AK13" s="4" t="s">
        <v>13</v>
      </c>
      <c r="AL13" s="4" t="s">
        <v>14</v>
      </c>
      <c r="AM13" s="120" t="s">
        <v>198</v>
      </c>
      <c r="AN13" s="120" t="s">
        <v>197</v>
      </c>
      <c r="AO13" s="129" t="s">
        <v>194</v>
      </c>
      <c r="AQ13" s="128"/>
      <c r="AR13" s="131" t="s">
        <v>199</v>
      </c>
      <c r="AS13" s="4" t="s">
        <v>11</v>
      </c>
      <c r="AT13" s="4" t="s">
        <v>12</v>
      </c>
      <c r="AU13" s="4" t="s">
        <v>13</v>
      </c>
      <c r="AV13" s="4" t="s">
        <v>14</v>
      </c>
      <c r="AW13" s="120" t="s">
        <v>198</v>
      </c>
      <c r="AX13" s="120" t="s">
        <v>197</v>
      </c>
      <c r="AY13" s="129" t="s">
        <v>194</v>
      </c>
      <c r="BA13" s="128"/>
      <c r="BB13" s="131" t="s">
        <v>199</v>
      </c>
      <c r="BC13" s="4" t="s">
        <v>11</v>
      </c>
      <c r="BD13" s="4" t="s">
        <v>12</v>
      </c>
      <c r="BE13" s="4" t="s">
        <v>13</v>
      </c>
      <c r="BF13" s="4" t="s">
        <v>14</v>
      </c>
      <c r="BG13" s="120" t="s">
        <v>198</v>
      </c>
      <c r="BH13" s="120" t="s">
        <v>197</v>
      </c>
      <c r="BI13" s="129" t="s">
        <v>194</v>
      </c>
      <c r="BK13" s="128"/>
      <c r="BL13" s="131" t="s">
        <v>199</v>
      </c>
      <c r="BM13" s="4" t="s">
        <v>11</v>
      </c>
      <c r="BN13" s="4" t="s">
        <v>12</v>
      </c>
      <c r="BO13" s="4" t="s">
        <v>13</v>
      </c>
      <c r="BP13" s="4" t="s">
        <v>14</v>
      </c>
      <c r="BQ13" s="120" t="s">
        <v>198</v>
      </c>
      <c r="BR13" s="120" t="s">
        <v>197</v>
      </c>
      <c r="BS13" s="129" t="s">
        <v>194</v>
      </c>
    </row>
    <row r="14" spans="2:71" x14ac:dyDescent="0.3">
      <c r="C14" s="128"/>
      <c r="D14" s="4" t="s">
        <v>11</v>
      </c>
      <c r="E14" s="139">
        <f t="shared" ref="E14:H17" si="6">$I14*(E$18*E7*1)/$I7</f>
        <v>518.03483683053219</v>
      </c>
      <c r="F14" s="139">
        <f t="shared" si="6"/>
        <v>0</v>
      </c>
      <c r="G14" s="139">
        <f t="shared" si="6"/>
        <v>1039.4320560348183</v>
      </c>
      <c r="H14" s="139">
        <f t="shared" si="6"/>
        <v>492.53310713464919</v>
      </c>
      <c r="I14" s="120">
        <v>2050</v>
      </c>
      <c r="J14" s="165">
        <f>SUM(E14:H14)</f>
        <v>2049.9999999999995</v>
      </c>
      <c r="K14" s="129">
        <f>I14/J14</f>
        <v>1.0000000000000002</v>
      </c>
      <c r="M14" s="128"/>
      <c r="N14" s="4" t="s">
        <v>11</v>
      </c>
      <c r="O14" s="139">
        <f t="shared" ref="O14:R17" si="7">$S14*(O$18*O7*1)/$S7</f>
        <v>244.04615092742938</v>
      </c>
      <c r="P14" s="139">
        <f t="shared" si="7"/>
        <v>0</v>
      </c>
      <c r="Q14" s="139">
        <f t="shared" si="7"/>
        <v>1375.3905418403513</v>
      </c>
      <c r="R14" s="139">
        <f t="shared" si="7"/>
        <v>567.30985838349932</v>
      </c>
      <c r="S14" s="120">
        <v>2186.7465511512801</v>
      </c>
      <c r="T14" s="165">
        <f>SUM(O14:R14)</f>
        <v>2186.7465511512801</v>
      </c>
      <c r="U14" s="129">
        <f>S14/T14</f>
        <v>1</v>
      </c>
      <c r="W14" s="128"/>
      <c r="X14" s="4" t="s">
        <v>11</v>
      </c>
      <c r="Y14" s="139">
        <f>$AC14*(Y$18*Y7*1)/$AC7</f>
        <v>260.47338176444202</v>
      </c>
      <c r="Z14" s="139">
        <f t="shared" ref="Z14:AB14" si="8">$AC14*(Z$18*Z7*1)/$AC7</f>
        <v>0</v>
      </c>
      <c r="AA14" s="139">
        <f t="shared" si="8"/>
        <v>1467.9708092856424</v>
      </c>
      <c r="AB14" s="139">
        <f t="shared" si="8"/>
        <v>605.49661102992775</v>
      </c>
      <c r="AC14" s="120">
        <v>2333.9408020800124</v>
      </c>
      <c r="AD14" s="165">
        <f>SUM(Y14:AB14)</f>
        <v>2333.9408020800124</v>
      </c>
      <c r="AE14" s="129">
        <f>AC14/AD14</f>
        <v>1</v>
      </c>
      <c r="AG14" s="128"/>
      <c r="AH14" s="4" t="s">
        <v>11</v>
      </c>
      <c r="AI14" s="139">
        <f>$AM14*(AI$18*AI7*1)/$AM7</f>
        <v>277.93995705213104</v>
      </c>
      <c r="AJ14" s="139">
        <f t="shared" ref="AJ14:AL14" si="9">$AM14*(AJ$18*AJ7*1)/$AM7</f>
        <v>0</v>
      </c>
      <c r="AK14" s="139">
        <f t="shared" si="9"/>
        <v>1567.3227412552428</v>
      </c>
      <c r="AL14" s="139">
        <f t="shared" si="9"/>
        <v>647.12134165489306</v>
      </c>
      <c r="AM14" s="120">
        <v>2492.3840399622668</v>
      </c>
      <c r="AN14" s="165">
        <f>SUM(AI14:AL14)</f>
        <v>2492.3840399622668</v>
      </c>
      <c r="AO14" s="129">
        <f>AM14/AN14</f>
        <v>1</v>
      </c>
      <c r="AQ14" s="128"/>
      <c r="AR14" s="4" t="s">
        <v>11</v>
      </c>
      <c r="AS14" s="139">
        <f>$AW14*(AS$18*AS7*1)/$AW7</f>
        <v>296.90253931889305</v>
      </c>
      <c r="AT14" s="139">
        <f t="shared" ref="AT14:AV14" si="10">$AW14*(AT$18*AT7*1)/$AW7</f>
        <v>0</v>
      </c>
      <c r="AU14" s="139">
        <f t="shared" si="10"/>
        <v>1674.3559218490366</v>
      </c>
      <c r="AV14" s="139">
        <f t="shared" si="10"/>
        <v>691.68070362797664</v>
      </c>
      <c r="AW14" s="120">
        <v>2662.939164795906</v>
      </c>
      <c r="AX14" s="165">
        <f>SUM(AS14:AV14)</f>
        <v>2662.9391647959064</v>
      </c>
      <c r="AY14" s="129">
        <f>AW14/AX14</f>
        <v>0.99999999999999978</v>
      </c>
      <c r="BA14" s="128"/>
      <c r="BB14" s="4" t="s">
        <v>11</v>
      </c>
      <c r="BC14" s="139">
        <f>$BG14*(BC$18*BC7*1)/$BG7</f>
        <v>317.35071315648287</v>
      </c>
      <c r="BD14" s="139">
        <f t="shared" ref="BD14:BF14" si="11">$BG14*(BD$18*BD7*1)/$BG7</f>
        <v>0</v>
      </c>
      <c r="BE14" s="139">
        <f t="shared" si="11"/>
        <v>1789.5219376180223</v>
      </c>
      <c r="BF14" s="139">
        <f t="shared" si="11"/>
        <v>739.66278430164982</v>
      </c>
      <c r="BG14" s="120">
        <v>2846.535435076155</v>
      </c>
      <c r="BH14" s="165">
        <f>SUM(BC14:BF14)</f>
        <v>2846.535435076155</v>
      </c>
      <c r="BI14" s="129">
        <f>BG14/BH14</f>
        <v>1</v>
      </c>
      <c r="BK14" s="128"/>
      <c r="BL14" s="4" t="s">
        <v>11</v>
      </c>
      <c r="BM14" s="139">
        <f>$BQ14*(BM$18*BM7*1)/$BQ7</f>
        <v>339.40139884544897</v>
      </c>
      <c r="BN14" s="139">
        <f t="shared" ref="BN14:BP14" si="12">$BQ14*(BN$18*BN7*1)/$BQ7</f>
        <v>0</v>
      </c>
      <c r="BO14" s="139">
        <f t="shared" si="12"/>
        <v>1913.4411450835305</v>
      </c>
      <c r="BP14" s="139">
        <f t="shared" si="12"/>
        <v>791.33103549033422</v>
      </c>
      <c r="BQ14" s="120">
        <v>3044.1735794193137</v>
      </c>
      <c r="BR14" s="165">
        <f>SUM(BM14:BP14)</f>
        <v>3044.1735794193137</v>
      </c>
      <c r="BS14" s="129">
        <f>BQ14/BR14</f>
        <v>1</v>
      </c>
    </row>
    <row r="15" spans="2:71" x14ac:dyDescent="0.3">
      <c r="C15" s="128"/>
      <c r="D15" s="4" t="s">
        <v>12</v>
      </c>
      <c r="E15" s="139">
        <f t="shared" si="6"/>
        <v>0</v>
      </c>
      <c r="F15" s="139">
        <f t="shared" si="6"/>
        <v>457.83610033443614</v>
      </c>
      <c r="G15" s="139">
        <f t="shared" si="6"/>
        <v>1028.9245522818574</v>
      </c>
      <c r="H15" s="139">
        <f t="shared" si="6"/>
        <v>563.23934738370679</v>
      </c>
      <c r="I15" s="120">
        <v>2050</v>
      </c>
      <c r="J15" s="165">
        <f>SUM(E15:H15)</f>
        <v>2050.0000000000005</v>
      </c>
      <c r="K15" s="129">
        <f>I15/J15</f>
        <v>0.99999999999999978</v>
      </c>
      <c r="M15" s="128"/>
      <c r="N15" s="4" t="s">
        <v>12</v>
      </c>
      <c r="O15" s="139">
        <f t="shared" si="7"/>
        <v>0</v>
      </c>
      <c r="P15" s="139">
        <f t="shared" si="7"/>
        <v>258.38424732352354</v>
      </c>
      <c r="Q15" s="139">
        <f t="shared" si="7"/>
        <v>1306.0346202609192</v>
      </c>
      <c r="R15" s="139">
        <f t="shared" si="7"/>
        <v>622.32768356683755</v>
      </c>
      <c r="S15" s="120">
        <v>2186.7465511512801</v>
      </c>
      <c r="T15" s="165">
        <f>SUM(O15:R15)</f>
        <v>2186.7465511512801</v>
      </c>
      <c r="U15" s="129">
        <f>S15/T15</f>
        <v>1</v>
      </c>
      <c r="W15" s="128"/>
      <c r="X15" s="4" t="s">
        <v>12</v>
      </c>
      <c r="Y15" s="139">
        <f t="shared" ref="Y15:AB15" si="13">$AC15*(Y$18*Y8*1)/$AC8</f>
        <v>0</v>
      </c>
      <c r="Z15" s="139">
        <f t="shared" si="13"/>
        <v>275.77660388928416</v>
      </c>
      <c r="AA15" s="139">
        <f t="shared" si="13"/>
        <v>1393.9464029570374</v>
      </c>
      <c r="AB15" s="139">
        <f t="shared" si="13"/>
        <v>664.21779523369105</v>
      </c>
      <c r="AC15" s="120">
        <v>2333.9408020800124</v>
      </c>
      <c r="AD15" s="165">
        <f>SUM(Y15:AB15)</f>
        <v>2333.9408020800129</v>
      </c>
      <c r="AE15" s="129">
        <f>AC15/AD15</f>
        <v>0.99999999999999978</v>
      </c>
      <c r="AG15" s="128"/>
      <c r="AH15" s="4" t="s">
        <v>12</v>
      </c>
      <c r="AI15" s="139">
        <f t="shared" ref="AI15:AL15" si="14">$AM15*(AI$18*AI8*1)/$AM8</f>
        <v>0</v>
      </c>
      <c r="AJ15" s="139">
        <f t="shared" si="14"/>
        <v>294.88613673805679</v>
      </c>
      <c r="AK15" s="139">
        <f t="shared" si="14"/>
        <v>1487.834901355702</v>
      </c>
      <c r="AL15" s="139">
        <f t="shared" si="14"/>
        <v>709.66300186850776</v>
      </c>
      <c r="AM15" s="120">
        <v>2492.3840399622668</v>
      </c>
      <c r="AN15" s="165">
        <f>SUM(AI15:AL15)</f>
        <v>2492.3840399622668</v>
      </c>
      <c r="AO15" s="129">
        <f>AM15/AN15</f>
        <v>1</v>
      </c>
      <c r="AQ15" s="128"/>
      <c r="AR15" s="4" t="s">
        <v>12</v>
      </c>
      <c r="AS15" s="139">
        <f t="shared" ref="AS15:AV15" si="15">$AW15*(AS$18*AS8*1)/$AW8</f>
        <v>0</v>
      </c>
      <c r="AT15" s="139">
        <f t="shared" si="15"/>
        <v>315.29583222483325</v>
      </c>
      <c r="AU15" s="139">
        <f t="shared" si="15"/>
        <v>1589.2195884353757</v>
      </c>
      <c r="AV15" s="139">
        <f t="shared" si="15"/>
        <v>758.42374413569689</v>
      </c>
      <c r="AW15" s="120">
        <v>2662.939164795906</v>
      </c>
      <c r="AX15" s="165">
        <f>SUM(AS15:AV15)</f>
        <v>2662.939164795906</v>
      </c>
      <c r="AY15" s="129">
        <f>AW15/AX15</f>
        <v>1</v>
      </c>
      <c r="BA15" s="128"/>
      <c r="BB15" s="4" t="s">
        <v>12</v>
      </c>
      <c r="BC15" s="139">
        <f t="shared" ref="BC15:BF15" si="16">$BG15*(BC$18*BC8*1)/$BG8</f>
        <v>0</v>
      </c>
      <c r="BD15" s="139">
        <f t="shared" si="16"/>
        <v>337.29573329615073</v>
      </c>
      <c r="BE15" s="139">
        <f t="shared" si="16"/>
        <v>1698.3091979097774</v>
      </c>
      <c r="BF15" s="139">
        <f t="shared" si="16"/>
        <v>810.93050387022674</v>
      </c>
      <c r="BG15" s="120">
        <v>2846.535435076155</v>
      </c>
      <c r="BH15" s="165">
        <f>SUM(BC15:BF15)</f>
        <v>2846.535435076155</v>
      </c>
      <c r="BI15" s="129">
        <f>BG15/BH15</f>
        <v>1</v>
      </c>
      <c r="BK15" s="128"/>
      <c r="BL15" s="4" t="s">
        <v>12</v>
      </c>
      <c r="BM15" s="139">
        <f t="shared" ref="BM15:BP15" si="17">$BQ15*(BM$18*BM8*1)/$BQ8</f>
        <v>0</v>
      </c>
      <c r="BN15" s="139">
        <f t="shared" si="17"/>
        <v>361.01028257060204</v>
      </c>
      <c r="BO15" s="139">
        <f t="shared" si="17"/>
        <v>1815.6916067476557</v>
      </c>
      <c r="BP15" s="139">
        <f t="shared" si="17"/>
        <v>867.47169010105597</v>
      </c>
      <c r="BQ15" s="120">
        <v>3044.1735794193137</v>
      </c>
      <c r="BR15" s="165">
        <f>SUM(BM15:BP15)</f>
        <v>3044.1735794193137</v>
      </c>
      <c r="BS15" s="129">
        <f>BQ15/BR15</f>
        <v>1</v>
      </c>
    </row>
    <row r="16" spans="2:71" x14ac:dyDescent="0.3">
      <c r="C16" s="128"/>
      <c r="D16" s="4" t="s">
        <v>13</v>
      </c>
      <c r="E16" s="139">
        <f t="shared" si="6"/>
        <v>257.16354096808425</v>
      </c>
      <c r="F16" s="139">
        <f t="shared" si="6"/>
        <v>663.48289119127639</v>
      </c>
      <c r="G16" s="139">
        <f t="shared" si="6"/>
        <v>133.3535678406393</v>
      </c>
      <c r="H16" s="139">
        <f t="shared" si="6"/>
        <v>0</v>
      </c>
      <c r="I16" s="120">
        <v>1054</v>
      </c>
      <c r="J16" s="165">
        <f>SUM(E16:H16)</f>
        <v>1054</v>
      </c>
      <c r="K16" s="129">
        <f>I16/J16</f>
        <v>1</v>
      </c>
      <c r="M16" s="128"/>
      <c r="N16" s="4" t="s">
        <v>13</v>
      </c>
      <c r="O16" s="139">
        <f t="shared" si="7"/>
        <v>196.00023771994967</v>
      </c>
      <c r="P16" s="139">
        <f t="shared" si="7"/>
        <v>631.5077734002233</v>
      </c>
      <c r="Q16" s="139">
        <f t="shared" si="7"/>
        <v>285.47545354873898</v>
      </c>
      <c r="R16" s="139">
        <f t="shared" si="7"/>
        <v>0</v>
      </c>
      <c r="S16" s="120">
        <v>1112.9834646689119</v>
      </c>
      <c r="T16" s="165">
        <f>SUM(O16:R16)</f>
        <v>1112.9834646689119</v>
      </c>
      <c r="U16" s="129">
        <f>S16/T16</f>
        <v>1</v>
      </c>
      <c r="W16" s="128"/>
      <c r="X16" s="4" t="s">
        <v>13</v>
      </c>
      <c r="Y16" s="139">
        <f t="shared" ref="Y16:AB16" si="18">$AC16*(Y$18*Y9*1)/$AC9</f>
        <v>207.16187124106148</v>
      </c>
      <c r="Z16" s="139">
        <f t="shared" si="18"/>
        <v>667.47027229523951</v>
      </c>
      <c r="AA16" s="139">
        <f t="shared" si="18"/>
        <v>301.73243583024498</v>
      </c>
      <c r="AB16" s="139">
        <f t="shared" si="18"/>
        <v>0</v>
      </c>
      <c r="AC16" s="120">
        <v>1176.364579366546</v>
      </c>
      <c r="AD16" s="165">
        <f>SUM(Y16:AB16)</f>
        <v>1176.364579366546</v>
      </c>
      <c r="AE16" s="129">
        <f>AC16/AD16</f>
        <v>1</v>
      </c>
      <c r="AG16" s="128"/>
      <c r="AH16" s="4" t="s">
        <v>13</v>
      </c>
      <c r="AI16" s="139">
        <f t="shared" ref="AI16:AL16" si="19">$AM16*(AI$18*AI9*1)/$AM9</f>
        <v>218.82544018088319</v>
      </c>
      <c r="AJ16" s="139">
        <f t="shared" si="19"/>
        <v>706.74307466937819</v>
      </c>
      <c r="AK16" s="139">
        <f t="shared" si="19"/>
        <v>318.90649338572518</v>
      </c>
      <c r="AL16" s="139">
        <f t="shared" si="19"/>
        <v>0</v>
      </c>
      <c r="AM16" s="120">
        <v>1244.4750082359867</v>
      </c>
      <c r="AN16" s="165">
        <f>SUM(AI16:AL16)</f>
        <v>1244.4750082359865</v>
      </c>
      <c r="AO16" s="129">
        <f>AM16/AN16</f>
        <v>1.0000000000000002</v>
      </c>
      <c r="AQ16" s="128"/>
      <c r="AR16" s="4" t="s">
        <v>13</v>
      </c>
      <c r="AS16" s="139">
        <f t="shared" ref="AS16:AV16" si="20">$AW16*(AS$18*AS9*1)/$AW9</f>
        <v>231.55284579119115</v>
      </c>
      <c r="AT16" s="139">
        <f t="shared" si="20"/>
        <v>748.64340292119914</v>
      </c>
      <c r="AU16" s="139">
        <f t="shared" si="20"/>
        <v>337.47538056160141</v>
      </c>
      <c r="AV16" s="139">
        <f t="shared" si="20"/>
        <v>0</v>
      </c>
      <c r="AW16" s="120">
        <v>1317.6716292739918</v>
      </c>
      <c r="AX16" s="165">
        <f>SUM(AS16:AV16)</f>
        <v>1317.6716292739918</v>
      </c>
      <c r="AY16" s="129">
        <f>AW16/AX16</f>
        <v>1</v>
      </c>
      <c r="BA16" s="128"/>
      <c r="BB16" s="4" t="s">
        <v>13</v>
      </c>
      <c r="BC16" s="139">
        <f t="shared" ref="BC16:BF16" si="21">$BG16*(BC$18*BC9*1)/$BG9</f>
        <v>245.24620353313853</v>
      </c>
      <c r="BD16" s="139">
        <f t="shared" si="21"/>
        <v>793.68946375376083</v>
      </c>
      <c r="BE16" s="139">
        <f t="shared" si="21"/>
        <v>357.40279432501029</v>
      </c>
      <c r="BF16" s="139">
        <f t="shared" si="21"/>
        <v>0</v>
      </c>
      <c r="BG16" s="120">
        <v>1396.3384616119097</v>
      </c>
      <c r="BH16" s="165">
        <f>SUM(BC16:BF16)</f>
        <v>1396.3384616119097</v>
      </c>
      <c r="BI16" s="129">
        <f>BG16/BH16</f>
        <v>1</v>
      </c>
      <c r="BK16" s="128"/>
      <c r="BL16" s="4" t="s">
        <v>13</v>
      </c>
      <c r="BM16" s="139">
        <f t="shared" ref="BM16:BP16" si="22">$BQ16*(BM$18*BM9*1)/$BQ9</f>
        <v>259.97907437201172</v>
      </c>
      <c r="BN16" s="139">
        <f t="shared" si="22"/>
        <v>842.12012775066046</v>
      </c>
      <c r="BO16" s="139">
        <f t="shared" si="22"/>
        <v>378.78953853301755</v>
      </c>
      <c r="BP16" s="139">
        <f t="shared" si="22"/>
        <v>0</v>
      </c>
      <c r="BQ16" s="120">
        <v>1480.8887406556896</v>
      </c>
      <c r="BR16" s="165">
        <f>SUM(BM16:BP16)</f>
        <v>1480.8887406556896</v>
      </c>
      <c r="BS16" s="129">
        <f>BQ16/BR16</f>
        <v>1</v>
      </c>
    </row>
    <row r="17" spans="3:71" x14ac:dyDescent="0.3">
      <c r="C17" s="128"/>
      <c r="D17" s="4" t="s">
        <v>14</v>
      </c>
      <c r="E17" s="139">
        <f t="shared" si="6"/>
        <v>231.09093388009802</v>
      </c>
      <c r="F17" s="139">
        <f t="shared" si="6"/>
        <v>596.93931679658044</v>
      </c>
      <c r="G17" s="139">
        <f t="shared" si="6"/>
        <v>0</v>
      </c>
      <c r="H17" s="139">
        <f t="shared" si="6"/>
        <v>279.96974932332154</v>
      </c>
      <c r="I17" s="120">
        <v>1108</v>
      </c>
      <c r="J17" s="165">
        <f>SUM(E17:H17)</f>
        <v>1108</v>
      </c>
      <c r="K17" s="129">
        <f>I17/J17</f>
        <v>1</v>
      </c>
      <c r="M17" s="128"/>
      <c r="N17" s="4" t="s">
        <v>14</v>
      </c>
      <c r="O17" s="139">
        <f t="shared" si="7"/>
        <v>163.15178749891996</v>
      </c>
      <c r="P17" s="139">
        <f t="shared" si="7"/>
        <v>526.30910606044097</v>
      </c>
      <c r="Q17" s="139">
        <f t="shared" si="7"/>
        <v>0</v>
      </c>
      <c r="R17" s="139">
        <f t="shared" si="7"/>
        <v>483.27234454636982</v>
      </c>
      <c r="S17" s="120">
        <v>1172.7332381057306</v>
      </c>
      <c r="T17" s="165">
        <f>SUM(O17:R17)</f>
        <v>1172.7332381057308</v>
      </c>
      <c r="U17" s="129">
        <f>S17/T17</f>
        <v>0.99999999999999978</v>
      </c>
      <c r="W17" s="128"/>
      <c r="X17" s="4" t="s">
        <v>14</v>
      </c>
      <c r="Y17" s="139">
        <f t="shared" ref="Y17:AB17" si="23">$AC17*(Y$18*Y10*1)/$AC10</f>
        <v>172.8423516783445</v>
      </c>
      <c r="Z17" s="139">
        <f t="shared" si="23"/>
        <v>557.56976368901906</v>
      </c>
      <c r="AA17" s="139">
        <f t="shared" si="23"/>
        <v>0</v>
      </c>
      <c r="AB17" s="139">
        <f t="shared" si="23"/>
        <v>511.97679052737726</v>
      </c>
      <c r="AC17" s="120">
        <v>1242.3889058947407</v>
      </c>
      <c r="AD17" s="165">
        <f>SUM(Y17:AB17)</f>
        <v>1242.3889058947407</v>
      </c>
      <c r="AE17" s="129">
        <f>AC17/AD17</f>
        <v>1</v>
      </c>
      <c r="AG17" s="128"/>
      <c r="AH17" s="4" t="s">
        <v>14</v>
      </c>
      <c r="AI17" s="139">
        <f t="shared" ref="AI17:AL17" si="24">$AM17*(AI$18*AI10*1)/$AM10</f>
        <v>182.95366595146263</v>
      </c>
      <c r="AJ17" s="139">
        <f t="shared" si="24"/>
        <v>591.60496766984511</v>
      </c>
      <c r="AK17" s="139">
        <f t="shared" si="24"/>
        <v>0</v>
      </c>
      <c r="AL17" s="139">
        <f t="shared" si="24"/>
        <v>542.78469289107704</v>
      </c>
      <c r="AM17" s="120">
        <v>1317.3433265123847</v>
      </c>
      <c r="AN17" s="165">
        <f>SUM(AI17:AL17)</f>
        <v>1317.3433265123849</v>
      </c>
      <c r="AO17" s="129">
        <f>AM17/AN17</f>
        <v>0.99999999999999978</v>
      </c>
      <c r="AQ17" s="128"/>
      <c r="AR17" s="4" t="s">
        <v>14</v>
      </c>
      <c r="AS17" s="139">
        <f t="shared" ref="AS17:AV17" si="25">$AW17*(AS$18*AS10*1)/$AW10</f>
        <v>194.01567836867878</v>
      </c>
      <c r="AT17" s="139">
        <f t="shared" si="25"/>
        <v>628.04194630929123</v>
      </c>
      <c r="AU17" s="139">
        <f t="shared" si="25"/>
        <v>0</v>
      </c>
      <c r="AV17" s="139">
        <f t="shared" si="25"/>
        <v>575.94407294584937</v>
      </c>
      <c r="AW17" s="120">
        <v>1398.0016976238194</v>
      </c>
      <c r="AX17" s="165">
        <f>SUM(AS17:AV17)</f>
        <v>1398.0016976238194</v>
      </c>
      <c r="AY17" s="129">
        <f>AW17/AX17</f>
        <v>1</v>
      </c>
      <c r="BA17" s="128"/>
      <c r="BB17" s="4" t="s">
        <v>14</v>
      </c>
      <c r="BC17" s="139">
        <f t="shared" ref="BC17:BF17" si="26">$BG17*(BC$18*BC10*1)/$BG10</f>
        <v>205.93183109236412</v>
      </c>
      <c r="BD17" s="139">
        <f t="shared" si="26"/>
        <v>667.2656188912166</v>
      </c>
      <c r="BE17" s="139">
        <f t="shared" si="26"/>
        <v>0</v>
      </c>
      <c r="BF17" s="139">
        <f t="shared" si="26"/>
        <v>611.60286229560143</v>
      </c>
      <c r="BG17" s="120">
        <v>1484.8003122791824</v>
      </c>
      <c r="BH17" s="165">
        <f>SUM(BC17:BF17)</f>
        <v>1484.8003122791822</v>
      </c>
      <c r="BI17" s="129">
        <f>BG17/BH17</f>
        <v>1.0000000000000002</v>
      </c>
      <c r="BK17" s="128"/>
      <c r="BL17" s="4" t="s">
        <v>14</v>
      </c>
      <c r="BM17" s="139">
        <f t="shared" ref="BM17:BP17" si="27">$BQ17*(BM$18*BM10*1)/$BQ10</f>
        <v>218.76807243011768</v>
      </c>
      <c r="BN17" s="139">
        <f t="shared" si="27"/>
        <v>709.49042685594156</v>
      </c>
      <c r="BO17" s="139">
        <f t="shared" si="27"/>
        <v>0</v>
      </c>
      <c r="BP17" s="139">
        <f t="shared" si="27"/>
        <v>649.95045158561288</v>
      </c>
      <c r="BQ17" s="120">
        <v>1578.2089508716722</v>
      </c>
      <c r="BR17" s="165">
        <f>SUM(BM17:BP17)</f>
        <v>1578.2089508716722</v>
      </c>
      <c r="BS17" s="129">
        <f>BQ17/BR17</f>
        <v>1</v>
      </c>
    </row>
    <row r="18" spans="3:71" x14ac:dyDescent="0.3">
      <c r="C18" s="128"/>
      <c r="D18" s="120" t="s">
        <v>196</v>
      </c>
      <c r="E18" s="120">
        <v>2050</v>
      </c>
      <c r="F18" s="120">
        <v>2050</v>
      </c>
      <c r="G18" s="120">
        <v>1054</v>
      </c>
      <c r="H18" s="120">
        <v>1108</v>
      </c>
      <c r="J18" s="165"/>
      <c r="K18" s="129"/>
      <c r="M18" s="128"/>
      <c r="N18" s="120" t="s">
        <v>196</v>
      </c>
      <c r="O18" s="120">
        <v>1328.012404961956</v>
      </c>
      <c r="P18" s="120">
        <v>1658.4558060242425</v>
      </c>
      <c r="Q18" s="120">
        <v>1917.811032253856</v>
      </c>
      <c r="R18" s="120">
        <v>1754.9305618371486</v>
      </c>
      <c r="T18" s="165"/>
      <c r="U18" s="129"/>
      <c r="W18" s="128"/>
      <c r="X18" s="120" t="s">
        <v>196</v>
      </c>
      <c r="Y18" s="120">
        <v>1328.012404961956</v>
      </c>
      <c r="Z18" s="120">
        <v>1658.4558060242425</v>
      </c>
      <c r="AA18" s="120">
        <v>1917.811032253856</v>
      </c>
      <c r="AB18" s="120">
        <v>1754.9305618371486</v>
      </c>
      <c r="AD18" s="165"/>
      <c r="AE18" s="129"/>
      <c r="AG18" s="128"/>
      <c r="AH18" s="120" t="s">
        <v>196</v>
      </c>
      <c r="AI18" s="120">
        <v>1503.1992104315086</v>
      </c>
      <c r="AJ18" s="120">
        <v>1881.7414801634088</v>
      </c>
      <c r="AK18" s="120">
        <v>2172.0689016417573</v>
      </c>
      <c r="AL18" s="120">
        <v>1989.5768224362307</v>
      </c>
      <c r="AN18" s="165"/>
      <c r="AO18" s="129"/>
      <c r="AQ18" s="128"/>
      <c r="AR18" s="120" t="s">
        <v>196</v>
      </c>
      <c r="AS18" s="120">
        <v>1601.0889518076301</v>
      </c>
      <c r="AT18" s="120">
        <v>2006.4115000433494</v>
      </c>
      <c r="AU18" s="120">
        <v>2313.6568174166791</v>
      </c>
      <c r="AV18" s="120">
        <v>2120.3943872219643</v>
      </c>
      <c r="AX18" s="165"/>
      <c r="AY18" s="129"/>
      <c r="BA18" s="128"/>
      <c r="BB18" s="120" t="s">
        <v>196</v>
      </c>
      <c r="BC18" s="120">
        <v>1706.558014485141</v>
      </c>
      <c r="BD18" s="120">
        <v>2140.666670392317</v>
      </c>
      <c r="BE18" s="120">
        <v>2465.8588575838148</v>
      </c>
      <c r="BF18" s="120">
        <v>2261.126101582131</v>
      </c>
      <c r="BH18" s="165"/>
      <c r="BI18" s="129"/>
      <c r="BK18" s="128"/>
      <c r="BL18" s="120" t="s">
        <v>196</v>
      </c>
      <c r="BM18" s="120">
        <v>1930.3584281999242</v>
      </c>
      <c r="BN18" s="120">
        <v>2423.5572278064883</v>
      </c>
      <c r="BO18" s="120">
        <v>2788.6181283808864</v>
      </c>
      <c r="BP18" s="120">
        <v>2558.5385458951887</v>
      </c>
      <c r="BR18" s="165"/>
      <c r="BS18" s="129"/>
    </row>
    <row r="19" spans="3:71" x14ac:dyDescent="0.3">
      <c r="C19" s="128"/>
      <c r="D19" s="120" t="s">
        <v>195</v>
      </c>
      <c r="E19" s="165">
        <f>SUM(E14:E17)</f>
        <v>1006.2893116787145</v>
      </c>
      <c r="F19" s="165">
        <f>SUM(F14:F17)</f>
        <v>1718.258308322293</v>
      </c>
      <c r="G19" s="165">
        <f>SUM(G14:G17)</f>
        <v>2201.7101761573149</v>
      </c>
      <c r="H19" s="165">
        <f>SUM(H14:H17)</f>
        <v>1335.7422038416776</v>
      </c>
      <c r="K19" s="129"/>
      <c r="M19" s="128"/>
      <c r="N19" s="120" t="s">
        <v>195</v>
      </c>
      <c r="O19" s="165">
        <f>SUM(O14:O17)</f>
        <v>603.19817614629903</v>
      </c>
      <c r="P19" s="165">
        <f>SUM(P14:P17)</f>
        <v>1416.2011267841876</v>
      </c>
      <c r="Q19" s="165">
        <f>SUM(Q14:Q17)</f>
        <v>2966.9006156500095</v>
      </c>
      <c r="R19" s="165">
        <f>SUM(R14:R17)</f>
        <v>1672.9098864967068</v>
      </c>
      <c r="U19" s="129"/>
      <c r="W19" s="128"/>
      <c r="X19" s="120" t="s">
        <v>195</v>
      </c>
      <c r="Y19" s="165">
        <f>SUM(Y14:Y17)</f>
        <v>640.47760468384797</v>
      </c>
      <c r="Z19" s="165">
        <f>SUM(Z14:Z17)</f>
        <v>1500.8166398735427</v>
      </c>
      <c r="AA19" s="165">
        <f>SUM(AA14:AA17)</f>
        <v>3163.6496480729247</v>
      </c>
      <c r="AB19" s="165">
        <f>SUM(AB14:AB17)</f>
        <v>1781.6911967909962</v>
      </c>
      <c r="AE19" s="129"/>
      <c r="AG19" s="128"/>
      <c r="AH19" s="120" t="s">
        <v>195</v>
      </c>
      <c r="AI19" s="165">
        <f>SUM(AI14:AI17)</f>
        <v>679.71906318447691</v>
      </c>
      <c r="AJ19" s="165">
        <f>SUM(AJ14:AJ17)</f>
        <v>1593.23417907728</v>
      </c>
      <c r="AK19" s="165">
        <f>SUM(AK14:AK17)</f>
        <v>3374.0641359966703</v>
      </c>
      <c r="AL19" s="165">
        <f>SUM(AL14:AL17)</f>
        <v>1899.569036414478</v>
      </c>
      <c r="AO19" s="129"/>
      <c r="AQ19" s="128"/>
      <c r="AR19" s="120" t="s">
        <v>195</v>
      </c>
      <c r="AS19" s="165">
        <f>SUM(AS14:AS17)</f>
        <v>722.47106347876297</v>
      </c>
      <c r="AT19" s="165">
        <f>SUM(AT14:AT17)</f>
        <v>1691.9811814553236</v>
      </c>
      <c r="AU19" s="165">
        <f>SUM(AU14:AU17)</f>
        <v>3601.0508908460138</v>
      </c>
      <c r="AV19" s="165">
        <f>SUM(AV14:AV17)</f>
        <v>2026.048520709523</v>
      </c>
      <c r="AY19" s="129"/>
      <c r="BA19" s="128"/>
      <c r="BB19" s="120" t="s">
        <v>195</v>
      </c>
      <c r="BC19" s="165">
        <f>SUM(BC14:BC17)</f>
        <v>768.52874778198543</v>
      </c>
      <c r="BD19" s="165">
        <f>SUM(BD14:BD17)</f>
        <v>1798.2508159411282</v>
      </c>
      <c r="BE19" s="165">
        <f>SUM(BE14:BE17)</f>
        <v>3845.23392985281</v>
      </c>
      <c r="BF19" s="165">
        <f>SUM(BF14:BF17)</f>
        <v>2162.1961504674782</v>
      </c>
      <c r="BI19" s="129"/>
      <c r="BK19" s="128"/>
      <c r="BL19" s="120" t="s">
        <v>195</v>
      </c>
      <c r="BM19" s="165">
        <f>SUM(BM14:BM17)</f>
        <v>818.14854564757843</v>
      </c>
      <c r="BN19" s="165">
        <f>SUM(BN14:BN17)</f>
        <v>1912.6208371772041</v>
      </c>
      <c r="BO19" s="165">
        <f>SUM(BO14:BO17)</f>
        <v>4107.9222903642039</v>
      </c>
      <c r="BP19" s="165">
        <f>SUM(BP14:BP17)</f>
        <v>2308.7531771770032</v>
      </c>
      <c r="BS19" s="129"/>
    </row>
    <row r="20" spans="3:71" x14ac:dyDescent="0.3">
      <c r="C20" s="128"/>
      <c r="D20" s="120" t="s">
        <v>194</v>
      </c>
      <c r="E20" s="120">
        <f>E18/E19</f>
        <v>2.0371874929091156</v>
      </c>
      <c r="F20" s="120">
        <f>F18/F19</f>
        <v>1.1930685800097305</v>
      </c>
      <c r="G20" s="120">
        <f>G18/G19</f>
        <v>0.47871877571078203</v>
      </c>
      <c r="H20" s="120">
        <f>H18/H19</f>
        <v>0.82950137894372367</v>
      </c>
      <c r="K20" s="129"/>
      <c r="M20" s="128"/>
      <c r="N20" s="120" t="s">
        <v>194</v>
      </c>
      <c r="O20" s="120">
        <f>O18/O19</f>
        <v>2.2016187340723348</v>
      </c>
      <c r="P20" s="120">
        <f>P18/P19</f>
        <v>1.1710595159531825</v>
      </c>
      <c r="Q20" s="120">
        <f>Q18/Q19</f>
        <v>0.64640218217545131</v>
      </c>
      <c r="R20" s="120">
        <f>R18/R19</f>
        <v>1.0490287468574915</v>
      </c>
      <c r="U20" s="129"/>
      <c r="W20" s="128"/>
      <c r="X20" s="120" t="s">
        <v>194</v>
      </c>
      <c r="Y20" s="120">
        <f>Y18/Y19</f>
        <v>2.0734720390691699</v>
      </c>
      <c r="Z20" s="120">
        <f>Z18/Z19</f>
        <v>1.1050355932647324</v>
      </c>
      <c r="AA20" s="120">
        <f>AA18/AA19</f>
        <v>0.60620209112663692</v>
      </c>
      <c r="AB20" s="120">
        <f>AB18/AB19</f>
        <v>0.98498020588413626</v>
      </c>
      <c r="AE20" s="129"/>
      <c r="AG20" s="128"/>
      <c r="AH20" s="120" t="s">
        <v>194</v>
      </c>
      <c r="AI20" s="120">
        <f>AI18/AI19</f>
        <v>2.2115007388332404</v>
      </c>
      <c r="AJ20" s="120">
        <f>AJ18/AJ19</f>
        <v>1.181082796788365</v>
      </c>
      <c r="AK20" s="120">
        <f>AK18/AK19</f>
        <v>0.64375447949217668</v>
      </c>
      <c r="AL20" s="120">
        <f>AL18/AL19</f>
        <v>1.0473832665706357</v>
      </c>
      <c r="AO20" s="129"/>
      <c r="AQ20" s="128"/>
      <c r="AR20" s="120" t="s">
        <v>194</v>
      </c>
      <c r="AS20" s="120">
        <f>AS18/AS19</f>
        <v>2.2161288288810397</v>
      </c>
      <c r="AT20" s="120">
        <f>AT18/AT19</f>
        <v>1.1858355885007981</v>
      </c>
      <c r="AU20" s="120">
        <f>AU18/AU19</f>
        <v>0.64249489594775477</v>
      </c>
      <c r="AV20" s="120">
        <f>AV18/AV19</f>
        <v>1.0465664398202079</v>
      </c>
      <c r="AY20" s="129"/>
      <c r="BA20" s="128"/>
      <c r="BB20" s="120" t="s">
        <v>194</v>
      </c>
      <c r="BC20" s="120">
        <f>BC18/BC19</f>
        <v>2.2205519564627316</v>
      </c>
      <c r="BD20" s="120">
        <f>BD18/BD19</f>
        <v>1.1904160706703102</v>
      </c>
      <c r="BE20" s="120">
        <f>BE18/BE19</f>
        <v>0.64127668239893132</v>
      </c>
      <c r="BF20" s="120">
        <f>BF18/BF19</f>
        <v>1.0457543831503278</v>
      </c>
      <c r="BI20" s="129"/>
      <c r="BK20" s="128"/>
      <c r="BL20" s="120" t="s">
        <v>194</v>
      </c>
      <c r="BM20" s="120">
        <f>BM18/BM19</f>
        <v>2.3594229171085463</v>
      </c>
      <c r="BN20" s="120">
        <f>BN18/BN19</f>
        <v>1.2671394040563546</v>
      </c>
      <c r="BO20" s="120">
        <f>BO18/BO19</f>
        <v>0.6788390654131996</v>
      </c>
      <c r="BP20" s="120">
        <f>BP18/BP19</f>
        <v>1.1081905901364506</v>
      </c>
      <c r="BS20" s="129"/>
    </row>
    <row r="21" spans="3:71" x14ac:dyDescent="0.3">
      <c r="C21" s="128"/>
      <c r="K21" s="129"/>
      <c r="M21" s="128"/>
      <c r="U21" s="129"/>
      <c r="W21" s="128"/>
      <c r="AE21" s="129"/>
      <c r="AG21" s="128"/>
      <c r="AO21" s="129"/>
      <c r="AQ21" s="128"/>
      <c r="AY21" s="129"/>
      <c r="BA21" s="128"/>
      <c r="BI21" s="129"/>
      <c r="BK21" s="128"/>
      <c r="BS21" s="129"/>
    </row>
    <row r="22" spans="3:71" x14ac:dyDescent="0.3">
      <c r="C22" s="128"/>
      <c r="K22" s="129"/>
      <c r="M22" s="128"/>
      <c r="U22" s="129"/>
      <c r="W22" s="128"/>
      <c r="AE22" s="129"/>
      <c r="AG22" s="128"/>
      <c r="AO22" s="129"/>
      <c r="AQ22" s="128"/>
      <c r="AY22" s="129"/>
      <c r="BA22" s="128"/>
      <c r="BI22" s="129"/>
      <c r="BK22" s="128"/>
      <c r="BS22" s="129"/>
    </row>
    <row r="23" spans="3:71" x14ac:dyDescent="0.3">
      <c r="C23" s="128" t="s">
        <v>204</v>
      </c>
      <c r="K23" s="129"/>
      <c r="M23" s="128" t="s">
        <v>204</v>
      </c>
      <c r="U23" s="129"/>
      <c r="W23" s="128" t="s">
        <v>204</v>
      </c>
      <c r="AE23" s="129"/>
      <c r="AG23" s="128" t="s">
        <v>204</v>
      </c>
      <c r="AO23" s="129"/>
      <c r="AQ23" s="128" t="s">
        <v>204</v>
      </c>
      <c r="AY23" s="129"/>
      <c r="BA23" s="128" t="s">
        <v>204</v>
      </c>
      <c r="BI23" s="129"/>
      <c r="BK23" s="128" t="s">
        <v>204</v>
      </c>
      <c r="BS23" s="129"/>
    </row>
    <row r="24" spans="3:71" x14ac:dyDescent="0.3">
      <c r="C24" s="128"/>
      <c r="D24" s="131" t="s">
        <v>199</v>
      </c>
      <c r="E24" s="4" t="s">
        <v>11</v>
      </c>
      <c r="F24" s="4" t="s">
        <v>12</v>
      </c>
      <c r="G24" s="4" t="s">
        <v>13</v>
      </c>
      <c r="H24" s="4" t="s">
        <v>14</v>
      </c>
      <c r="I24" s="120" t="s">
        <v>198</v>
      </c>
      <c r="J24" s="120" t="s">
        <v>197</v>
      </c>
      <c r="K24" s="129" t="s">
        <v>194</v>
      </c>
      <c r="M24" s="128"/>
      <c r="N24" s="131" t="s">
        <v>199</v>
      </c>
      <c r="O24" s="4" t="s">
        <v>11</v>
      </c>
      <c r="P24" s="4" t="s">
        <v>12</v>
      </c>
      <c r="Q24" s="4" t="s">
        <v>13</v>
      </c>
      <c r="R24" s="4" t="s">
        <v>14</v>
      </c>
      <c r="S24" s="120" t="s">
        <v>198</v>
      </c>
      <c r="T24" s="120" t="s">
        <v>197</v>
      </c>
      <c r="U24" s="129" t="s">
        <v>194</v>
      </c>
      <c r="W24" s="128"/>
      <c r="X24" s="131" t="s">
        <v>199</v>
      </c>
      <c r="Y24" s="4" t="s">
        <v>11</v>
      </c>
      <c r="Z24" s="4" t="s">
        <v>12</v>
      </c>
      <c r="AA24" s="4" t="s">
        <v>13</v>
      </c>
      <c r="AB24" s="4" t="s">
        <v>14</v>
      </c>
      <c r="AC24" s="120" t="s">
        <v>198</v>
      </c>
      <c r="AD24" s="120" t="s">
        <v>197</v>
      </c>
      <c r="AE24" s="129" t="s">
        <v>194</v>
      </c>
      <c r="AG24" s="128"/>
      <c r="AH24" s="131" t="s">
        <v>199</v>
      </c>
      <c r="AI24" s="4" t="s">
        <v>11</v>
      </c>
      <c r="AJ24" s="4" t="s">
        <v>12</v>
      </c>
      <c r="AK24" s="4" t="s">
        <v>13</v>
      </c>
      <c r="AL24" s="4" t="s">
        <v>14</v>
      </c>
      <c r="AM24" s="120" t="s">
        <v>198</v>
      </c>
      <c r="AN24" s="120" t="s">
        <v>197</v>
      </c>
      <c r="AO24" s="129" t="s">
        <v>194</v>
      </c>
      <c r="AQ24" s="128"/>
      <c r="AR24" s="131" t="s">
        <v>199</v>
      </c>
      <c r="AS24" s="4" t="s">
        <v>11</v>
      </c>
      <c r="AT24" s="4" t="s">
        <v>12</v>
      </c>
      <c r="AU24" s="4" t="s">
        <v>13</v>
      </c>
      <c r="AV24" s="4" t="s">
        <v>14</v>
      </c>
      <c r="AW24" s="120" t="s">
        <v>198</v>
      </c>
      <c r="AX24" s="120" t="s">
        <v>197</v>
      </c>
      <c r="AY24" s="129" t="s">
        <v>194</v>
      </c>
      <c r="BA24" s="128"/>
      <c r="BB24" s="131" t="s">
        <v>199</v>
      </c>
      <c r="BC24" s="4" t="s">
        <v>11</v>
      </c>
      <c r="BD24" s="4" t="s">
        <v>12</v>
      </c>
      <c r="BE24" s="4" t="s">
        <v>13</v>
      </c>
      <c r="BF24" s="4" t="s">
        <v>14</v>
      </c>
      <c r="BG24" s="120" t="s">
        <v>198</v>
      </c>
      <c r="BH24" s="120" t="s">
        <v>197</v>
      </c>
      <c r="BI24" s="129" t="s">
        <v>194</v>
      </c>
      <c r="BK24" s="128"/>
      <c r="BL24" s="131" t="s">
        <v>199</v>
      </c>
      <c r="BM24" s="4" t="s">
        <v>11</v>
      </c>
      <c r="BN24" s="4" t="s">
        <v>12</v>
      </c>
      <c r="BO24" s="4" t="s">
        <v>13</v>
      </c>
      <c r="BP24" s="4" t="s">
        <v>14</v>
      </c>
      <c r="BQ24" s="120" t="s">
        <v>198</v>
      </c>
      <c r="BR24" s="120" t="s">
        <v>197</v>
      </c>
      <c r="BS24" s="129" t="s">
        <v>194</v>
      </c>
    </row>
    <row r="25" spans="3:71" x14ac:dyDescent="0.3">
      <c r="C25" s="128"/>
      <c r="D25" s="4" t="s">
        <v>11</v>
      </c>
      <c r="E25" s="139">
        <f t="shared" ref="E25:H28" si="28">E14*E$20</f>
        <v>1055.3340904823747</v>
      </c>
      <c r="F25" s="139">
        <f t="shared" si="28"/>
        <v>0</v>
      </c>
      <c r="G25" s="139">
        <f t="shared" si="28"/>
        <v>497.59564129952918</v>
      </c>
      <c r="H25" s="139">
        <f t="shared" si="28"/>
        <v>408.5568915436283</v>
      </c>
      <c r="I25" s="120">
        <f>I14</f>
        <v>2050</v>
      </c>
      <c r="J25" s="165">
        <f>SUM(E25:H25)</f>
        <v>1961.4866233255323</v>
      </c>
      <c r="K25" s="129">
        <f>I25/J25</f>
        <v>1.045125659090349</v>
      </c>
      <c r="M25" s="128"/>
      <c r="N25" s="4" t="s">
        <v>11</v>
      </c>
      <c r="O25" s="139">
        <f t="shared" ref="O25:R28" si="29">O14*O$20</f>
        <v>537.29657786007306</v>
      </c>
      <c r="P25" s="139">
        <f t="shared" si="29"/>
        <v>0</v>
      </c>
      <c r="Q25" s="139">
        <f t="shared" si="29"/>
        <v>889.05544758907945</v>
      </c>
      <c r="R25" s="139">
        <f t="shared" si="29"/>
        <v>595.12434981994329</v>
      </c>
      <c r="S25" s="120">
        <f>S14</f>
        <v>2186.7465511512801</v>
      </c>
      <c r="T25" s="165">
        <f>SUM(O25:R25)</f>
        <v>2021.4763752690958</v>
      </c>
      <c r="U25" s="129">
        <f>S25/T25</f>
        <v>1.0817571641717474</v>
      </c>
      <c r="W25" s="128"/>
      <c r="X25" s="4" t="s">
        <v>11</v>
      </c>
      <c r="Y25" s="139">
        <f>Y14*Y$20</f>
        <v>540.08427401035999</v>
      </c>
      <c r="Z25" s="139">
        <f t="shared" ref="Z25:AB25" si="30">Z14*Z$20</f>
        <v>0</v>
      </c>
      <c r="AA25" s="139">
        <f t="shared" si="30"/>
        <v>889.88697430181799</v>
      </c>
      <c r="AB25" s="139">
        <f t="shared" si="30"/>
        <v>596.40217659440498</v>
      </c>
      <c r="AC25" s="120">
        <f>AC14</f>
        <v>2333.9408020800124</v>
      </c>
      <c r="AD25" s="165">
        <f>SUM(Y25:AB25)</f>
        <v>2026.3734249065828</v>
      </c>
      <c r="AE25" s="129">
        <f>AC25/AD25</f>
        <v>1.1517821806154058</v>
      </c>
      <c r="AG25" s="128"/>
      <c r="AH25" s="4" t="s">
        <v>11</v>
      </c>
      <c r="AI25" s="139">
        <f t="shared" ref="AI25:AL28" si="31">AI14*AI$20</f>
        <v>614.66442037206684</v>
      </c>
      <c r="AJ25" s="139">
        <f t="shared" si="31"/>
        <v>0</v>
      </c>
      <c r="AK25" s="139">
        <f t="shared" si="31"/>
        <v>1008.9710354930204</v>
      </c>
      <c r="AL25" s="139">
        <f t="shared" si="31"/>
        <v>677.78406469007427</v>
      </c>
      <c r="AM25" s="120">
        <f>AM14</f>
        <v>2492.3840399622668</v>
      </c>
      <c r="AN25" s="165">
        <f>SUM(AI25:AL25)</f>
        <v>2301.4195205551614</v>
      </c>
      <c r="AO25" s="129">
        <f>AM25/AN25</f>
        <v>1.0829768400335111</v>
      </c>
      <c r="AQ25" s="128"/>
      <c r="AR25" s="4" t="s">
        <v>11</v>
      </c>
      <c r="AS25" s="139">
        <f t="shared" ref="AS25:AV28" si="32">AS14*AS$20</f>
        <v>657.9742767525853</v>
      </c>
      <c r="AT25" s="139">
        <f t="shared" si="32"/>
        <v>0</v>
      </c>
      <c r="AU25" s="139">
        <f t="shared" si="32"/>
        <v>1075.7651337879038</v>
      </c>
      <c r="AV25" s="139">
        <f t="shared" si="32"/>
        <v>723.88981148826792</v>
      </c>
      <c r="AW25" s="120">
        <f>AW14</f>
        <v>2662.939164795906</v>
      </c>
      <c r="AX25" s="165">
        <f>SUM(AS25:AV25)</f>
        <v>2457.6292220287569</v>
      </c>
      <c r="AY25" s="129">
        <f>AW25/AX25</f>
        <v>1.0835398362482307</v>
      </c>
      <c r="BA25" s="128"/>
      <c r="BB25" s="4" t="s">
        <v>11</v>
      </c>
      <c r="BC25" s="139">
        <f t="shared" ref="BC25:BF28" si="33">BC14*BC$20</f>
        <v>704.6937469844712</v>
      </c>
      <c r="BD25" s="139">
        <f t="shared" si="33"/>
        <v>0</v>
      </c>
      <c r="BE25" s="139">
        <f t="shared" si="33"/>
        <v>1147.5786912357926</v>
      </c>
      <c r="BF25" s="139">
        <f t="shared" si="33"/>
        <v>773.50559873662576</v>
      </c>
      <c r="BG25" s="120">
        <f>BG14</f>
        <v>2846.535435076155</v>
      </c>
      <c r="BH25" s="165">
        <f>SUM(BC25:BF25)</f>
        <v>2625.7780369568895</v>
      </c>
      <c r="BI25" s="129">
        <f>BG25/BH25</f>
        <v>1.0840731375661552</v>
      </c>
      <c r="BK25" s="128"/>
      <c r="BL25" s="4" t="s">
        <v>11</v>
      </c>
      <c r="BM25" s="139">
        <f t="shared" ref="BM25:BP28" si="34">BM14*BM$20</f>
        <v>800.79143853465041</v>
      </c>
      <c r="BN25" s="139">
        <f t="shared" si="34"/>
        <v>0</v>
      </c>
      <c r="BO25" s="139">
        <f t="shared" si="34"/>
        <v>1298.9185986516663</v>
      </c>
      <c r="BP25" s="139">
        <f t="shared" si="34"/>
        <v>876.94560721332198</v>
      </c>
      <c r="BQ25" s="120">
        <f>BQ14</f>
        <v>3044.1735794193137</v>
      </c>
      <c r="BR25" s="165">
        <f>SUM(BM25:BP25)</f>
        <v>2976.6556443996387</v>
      </c>
      <c r="BS25" s="129">
        <f>BQ25/BR25</f>
        <v>1.0226824809738086</v>
      </c>
    </row>
    <row r="26" spans="3:71" x14ac:dyDescent="0.3">
      <c r="C26" s="128"/>
      <c r="D26" s="4" t="s">
        <v>12</v>
      </c>
      <c r="E26" s="139">
        <f t="shared" si="28"/>
        <v>0</v>
      </c>
      <c r="F26" s="139">
        <f t="shared" si="28"/>
        <v>546.22986610319822</v>
      </c>
      <c r="G26" s="139">
        <f t="shared" si="28"/>
        <v>492.56550196713528</v>
      </c>
      <c r="H26" s="139">
        <f t="shared" si="28"/>
        <v>467.20781533014775</v>
      </c>
      <c r="I26" s="120">
        <f>I15</f>
        <v>2050</v>
      </c>
      <c r="J26" s="165">
        <f>SUM(E26:H26)</f>
        <v>1506.0031834004812</v>
      </c>
      <c r="K26" s="129">
        <f>I26/J26</f>
        <v>1.3612189021879759</v>
      </c>
      <c r="M26" s="128"/>
      <c r="N26" s="4" t="s">
        <v>12</v>
      </c>
      <c r="O26" s="139">
        <f t="shared" si="29"/>
        <v>0</v>
      </c>
      <c r="P26" s="139">
        <f t="shared" si="29"/>
        <v>302.58333160061284</v>
      </c>
      <c r="Q26" s="139">
        <f t="shared" si="29"/>
        <v>844.22362853334505</v>
      </c>
      <c r="R26" s="139">
        <f t="shared" si="29"/>
        <v>652.83963002684504</v>
      </c>
      <c r="S26" s="120">
        <f>S15</f>
        <v>2186.7465511512801</v>
      </c>
      <c r="T26" s="165">
        <f>SUM(O26:R26)</f>
        <v>1799.646590160803</v>
      </c>
      <c r="U26" s="129">
        <f>S26/T26</f>
        <v>1.215097765920746</v>
      </c>
      <c r="W26" s="128"/>
      <c r="X26" s="4" t="s">
        <v>12</v>
      </c>
      <c r="Y26" s="139">
        <f t="shared" ref="Y26:AB26" si="35">Y15*Y$20</f>
        <v>0</v>
      </c>
      <c r="Z26" s="139">
        <f t="shared" si="35"/>
        <v>304.74296308732823</v>
      </c>
      <c r="AA26" s="139">
        <f t="shared" si="35"/>
        <v>845.01322439100977</v>
      </c>
      <c r="AB26" s="139">
        <f t="shared" si="35"/>
        <v>654.24138070118806</v>
      </c>
      <c r="AC26" s="120">
        <f>AC15</f>
        <v>2333.9408020800124</v>
      </c>
      <c r="AD26" s="165">
        <f>SUM(Y26:AB26)</f>
        <v>1803.9975681795261</v>
      </c>
      <c r="AE26" s="129">
        <f>AC26/AD26</f>
        <v>1.2937605034774353</v>
      </c>
      <c r="AG26" s="128"/>
      <c r="AH26" s="4" t="s">
        <v>12</v>
      </c>
      <c r="AI26" s="139">
        <f t="shared" si="31"/>
        <v>0</v>
      </c>
      <c r="AJ26" s="139">
        <f t="shared" si="31"/>
        <v>348.28494311270038</v>
      </c>
      <c r="AK26" s="139">
        <f t="shared" si="31"/>
        <v>957.80038249253391</v>
      </c>
      <c r="AL26" s="139">
        <f t="shared" si="31"/>
        <v>743.28915306136082</v>
      </c>
      <c r="AM26" s="120">
        <f>AM15</f>
        <v>2492.3840399622668</v>
      </c>
      <c r="AN26" s="165">
        <f>SUM(AI26:AL26)</f>
        <v>2049.3744786665948</v>
      </c>
      <c r="AO26" s="129">
        <f>AM26/AN26</f>
        <v>1.2161681849302193</v>
      </c>
      <c r="AQ26" s="128"/>
      <c r="AR26" s="4" t="s">
        <v>12</v>
      </c>
      <c r="AS26" s="139">
        <f t="shared" si="32"/>
        <v>0</v>
      </c>
      <c r="AT26" s="139">
        <f t="shared" si="32"/>
        <v>373.88901875818402</v>
      </c>
      <c r="AU26" s="139">
        <f t="shared" si="32"/>
        <v>1021.0654741099204</v>
      </c>
      <c r="AV26" s="139">
        <f t="shared" si="32"/>
        <v>793.74083777520855</v>
      </c>
      <c r="AW26" s="120">
        <f>AW15</f>
        <v>2662.939164795906</v>
      </c>
      <c r="AX26" s="165">
        <f>SUM(AS26:AV26)</f>
        <v>2188.6953306433129</v>
      </c>
      <c r="AY26" s="129">
        <f>AW26/AX26</f>
        <v>1.2166787800535037</v>
      </c>
      <c r="BA26" s="128"/>
      <c r="BB26" s="4" t="s">
        <v>12</v>
      </c>
      <c r="BC26" s="139">
        <f t="shared" si="33"/>
        <v>0</v>
      </c>
      <c r="BD26" s="139">
        <f t="shared" si="33"/>
        <v>401.52226148426467</v>
      </c>
      <c r="BE26" s="139">
        <f t="shared" si="33"/>
        <v>1089.0860881231722</v>
      </c>
      <c r="BF26" s="139">
        <f t="shared" si="33"/>
        <v>848.03412885259343</v>
      </c>
      <c r="BG26" s="120">
        <f>BG15</f>
        <v>2846.535435076155</v>
      </c>
      <c r="BH26" s="165">
        <f>SUM(BC26:BF26)</f>
        <v>2338.6424784600304</v>
      </c>
      <c r="BI26" s="129">
        <f>BG26/BH26</f>
        <v>1.2171742629726654</v>
      </c>
      <c r="BK26" s="128"/>
      <c r="BL26" s="4" t="s">
        <v>12</v>
      </c>
      <c r="BM26" s="139">
        <f t="shared" si="34"/>
        <v>0</v>
      </c>
      <c r="BN26" s="139">
        <f t="shared" si="34"/>
        <v>457.45035431472888</v>
      </c>
      <c r="BO26" s="139">
        <f t="shared" si="34"/>
        <v>1232.5623934031694</v>
      </c>
      <c r="BP26" s="139">
        <f t="shared" si="34"/>
        <v>961.32396417975337</v>
      </c>
      <c r="BQ26" s="120">
        <f>BQ15</f>
        <v>3044.1735794193137</v>
      </c>
      <c r="BR26" s="165">
        <f>SUM(BM26:BP26)</f>
        <v>2651.3367118976516</v>
      </c>
      <c r="BS26" s="129">
        <f>BQ26/BR26</f>
        <v>1.1481655897415215</v>
      </c>
    </row>
    <row r="27" spans="3:71" x14ac:dyDescent="0.3">
      <c r="C27" s="128"/>
      <c r="D27" s="4" t="s">
        <v>13</v>
      </c>
      <c r="E27" s="139">
        <f t="shared" si="28"/>
        <v>523.89034929240222</v>
      </c>
      <c r="F27" s="139">
        <f t="shared" si="28"/>
        <v>791.5805908543266</v>
      </c>
      <c r="G27" s="139">
        <f t="shared" si="28"/>
        <v>63.838856733335561</v>
      </c>
      <c r="H27" s="139">
        <f t="shared" si="28"/>
        <v>0</v>
      </c>
      <c r="I27" s="120">
        <f>I16</f>
        <v>1054</v>
      </c>
      <c r="J27" s="165">
        <f>SUM(E27:H27)</f>
        <v>1379.3097968800646</v>
      </c>
      <c r="K27" s="129">
        <f>I27/J27</f>
        <v>0.76415030356784208</v>
      </c>
      <c r="M27" s="128"/>
      <c r="N27" s="4" t="s">
        <v>13</v>
      </c>
      <c r="O27" s="139">
        <f t="shared" si="29"/>
        <v>431.51779524687225</v>
      </c>
      <c r="P27" s="139">
        <f t="shared" si="29"/>
        <v>739.53318743873751</v>
      </c>
      <c r="Q27" s="139">
        <f t="shared" si="29"/>
        <v>184.53195613143157</v>
      </c>
      <c r="R27" s="139">
        <f t="shared" si="29"/>
        <v>0</v>
      </c>
      <c r="S27" s="120">
        <f>S16</f>
        <v>1112.9834646689119</v>
      </c>
      <c r="T27" s="165">
        <f>SUM(O27:R27)</f>
        <v>1355.5829388170414</v>
      </c>
      <c r="U27" s="129">
        <f>S27/T27</f>
        <v>0.82103679000280461</v>
      </c>
      <c r="W27" s="128"/>
      <c r="X27" s="4" t="s">
        <v>13</v>
      </c>
      <c r="Y27" s="139">
        <f t="shared" ref="Y27:AB27" si="36">Y16*Y$20</f>
        <v>429.54434757958859</v>
      </c>
      <c r="Z27" s="139">
        <f t="shared" si="36"/>
        <v>737.57840833234252</v>
      </c>
      <c r="AA27" s="139">
        <f t="shared" si="36"/>
        <v>182.91083356102828</v>
      </c>
      <c r="AB27" s="139">
        <f t="shared" si="36"/>
        <v>0</v>
      </c>
      <c r="AC27" s="120">
        <f>AC16</f>
        <v>1176.364579366546</v>
      </c>
      <c r="AD27" s="165">
        <f>SUM(Y27:AB27)</f>
        <v>1350.0335894729594</v>
      </c>
      <c r="AE27" s="129">
        <f>AC27/AD27</f>
        <v>0.87135948952632192</v>
      </c>
      <c r="AG27" s="128"/>
      <c r="AH27" s="4" t="s">
        <v>13</v>
      </c>
      <c r="AI27" s="139">
        <f t="shared" si="31"/>
        <v>483.9326226355322</v>
      </c>
      <c r="AJ27" s="139">
        <f t="shared" si="31"/>
        <v>834.72208724131747</v>
      </c>
      <c r="AK27" s="139">
        <f t="shared" si="31"/>
        <v>205.29748365620281</v>
      </c>
      <c r="AL27" s="139">
        <f t="shared" si="31"/>
        <v>0</v>
      </c>
      <c r="AM27" s="120">
        <f>AM16</f>
        <v>1244.4750082359867</v>
      </c>
      <c r="AN27" s="165">
        <f>SUM(AI27:AL27)</f>
        <v>1523.9521935330524</v>
      </c>
      <c r="AO27" s="129">
        <f>AM27/AN27</f>
        <v>0.81661026738040898</v>
      </c>
      <c r="AQ27" s="128"/>
      <c r="AR27" s="4" t="s">
        <v>13</v>
      </c>
      <c r="AS27" s="139">
        <f t="shared" si="32"/>
        <v>513.15093696730446</v>
      </c>
      <c r="AT27" s="139">
        <f t="shared" si="32"/>
        <v>887.7679902803003</v>
      </c>
      <c r="AU27" s="139">
        <f t="shared" si="32"/>
        <v>216.82620951885505</v>
      </c>
      <c r="AV27" s="139">
        <f t="shared" si="32"/>
        <v>0</v>
      </c>
      <c r="AW27" s="120">
        <f>AW16</f>
        <v>1317.6716292739918</v>
      </c>
      <c r="AX27" s="165">
        <f>SUM(AS27:AV27)</f>
        <v>1617.7451367664596</v>
      </c>
      <c r="AY27" s="129">
        <f>AW27/AX27</f>
        <v>0.81451125973263427</v>
      </c>
      <c r="BA27" s="128"/>
      <c r="BB27" s="4" t="s">
        <v>13</v>
      </c>
      <c r="BC27" s="139">
        <f t="shared" si="33"/>
        <v>544.58193707056807</v>
      </c>
      <c r="BD27" s="139">
        <f t="shared" si="33"/>
        <v>944.82069277417759</v>
      </c>
      <c r="BE27" s="139">
        <f t="shared" si="33"/>
        <v>229.19407822485019</v>
      </c>
      <c r="BF27" s="139">
        <f t="shared" si="33"/>
        <v>0</v>
      </c>
      <c r="BG27" s="120">
        <f>BG16</f>
        <v>1396.3384616119097</v>
      </c>
      <c r="BH27" s="165">
        <f>SUM(BC27:BF27)</f>
        <v>1718.5967080695959</v>
      </c>
      <c r="BI27" s="129">
        <f>BG27/BH27</f>
        <v>0.81248756910534237</v>
      </c>
      <c r="BK27" s="128"/>
      <c r="BL27" s="4" t="s">
        <v>13</v>
      </c>
      <c r="BM27" s="139">
        <f t="shared" si="34"/>
        <v>613.40058604199157</v>
      </c>
      <c r="BN27" s="139">
        <f t="shared" si="34"/>
        <v>1067.083596821833</v>
      </c>
      <c r="BO27" s="139">
        <f t="shared" si="34"/>
        <v>257.13713632605078</v>
      </c>
      <c r="BP27" s="139">
        <f t="shared" si="34"/>
        <v>0</v>
      </c>
      <c r="BQ27" s="120">
        <f>BQ16</f>
        <v>1480.8887406556896</v>
      </c>
      <c r="BR27" s="165">
        <f>SUM(BM27:BP27)</f>
        <v>1937.6213191898753</v>
      </c>
      <c r="BS27" s="129">
        <f>BQ27/BR27</f>
        <v>0.76428181605415713</v>
      </c>
    </row>
    <row r="28" spans="3:71" x14ac:dyDescent="0.3">
      <c r="C28" s="128"/>
      <c r="D28" s="4" t="s">
        <v>14</v>
      </c>
      <c r="E28" s="139">
        <f t="shared" si="28"/>
        <v>470.7755602252231</v>
      </c>
      <c r="F28" s="139">
        <f t="shared" si="28"/>
        <v>712.18954304247484</v>
      </c>
      <c r="G28" s="139">
        <f t="shared" si="28"/>
        <v>0</v>
      </c>
      <c r="H28" s="139">
        <f t="shared" si="28"/>
        <v>232.23529312622387</v>
      </c>
      <c r="I28" s="120">
        <f>I17</f>
        <v>1108</v>
      </c>
      <c r="J28" s="165">
        <f>SUM(E28:H28)</f>
        <v>1415.2003963939219</v>
      </c>
      <c r="K28" s="129">
        <f>I28/J28</f>
        <v>0.78292798873099489</v>
      </c>
      <c r="M28" s="128"/>
      <c r="N28" s="4" t="s">
        <v>14</v>
      </c>
      <c r="O28" s="139">
        <f t="shared" si="29"/>
        <v>359.19803185501075</v>
      </c>
      <c r="P28" s="139">
        <f t="shared" si="29"/>
        <v>616.33928698489217</v>
      </c>
      <c r="Q28" s="139">
        <f t="shared" si="29"/>
        <v>0</v>
      </c>
      <c r="R28" s="139">
        <f t="shared" si="29"/>
        <v>506.96658199036017</v>
      </c>
      <c r="S28" s="120">
        <f>S17</f>
        <v>1172.7332381057306</v>
      </c>
      <c r="T28" s="165">
        <f>SUM(O28:R28)</f>
        <v>1482.5039008302631</v>
      </c>
      <c r="U28" s="129">
        <f>S28/T28</f>
        <v>0.79104900664946098</v>
      </c>
      <c r="W28" s="128"/>
      <c r="X28" s="4" t="s">
        <v>14</v>
      </c>
      <c r="Y28" s="139">
        <f t="shared" ref="Y28:AB28" si="37">Y17*Y$20</f>
        <v>358.38378337200754</v>
      </c>
      <c r="Z28" s="139">
        <f t="shared" si="37"/>
        <v>616.13443460457188</v>
      </c>
      <c r="AA28" s="139">
        <f t="shared" si="37"/>
        <v>0</v>
      </c>
      <c r="AB28" s="139">
        <f t="shared" si="37"/>
        <v>504.28700454155535</v>
      </c>
      <c r="AC28" s="120">
        <f>AC17</f>
        <v>1242.3889058947407</v>
      </c>
      <c r="AD28" s="165">
        <f>SUM(Y28:AB28)</f>
        <v>1478.8052225181348</v>
      </c>
      <c r="AE28" s="129">
        <f>AC28/AD28</f>
        <v>0.84013018548797092</v>
      </c>
      <c r="AG28" s="128"/>
      <c r="AH28" s="4" t="s">
        <v>14</v>
      </c>
      <c r="AI28" s="139">
        <f t="shared" si="31"/>
        <v>404.60216742390946</v>
      </c>
      <c r="AJ28" s="139">
        <f t="shared" si="31"/>
        <v>698.73444980939098</v>
      </c>
      <c r="AK28" s="139">
        <f t="shared" si="31"/>
        <v>0</v>
      </c>
      <c r="AL28" s="139">
        <f t="shared" si="31"/>
        <v>568.50360468479562</v>
      </c>
      <c r="AM28" s="120">
        <f>AM17</f>
        <v>1317.3433265123847</v>
      </c>
      <c r="AN28" s="165">
        <f>SUM(AI28:AL28)</f>
        <v>1671.8402219180959</v>
      </c>
      <c r="AO28" s="129">
        <f>AM28/AN28</f>
        <v>0.78796006295446208</v>
      </c>
      <c r="AQ28" s="128"/>
      <c r="AR28" s="4" t="s">
        <v>14</v>
      </c>
      <c r="AS28" s="139">
        <f t="shared" si="32"/>
        <v>429.96373808774058</v>
      </c>
      <c r="AT28" s="139">
        <f t="shared" si="32"/>
        <v>744.75449100486503</v>
      </c>
      <c r="AU28" s="139">
        <f t="shared" si="32"/>
        <v>0</v>
      </c>
      <c r="AV28" s="139">
        <f t="shared" si="32"/>
        <v>602.7637379584877</v>
      </c>
      <c r="AW28" s="120">
        <f>AW17</f>
        <v>1398.0016976238194</v>
      </c>
      <c r="AX28" s="165">
        <f>SUM(AS28:AV28)</f>
        <v>1777.4819670510933</v>
      </c>
      <c r="AY28" s="129">
        <f>AW28/AX28</f>
        <v>0.78650682456326382</v>
      </c>
      <c r="BA28" s="128"/>
      <c r="BB28" s="4" t="s">
        <v>14</v>
      </c>
      <c r="BC28" s="139">
        <f t="shared" si="33"/>
        <v>457.28233043010192</v>
      </c>
      <c r="BD28" s="139">
        <f t="shared" si="33"/>
        <v>794.32371613387477</v>
      </c>
      <c r="BE28" s="139">
        <f t="shared" si="33"/>
        <v>0</v>
      </c>
      <c r="BF28" s="139">
        <f t="shared" si="33"/>
        <v>639.58637399291149</v>
      </c>
      <c r="BG28" s="120">
        <f>BG17</f>
        <v>1484.8003122791824</v>
      </c>
      <c r="BH28" s="165">
        <f>SUM(BC28:BF28)</f>
        <v>1891.192420556888</v>
      </c>
      <c r="BI28" s="129">
        <f>BG28/BH28</f>
        <v>0.78511329473389191</v>
      </c>
      <c r="BK28" s="128"/>
      <c r="BL28" s="4" t="s">
        <v>14</v>
      </c>
      <c r="BM28" s="139">
        <f t="shared" si="34"/>
        <v>516.16640362328201</v>
      </c>
      <c r="BN28" s="139">
        <f t="shared" si="34"/>
        <v>899.02327666992642</v>
      </c>
      <c r="BO28" s="139">
        <f t="shared" si="34"/>
        <v>0</v>
      </c>
      <c r="BP28" s="139">
        <f t="shared" si="34"/>
        <v>720.26897450211288</v>
      </c>
      <c r="BQ28" s="120">
        <f>BQ17</f>
        <v>1578.2089508716722</v>
      </c>
      <c r="BR28" s="165">
        <f>SUM(BM28:BP28)</f>
        <v>2135.4586547953213</v>
      </c>
      <c r="BS28" s="129">
        <f>BQ28/BR28</f>
        <v>0.73904917209597754</v>
      </c>
    </row>
    <row r="29" spans="3:71" x14ac:dyDescent="0.3">
      <c r="C29" s="128"/>
      <c r="D29" s="120" t="s">
        <v>196</v>
      </c>
      <c r="E29" s="120">
        <f>E18</f>
        <v>2050</v>
      </c>
      <c r="F29" s="120">
        <f>F18</f>
        <v>2050</v>
      </c>
      <c r="G29" s="120">
        <f>G18</f>
        <v>1054</v>
      </c>
      <c r="H29" s="120">
        <f>H18</f>
        <v>1108</v>
      </c>
      <c r="K29" s="129"/>
      <c r="M29" s="128"/>
      <c r="N29" s="120" t="s">
        <v>196</v>
      </c>
      <c r="O29" s="120">
        <f>O18</f>
        <v>1328.012404961956</v>
      </c>
      <c r="P29" s="120">
        <f>P18</f>
        <v>1658.4558060242425</v>
      </c>
      <c r="Q29" s="120">
        <f>Q18</f>
        <v>1917.811032253856</v>
      </c>
      <c r="R29" s="120">
        <f>R18</f>
        <v>1754.9305618371486</v>
      </c>
      <c r="U29" s="129"/>
      <c r="W29" s="128"/>
      <c r="X29" s="120" t="s">
        <v>196</v>
      </c>
      <c r="Y29" s="120">
        <f>Y18</f>
        <v>1328.012404961956</v>
      </c>
      <c r="Z29" s="120">
        <f>Z18</f>
        <v>1658.4558060242425</v>
      </c>
      <c r="AA29" s="120">
        <f>AA18</f>
        <v>1917.811032253856</v>
      </c>
      <c r="AB29" s="120">
        <f>AB18</f>
        <v>1754.9305618371486</v>
      </c>
      <c r="AE29" s="129"/>
      <c r="AG29" s="128"/>
      <c r="AH29" s="120" t="s">
        <v>196</v>
      </c>
      <c r="AI29" s="120">
        <f>AI18</f>
        <v>1503.1992104315086</v>
      </c>
      <c r="AJ29" s="120">
        <f>AJ18</f>
        <v>1881.7414801634088</v>
      </c>
      <c r="AK29" s="120">
        <f>AK18</f>
        <v>2172.0689016417573</v>
      </c>
      <c r="AL29" s="120">
        <f>AL18</f>
        <v>1989.5768224362307</v>
      </c>
      <c r="AO29" s="129"/>
      <c r="AQ29" s="128"/>
      <c r="AR29" s="120" t="s">
        <v>196</v>
      </c>
      <c r="AS29" s="120">
        <f>AS18</f>
        <v>1601.0889518076301</v>
      </c>
      <c r="AT29" s="120">
        <f>AT18</f>
        <v>2006.4115000433494</v>
      </c>
      <c r="AU29" s="120">
        <f>AU18</f>
        <v>2313.6568174166791</v>
      </c>
      <c r="AV29" s="120">
        <f>AV18</f>
        <v>2120.3943872219643</v>
      </c>
      <c r="AY29" s="129"/>
      <c r="BA29" s="128"/>
      <c r="BB29" s="120" t="s">
        <v>196</v>
      </c>
      <c r="BC29" s="120">
        <f>BC18</f>
        <v>1706.558014485141</v>
      </c>
      <c r="BD29" s="120">
        <f>BD18</f>
        <v>2140.666670392317</v>
      </c>
      <c r="BE29" s="120">
        <f>BE18</f>
        <v>2465.8588575838148</v>
      </c>
      <c r="BF29" s="120">
        <f>BF18</f>
        <v>2261.126101582131</v>
      </c>
      <c r="BI29" s="129"/>
      <c r="BK29" s="128"/>
      <c r="BL29" s="120" t="s">
        <v>196</v>
      </c>
      <c r="BM29" s="120">
        <f>BM18</f>
        <v>1930.3584281999242</v>
      </c>
      <c r="BN29" s="120">
        <f>BN18</f>
        <v>2423.5572278064883</v>
      </c>
      <c r="BO29" s="120">
        <f>BO18</f>
        <v>2788.6181283808864</v>
      </c>
      <c r="BP29" s="120">
        <f>BP18</f>
        <v>2558.5385458951887</v>
      </c>
      <c r="BS29" s="129"/>
    </row>
    <row r="30" spans="3:71" x14ac:dyDescent="0.3">
      <c r="C30" s="128"/>
      <c r="D30" s="120" t="s">
        <v>195</v>
      </c>
      <c r="E30" s="165">
        <f>SUM(E25:E28)</f>
        <v>2050</v>
      </c>
      <c r="F30" s="165">
        <f>SUM(F25:F28)</f>
        <v>2049.9999999999995</v>
      </c>
      <c r="G30" s="165">
        <f>SUM(G25:G28)</f>
        <v>1054</v>
      </c>
      <c r="H30" s="165">
        <f>SUM(H25:H28)</f>
        <v>1108</v>
      </c>
      <c r="K30" s="129"/>
      <c r="M30" s="128"/>
      <c r="N30" s="120" t="s">
        <v>195</v>
      </c>
      <c r="O30" s="165">
        <f>SUM(O25:O28)</f>
        <v>1328.0124049619562</v>
      </c>
      <c r="P30" s="165">
        <f>SUM(P25:P28)</f>
        <v>1658.4558060242425</v>
      </c>
      <c r="Q30" s="165">
        <f>SUM(Q25:Q28)</f>
        <v>1917.8110322538562</v>
      </c>
      <c r="R30" s="165">
        <f>SUM(R25:R28)</f>
        <v>1754.9305618371486</v>
      </c>
      <c r="U30" s="129"/>
      <c r="W30" s="128"/>
      <c r="X30" s="120" t="s">
        <v>195</v>
      </c>
      <c r="Y30" s="165">
        <f>SUM(Y25:Y28)</f>
        <v>1328.0124049619562</v>
      </c>
      <c r="Z30" s="165">
        <f>SUM(Z25:Z28)</f>
        <v>1658.4558060242427</v>
      </c>
      <c r="AA30" s="165">
        <f>SUM(AA25:AA28)</f>
        <v>1917.8110322538562</v>
      </c>
      <c r="AB30" s="165">
        <f>SUM(AB25:AB28)</f>
        <v>1754.9305618371482</v>
      </c>
      <c r="AE30" s="129"/>
      <c r="AG30" s="128"/>
      <c r="AH30" s="120" t="s">
        <v>195</v>
      </c>
      <c r="AI30" s="165">
        <f>SUM(AI25:AI28)</f>
        <v>1503.1992104315086</v>
      </c>
      <c r="AJ30" s="165">
        <f>SUM(AJ25:AJ28)</f>
        <v>1881.7414801634088</v>
      </c>
      <c r="AK30" s="165">
        <f>SUM(AK25:AK28)</f>
        <v>2172.0689016417573</v>
      </c>
      <c r="AL30" s="165">
        <f>SUM(AL25:AL28)</f>
        <v>1989.5768224362307</v>
      </c>
      <c r="AO30" s="129"/>
      <c r="AQ30" s="128"/>
      <c r="AR30" s="120" t="s">
        <v>195</v>
      </c>
      <c r="AS30" s="165">
        <f>SUM(AS25:AS28)</f>
        <v>1601.0889518076306</v>
      </c>
      <c r="AT30" s="165">
        <f>SUM(AT25:AT28)</f>
        <v>2006.4115000433494</v>
      </c>
      <c r="AU30" s="165">
        <f>SUM(AU25:AU28)</f>
        <v>2313.6568174166791</v>
      </c>
      <c r="AV30" s="165">
        <f>SUM(AV25:AV28)</f>
        <v>2120.3943872219643</v>
      </c>
      <c r="AY30" s="129"/>
      <c r="BA30" s="128"/>
      <c r="BB30" s="120" t="s">
        <v>195</v>
      </c>
      <c r="BC30" s="165">
        <f>SUM(BC25:BC28)</f>
        <v>1706.558014485141</v>
      </c>
      <c r="BD30" s="165">
        <f>SUM(BD25:BD28)</f>
        <v>2140.666670392317</v>
      </c>
      <c r="BE30" s="165">
        <f>SUM(BE25:BE28)</f>
        <v>2465.8588575838148</v>
      </c>
      <c r="BF30" s="165">
        <f>SUM(BF25:BF28)</f>
        <v>2261.1261015821306</v>
      </c>
      <c r="BI30" s="129"/>
      <c r="BK30" s="128"/>
      <c r="BL30" s="120" t="s">
        <v>195</v>
      </c>
      <c r="BM30" s="165">
        <f>SUM(BM25:BM28)</f>
        <v>1930.3584281999238</v>
      </c>
      <c r="BN30" s="165">
        <f>SUM(BN25:BN28)</f>
        <v>2423.5572278064883</v>
      </c>
      <c r="BO30" s="165">
        <f>SUM(BO25:BO28)</f>
        <v>2788.6181283808869</v>
      </c>
      <c r="BP30" s="165">
        <f>SUM(BP25:BP28)</f>
        <v>2558.5385458951882</v>
      </c>
      <c r="BS30" s="129"/>
    </row>
    <row r="31" spans="3:71" x14ac:dyDescent="0.3">
      <c r="C31" s="128"/>
      <c r="D31" s="120" t="s">
        <v>194</v>
      </c>
      <c r="E31" s="120">
        <f>E29/E30</f>
        <v>1</v>
      </c>
      <c r="F31" s="120">
        <f>F29/F30</f>
        <v>1.0000000000000002</v>
      </c>
      <c r="G31" s="120">
        <f>G29/G30</f>
        <v>1</v>
      </c>
      <c r="H31" s="120">
        <f>H29/H30</f>
        <v>1</v>
      </c>
      <c r="K31" s="129"/>
      <c r="M31" s="128"/>
      <c r="N31" s="120" t="s">
        <v>194</v>
      </c>
      <c r="O31" s="120">
        <f>O29/O30</f>
        <v>0.99999999999999978</v>
      </c>
      <c r="P31" s="120">
        <f>P29/P30</f>
        <v>1</v>
      </c>
      <c r="Q31" s="120">
        <f>Q29/Q30</f>
        <v>0.99999999999999989</v>
      </c>
      <c r="R31" s="120">
        <f>R29/R30</f>
        <v>1</v>
      </c>
      <c r="U31" s="129"/>
      <c r="W31" s="128"/>
      <c r="X31" s="120" t="s">
        <v>194</v>
      </c>
      <c r="Y31" s="120">
        <f>Y29/Y30</f>
        <v>0.99999999999999978</v>
      </c>
      <c r="Z31" s="120">
        <f>Z29/Z30</f>
        <v>0.99999999999999989</v>
      </c>
      <c r="AA31" s="120">
        <f>AA29/AA30</f>
        <v>0.99999999999999989</v>
      </c>
      <c r="AB31" s="120">
        <f>AB29/AB30</f>
        <v>1.0000000000000002</v>
      </c>
      <c r="AE31" s="129"/>
      <c r="AG31" s="128"/>
      <c r="AH31" s="120" t="s">
        <v>194</v>
      </c>
      <c r="AI31" s="120">
        <f>AI29/AI30</f>
        <v>1</v>
      </c>
      <c r="AJ31" s="120">
        <f>AJ29/AJ30</f>
        <v>1</v>
      </c>
      <c r="AK31" s="120">
        <f>AK29/AK30</f>
        <v>1</v>
      </c>
      <c r="AL31" s="120">
        <f>AL29/AL30</f>
        <v>1</v>
      </c>
      <c r="AO31" s="129"/>
      <c r="AQ31" s="128"/>
      <c r="AR31" s="120" t="s">
        <v>194</v>
      </c>
      <c r="AS31" s="120">
        <f>AS29/AS30</f>
        <v>0.99999999999999967</v>
      </c>
      <c r="AT31" s="120">
        <f>AT29/AT30</f>
        <v>1</v>
      </c>
      <c r="AU31" s="120">
        <f>AU29/AU30</f>
        <v>1</v>
      </c>
      <c r="AV31" s="120">
        <f>AV29/AV30</f>
        <v>1</v>
      </c>
      <c r="AY31" s="129"/>
      <c r="BA31" s="128"/>
      <c r="BB31" s="120" t="s">
        <v>194</v>
      </c>
      <c r="BC31" s="120">
        <f>BC29/BC30</f>
        <v>1</v>
      </c>
      <c r="BD31" s="120">
        <f>BD29/BD30</f>
        <v>1</v>
      </c>
      <c r="BE31" s="120">
        <f>BE29/BE30</f>
        <v>1</v>
      </c>
      <c r="BF31" s="120">
        <f>BF29/BF30</f>
        <v>1.0000000000000002</v>
      </c>
      <c r="BI31" s="129"/>
      <c r="BK31" s="128"/>
      <c r="BL31" s="120" t="s">
        <v>194</v>
      </c>
      <c r="BM31" s="120">
        <f>BM29/BM30</f>
        <v>1.0000000000000002</v>
      </c>
      <c r="BN31" s="120">
        <f>BN29/BN30</f>
        <v>1</v>
      </c>
      <c r="BO31" s="120">
        <f>BO29/BO30</f>
        <v>0.99999999999999989</v>
      </c>
      <c r="BP31" s="120">
        <f>BP29/BP30</f>
        <v>1.0000000000000002</v>
      </c>
      <c r="BS31" s="129"/>
    </row>
    <row r="32" spans="3:71" x14ac:dyDescent="0.3">
      <c r="C32" s="128"/>
      <c r="K32" s="129"/>
      <c r="M32" s="128"/>
      <c r="U32" s="129"/>
      <c r="W32" s="128"/>
      <c r="AE32" s="129"/>
      <c r="AG32" s="128"/>
      <c r="AO32" s="129"/>
      <c r="AQ32" s="128"/>
      <c r="AY32" s="129"/>
      <c r="BA32" s="128"/>
      <c r="BI32" s="129"/>
      <c r="BK32" s="128"/>
      <c r="BS32" s="129"/>
    </row>
    <row r="33" spans="3:71" x14ac:dyDescent="0.3">
      <c r="C33" s="128"/>
      <c r="K33" s="129"/>
      <c r="M33" s="128"/>
      <c r="U33" s="129"/>
      <c r="W33" s="128"/>
      <c r="AE33" s="129"/>
      <c r="AG33" s="128"/>
      <c r="AO33" s="129"/>
      <c r="AQ33" s="128"/>
      <c r="AY33" s="129"/>
      <c r="BA33" s="128"/>
      <c r="BI33" s="129"/>
      <c r="BK33" s="128"/>
      <c r="BS33" s="129"/>
    </row>
    <row r="34" spans="3:71" x14ac:dyDescent="0.3">
      <c r="C34" s="128" t="s">
        <v>203</v>
      </c>
      <c r="K34" s="129"/>
      <c r="M34" s="128" t="s">
        <v>203</v>
      </c>
      <c r="U34" s="129"/>
      <c r="W34" s="128" t="s">
        <v>203</v>
      </c>
      <c r="AE34" s="129"/>
      <c r="AG34" s="128" t="s">
        <v>203</v>
      </c>
      <c r="AO34" s="129"/>
      <c r="AQ34" s="128" t="s">
        <v>203</v>
      </c>
      <c r="AY34" s="129"/>
      <c r="BA34" s="128" t="s">
        <v>203</v>
      </c>
      <c r="BI34" s="129"/>
      <c r="BK34" s="128" t="s">
        <v>203</v>
      </c>
      <c r="BS34" s="129"/>
    </row>
    <row r="35" spans="3:71" x14ac:dyDescent="0.3">
      <c r="C35" s="128"/>
      <c r="D35" s="131" t="s">
        <v>199</v>
      </c>
      <c r="E35" s="4" t="s">
        <v>11</v>
      </c>
      <c r="F35" s="4" t="s">
        <v>12</v>
      </c>
      <c r="G35" s="4" t="s">
        <v>13</v>
      </c>
      <c r="H35" s="4" t="s">
        <v>14</v>
      </c>
      <c r="I35" s="120" t="s">
        <v>198</v>
      </c>
      <c r="J35" s="120" t="s">
        <v>197</v>
      </c>
      <c r="K35" s="129" t="s">
        <v>194</v>
      </c>
      <c r="M35" s="128"/>
      <c r="N35" s="131" t="s">
        <v>199</v>
      </c>
      <c r="O35" s="4" t="s">
        <v>11</v>
      </c>
      <c r="P35" s="4" t="s">
        <v>12</v>
      </c>
      <c r="Q35" s="4" t="s">
        <v>13</v>
      </c>
      <c r="R35" s="4" t="s">
        <v>14</v>
      </c>
      <c r="S35" s="120" t="s">
        <v>198</v>
      </c>
      <c r="T35" s="120" t="s">
        <v>197</v>
      </c>
      <c r="U35" s="129" t="s">
        <v>194</v>
      </c>
      <c r="W35" s="128"/>
      <c r="X35" s="131" t="s">
        <v>199</v>
      </c>
      <c r="Y35" s="4" t="s">
        <v>11</v>
      </c>
      <c r="Z35" s="4" t="s">
        <v>12</v>
      </c>
      <c r="AA35" s="4" t="s">
        <v>13</v>
      </c>
      <c r="AB35" s="4" t="s">
        <v>14</v>
      </c>
      <c r="AC35" s="120" t="s">
        <v>198</v>
      </c>
      <c r="AD35" s="120" t="s">
        <v>197</v>
      </c>
      <c r="AE35" s="129" t="s">
        <v>194</v>
      </c>
      <c r="AG35" s="128"/>
      <c r="AH35" s="131" t="s">
        <v>199</v>
      </c>
      <c r="AI35" s="4" t="s">
        <v>11</v>
      </c>
      <c r="AJ35" s="4" t="s">
        <v>12</v>
      </c>
      <c r="AK35" s="4" t="s">
        <v>13</v>
      </c>
      <c r="AL35" s="4" t="s">
        <v>14</v>
      </c>
      <c r="AM35" s="120" t="s">
        <v>198</v>
      </c>
      <c r="AN35" s="120" t="s">
        <v>197</v>
      </c>
      <c r="AO35" s="129" t="s">
        <v>194</v>
      </c>
      <c r="AQ35" s="128"/>
      <c r="AR35" s="131" t="s">
        <v>199</v>
      </c>
      <c r="AS35" s="4" t="s">
        <v>11</v>
      </c>
      <c r="AT35" s="4" t="s">
        <v>12</v>
      </c>
      <c r="AU35" s="4" t="s">
        <v>13</v>
      </c>
      <c r="AV35" s="4" t="s">
        <v>14</v>
      </c>
      <c r="AW35" s="120" t="s">
        <v>198</v>
      </c>
      <c r="AX35" s="120" t="s">
        <v>197</v>
      </c>
      <c r="AY35" s="129" t="s">
        <v>194</v>
      </c>
      <c r="BA35" s="128"/>
      <c r="BB35" s="131" t="s">
        <v>199</v>
      </c>
      <c r="BC35" s="4" t="s">
        <v>11</v>
      </c>
      <c r="BD35" s="4" t="s">
        <v>12</v>
      </c>
      <c r="BE35" s="4" t="s">
        <v>13</v>
      </c>
      <c r="BF35" s="4" t="s">
        <v>14</v>
      </c>
      <c r="BG35" s="120" t="s">
        <v>198</v>
      </c>
      <c r="BH35" s="120" t="s">
        <v>197</v>
      </c>
      <c r="BI35" s="129" t="s">
        <v>194</v>
      </c>
      <c r="BK35" s="128"/>
      <c r="BL35" s="131" t="s">
        <v>199</v>
      </c>
      <c r="BM35" s="4" t="s">
        <v>11</v>
      </c>
      <c r="BN35" s="4" t="s">
        <v>12</v>
      </c>
      <c r="BO35" s="4" t="s">
        <v>13</v>
      </c>
      <c r="BP35" s="4" t="s">
        <v>14</v>
      </c>
      <c r="BQ35" s="120" t="s">
        <v>198</v>
      </c>
      <c r="BR35" s="120" t="s">
        <v>197</v>
      </c>
      <c r="BS35" s="129" t="s">
        <v>194</v>
      </c>
    </row>
    <row r="36" spans="3:71" x14ac:dyDescent="0.3">
      <c r="C36" s="128"/>
      <c r="D36" s="4" t="s">
        <v>11</v>
      </c>
      <c r="E36" s="139">
        <f t="shared" ref="E36:H39" si="38">E25*$K25</f>
        <v>1102.9567368759058</v>
      </c>
      <c r="F36" s="139">
        <f t="shared" si="38"/>
        <v>0</v>
      </c>
      <c r="G36" s="139">
        <f t="shared" si="38"/>
        <v>520.0499725736554</v>
      </c>
      <c r="H36" s="139">
        <f t="shared" si="38"/>
        <v>426.99329055043876</v>
      </c>
      <c r="I36" s="120">
        <f>I25</f>
        <v>2050</v>
      </c>
      <c r="J36" s="165">
        <f>SUM(E36:H36)</f>
        <v>2050</v>
      </c>
      <c r="K36" s="129">
        <f>I36/J36</f>
        <v>1</v>
      </c>
      <c r="M36" s="128"/>
      <c r="N36" s="4" t="s">
        <v>11</v>
      </c>
      <c r="O36" s="139">
        <f>O25*$U25</f>
        <v>581.22442238509711</v>
      </c>
      <c r="P36" s="139">
        <f t="shared" ref="P36:R36" si="39">P25*$U25</f>
        <v>0</v>
      </c>
      <c r="Q36" s="139">
        <f t="shared" si="39"/>
        <v>961.74209977540613</v>
      </c>
      <c r="R36" s="139">
        <f t="shared" si="39"/>
        <v>643.78002899077683</v>
      </c>
      <c r="S36" s="120">
        <f>S25</f>
        <v>2186.7465511512801</v>
      </c>
      <c r="T36" s="165">
        <f>SUM(O36:R36)</f>
        <v>2186.7465511512801</v>
      </c>
      <c r="U36" s="129">
        <f>S36/T36</f>
        <v>1</v>
      </c>
      <c r="W36" s="128"/>
      <c r="X36" s="4" t="s">
        <v>11</v>
      </c>
      <c r="Y36" s="139">
        <f>Y25*$AE25</f>
        <v>622.05944283574081</v>
      </c>
      <c r="Z36" s="139">
        <f t="shared" ref="Z36:AB36" si="40">Z25*$AE25</f>
        <v>0</v>
      </c>
      <c r="AA36" s="139">
        <f t="shared" si="40"/>
        <v>1024.9559597625935</v>
      </c>
      <c r="AB36" s="139">
        <f t="shared" si="40"/>
        <v>686.92539948167814</v>
      </c>
      <c r="AC36" s="120">
        <f>AC25</f>
        <v>2333.9408020800124</v>
      </c>
      <c r="AD36" s="165">
        <f>SUM(Y36:AB36)</f>
        <v>2333.9408020800124</v>
      </c>
      <c r="AE36" s="129">
        <f>AC36/AD36</f>
        <v>1</v>
      </c>
      <c r="AG36" s="128"/>
      <c r="AH36" s="4" t="s">
        <v>11</v>
      </c>
      <c r="AI36" s="139">
        <f>AI25*$AO25</f>
        <v>665.66733165557071</v>
      </c>
      <c r="AJ36" s="139">
        <f t="shared" ref="AJ36:AL36" si="41">AJ25*$AO25</f>
        <v>0</v>
      </c>
      <c r="AK36" s="139">
        <f t="shared" si="41"/>
        <v>1092.6922637035709</v>
      </c>
      <c r="AL36" s="139">
        <f t="shared" si="41"/>
        <v>734.02444460312552</v>
      </c>
      <c r="AM36" s="120">
        <f>AM25</f>
        <v>2492.3840399622668</v>
      </c>
      <c r="AN36" s="165">
        <f>SUM(AI36:AL36)</f>
        <v>2492.3840399622673</v>
      </c>
      <c r="AO36" s="129">
        <f>AM36/AN36</f>
        <v>0.99999999999999978</v>
      </c>
      <c r="AQ36" s="128"/>
      <c r="AR36" s="4" t="s">
        <v>11</v>
      </c>
      <c r="AS36" s="139">
        <f>AS25*$AY25</f>
        <v>712.94134008804429</v>
      </c>
      <c r="AT36" s="139">
        <f t="shared" ref="AT36:AV36" si="42">AT25*$AY25</f>
        <v>0</v>
      </c>
      <c r="AU36" s="139">
        <f t="shared" si="42"/>
        <v>1165.6343769061014</v>
      </c>
      <c r="AV36" s="139">
        <f t="shared" si="42"/>
        <v>784.36344780176046</v>
      </c>
      <c r="AW36" s="120">
        <f>AW25</f>
        <v>2662.939164795906</v>
      </c>
      <c r="AX36" s="165">
        <f>SUM(AS36:AV36)</f>
        <v>2662.9391647959064</v>
      </c>
      <c r="AY36" s="129">
        <f>AW36/AX36</f>
        <v>0.99999999999999978</v>
      </c>
      <c r="BA36" s="128"/>
      <c r="BB36" s="4" t="s">
        <v>11</v>
      </c>
      <c r="BC36" s="139">
        <f>BC25*$BI25</f>
        <v>763.93956131670598</v>
      </c>
      <c r="BD36" s="139">
        <f t="shared" ref="BD36:BF36" si="43">BD25*$BI25</f>
        <v>0</v>
      </c>
      <c r="BE36" s="139">
        <f t="shared" si="43"/>
        <v>1244.0592324120478</v>
      </c>
      <c r="BF36" s="139">
        <f t="shared" si="43"/>
        <v>838.53664134740131</v>
      </c>
      <c r="BG36" s="120">
        <f>BG25</f>
        <v>2846.535435076155</v>
      </c>
      <c r="BH36" s="165">
        <f>SUM(BC36:BF36)</f>
        <v>2846.535435076155</v>
      </c>
      <c r="BI36" s="129">
        <f>BG36/BH36</f>
        <v>1</v>
      </c>
      <c r="BK36" s="128"/>
      <c r="BL36" s="4" t="s">
        <v>11</v>
      </c>
      <c r="BM36" s="139">
        <f>BM25*$BS25</f>
        <v>818.9553751032015</v>
      </c>
      <c r="BN36" s="139">
        <f t="shared" ref="BN36:BP36" si="44">BN25*$BS25</f>
        <v>0</v>
      </c>
      <c r="BO36" s="139">
        <f t="shared" si="44"/>
        <v>1328.381295052109</v>
      </c>
      <c r="BP36" s="139">
        <f t="shared" si="44"/>
        <v>896.83690926400322</v>
      </c>
      <c r="BQ36" s="120">
        <f>BQ25</f>
        <v>3044.1735794193137</v>
      </c>
      <c r="BR36" s="165">
        <f>SUM(BM36:BP36)</f>
        <v>3044.1735794193137</v>
      </c>
      <c r="BS36" s="129">
        <f>BQ36/BR36</f>
        <v>1</v>
      </c>
    </row>
    <row r="37" spans="3:71" x14ac:dyDescent="0.3">
      <c r="C37" s="128"/>
      <c r="D37" s="4" t="s">
        <v>12</v>
      </c>
      <c r="E37" s="139">
        <f t="shared" si="38"/>
        <v>0</v>
      </c>
      <c r="F37" s="139">
        <f t="shared" si="38"/>
        <v>743.53841867928054</v>
      </c>
      <c r="G37" s="139">
        <f t="shared" si="38"/>
        <v>670.48947184337317</v>
      </c>
      <c r="H37" s="139">
        <f t="shared" si="38"/>
        <v>635.97210947734629</v>
      </c>
      <c r="I37" s="120">
        <f>I26</f>
        <v>2050</v>
      </c>
      <c r="J37" s="165">
        <f>SUM(E37:H37)</f>
        <v>2050</v>
      </c>
      <c r="K37" s="129">
        <f>I37/J37</f>
        <v>1</v>
      </c>
      <c r="M37" s="128"/>
      <c r="N37" s="4" t="s">
        <v>12</v>
      </c>
      <c r="O37" s="139">
        <f t="shared" ref="O37:R37" si="45">O26*$U26</f>
        <v>0</v>
      </c>
      <c r="P37" s="139">
        <f t="shared" si="45"/>
        <v>367.66833023276092</v>
      </c>
      <c r="Q37" s="139">
        <f t="shared" si="45"/>
        <v>1025.8142449683733</v>
      </c>
      <c r="R37" s="139">
        <f t="shared" si="45"/>
        <v>793.26397595014578</v>
      </c>
      <c r="S37" s="120">
        <f>S26</f>
        <v>2186.7465511512801</v>
      </c>
      <c r="T37" s="165">
        <f>SUM(O37:R37)</f>
        <v>2186.7465511512801</v>
      </c>
      <c r="U37" s="129">
        <f>S37/T37</f>
        <v>1</v>
      </c>
      <c r="W37" s="128"/>
      <c r="X37" s="4" t="s">
        <v>12</v>
      </c>
      <c r="Y37" s="139">
        <f t="shared" ref="Y37:AB37" si="46">Y26*$AE26</f>
        <v>0</v>
      </c>
      <c r="Z37" s="139">
        <f t="shared" si="46"/>
        <v>394.26440935506724</v>
      </c>
      <c r="AA37" s="139">
        <f t="shared" si="46"/>
        <v>1093.2447346332037</v>
      </c>
      <c r="AB37" s="139">
        <f t="shared" si="46"/>
        <v>846.4316580917415</v>
      </c>
      <c r="AC37" s="120">
        <f>AC26</f>
        <v>2333.9408020800124</v>
      </c>
      <c r="AD37" s="165">
        <f>SUM(Y37:AB37)</f>
        <v>2333.9408020800124</v>
      </c>
      <c r="AE37" s="129">
        <f>AC37/AD37</f>
        <v>1</v>
      </c>
      <c r="AG37" s="128"/>
      <c r="AH37" s="4" t="s">
        <v>12</v>
      </c>
      <c r="AI37" s="139">
        <f t="shared" ref="AI37:AL37" si="47">AI26*$AO26</f>
        <v>0</v>
      </c>
      <c r="AJ37" s="139">
        <f t="shared" si="47"/>
        <v>423.57306710389747</v>
      </c>
      <c r="AK37" s="139">
        <f t="shared" si="47"/>
        <v>1164.8463527014148</v>
      </c>
      <c r="AL37" s="139">
        <f t="shared" si="47"/>
        <v>903.96462015695511</v>
      </c>
      <c r="AM37" s="120">
        <f>AM26</f>
        <v>2492.3840399622668</v>
      </c>
      <c r="AN37" s="165">
        <f>SUM(AI37:AL37)</f>
        <v>2492.3840399622677</v>
      </c>
      <c r="AO37" s="129">
        <f>AM37/AN37</f>
        <v>0.99999999999999967</v>
      </c>
      <c r="AQ37" s="128"/>
      <c r="AR37" s="4" t="s">
        <v>12</v>
      </c>
      <c r="AS37" s="139">
        <f t="shared" ref="AS37:AV37" si="48">AS26*$AY26</f>
        <v>0</v>
      </c>
      <c r="AT37" s="139">
        <f t="shared" si="48"/>
        <v>454.90283521810892</v>
      </c>
      <c r="AU37" s="139">
        <f t="shared" si="48"/>
        <v>1242.3086953948102</v>
      </c>
      <c r="AV37" s="139">
        <f t="shared" si="48"/>
        <v>965.72763418298678</v>
      </c>
      <c r="AW37" s="120">
        <f>AW26</f>
        <v>2662.939164795906</v>
      </c>
      <c r="AX37" s="165">
        <f>SUM(AS37:AV37)</f>
        <v>2662.939164795906</v>
      </c>
      <c r="AY37" s="129">
        <f>AW37/AX37</f>
        <v>1</v>
      </c>
      <c r="BA37" s="128"/>
      <c r="BB37" s="4" t="s">
        <v>12</v>
      </c>
      <c r="BC37" s="139">
        <f t="shared" ref="BC37:BF37" si="49">BC26*$BI26</f>
        <v>0</v>
      </c>
      <c r="BD37" s="139">
        <f t="shared" si="49"/>
        <v>488.72256268922769</v>
      </c>
      <c r="BE37" s="139">
        <f t="shared" si="49"/>
        <v>1325.6075566251054</v>
      </c>
      <c r="BF37" s="139">
        <f t="shared" si="49"/>
        <v>1032.2053157618218</v>
      </c>
      <c r="BG37" s="120">
        <f>BG26</f>
        <v>2846.535435076155</v>
      </c>
      <c r="BH37" s="165">
        <f>SUM(BC37:BF37)</f>
        <v>2846.535435076155</v>
      </c>
      <c r="BI37" s="129">
        <f>BG37/BH37</f>
        <v>1</v>
      </c>
      <c r="BK37" s="128"/>
      <c r="BL37" s="4" t="s">
        <v>12</v>
      </c>
      <c r="BM37" s="139">
        <f t="shared" ref="BM37:BP37" si="50">BM26*$BS26</f>
        <v>0</v>
      </c>
      <c r="BN37" s="139">
        <f t="shared" si="50"/>
        <v>525.2287558392386</v>
      </c>
      <c r="BO37" s="139">
        <f t="shared" si="50"/>
        <v>1415.1857273149712</v>
      </c>
      <c r="BP37" s="139">
        <f t="shared" si="50"/>
        <v>1103.7590962651038</v>
      </c>
      <c r="BQ37" s="120">
        <f>BQ26</f>
        <v>3044.1735794193137</v>
      </c>
      <c r="BR37" s="165">
        <f>SUM(BM37:BP37)</f>
        <v>3044.1735794193137</v>
      </c>
      <c r="BS37" s="129">
        <f>BQ37/BR37</f>
        <v>1</v>
      </c>
    </row>
    <row r="38" spans="3:71" x14ac:dyDescent="0.3">
      <c r="C38" s="128"/>
      <c r="D38" s="4" t="s">
        <v>13</v>
      </c>
      <c r="E38" s="139">
        <f t="shared" si="38"/>
        <v>400.33096944805197</v>
      </c>
      <c r="F38" s="139">
        <f t="shared" si="38"/>
        <v>604.88654879974547</v>
      </c>
      <c r="G38" s="139">
        <f t="shared" si="38"/>
        <v>48.782481752202351</v>
      </c>
      <c r="H38" s="139">
        <f t="shared" si="38"/>
        <v>0</v>
      </c>
      <c r="I38" s="120">
        <f>I27</f>
        <v>1054</v>
      </c>
      <c r="J38" s="165">
        <f>SUM(E38:H38)</f>
        <v>1053.9999999999998</v>
      </c>
      <c r="K38" s="129">
        <f>I38/J38</f>
        <v>1.0000000000000002</v>
      </c>
      <c r="M38" s="128"/>
      <c r="N38" s="4" t="s">
        <v>13</v>
      </c>
      <c r="O38" s="139">
        <f t="shared" ref="O38:R38" si="51">O27*$U27</f>
        <v>354.2919854385795</v>
      </c>
      <c r="P38" s="139">
        <f t="shared" si="51"/>
        <v>607.18395431524345</v>
      </c>
      <c r="Q38" s="139">
        <f t="shared" si="51"/>
        <v>151.50752491508894</v>
      </c>
      <c r="R38" s="139">
        <f t="shared" si="51"/>
        <v>0</v>
      </c>
      <c r="S38" s="120">
        <f>S27</f>
        <v>1112.9834646689119</v>
      </c>
      <c r="T38" s="165">
        <f>SUM(O38:R38)</f>
        <v>1112.9834646689119</v>
      </c>
      <c r="U38" s="129">
        <f>S38/T38</f>
        <v>1</v>
      </c>
      <c r="W38" s="128"/>
      <c r="X38" s="4" t="s">
        <v>13</v>
      </c>
      <c r="Y38" s="139">
        <f t="shared" ref="Y38:AB38" si="52">Y27*$AE27</f>
        <v>374.28754343586729</v>
      </c>
      <c r="Z38" s="139">
        <f t="shared" si="52"/>
        <v>642.69594537010698</v>
      </c>
      <c r="AA38" s="139">
        <f t="shared" si="52"/>
        <v>159.38109056057164</v>
      </c>
      <c r="AB38" s="139">
        <f t="shared" si="52"/>
        <v>0</v>
      </c>
      <c r="AC38" s="120">
        <f>AC27</f>
        <v>1176.364579366546</v>
      </c>
      <c r="AD38" s="165">
        <f>SUM(Y38:AB38)</f>
        <v>1176.364579366546</v>
      </c>
      <c r="AE38" s="129">
        <f>AC38/AD38</f>
        <v>1</v>
      </c>
      <c r="AG38" s="128"/>
      <c r="AH38" s="4" t="s">
        <v>13</v>
      </c>
      <c r="AI38" s="139">
        <f t="shared" ref="AI38:AL38" si="53">AI27*$AO27</f>
        <v>395.1843483645045</v>
      </c>
      <c r="AJ38" s="139">
        <f t="shared" si="53"/>
        <v>681.64262685046538</v>
      </c>
      <c r="AK38" s="139">
        <f t="shared" si="53"/>
        <v>167.64803302101691</v>
      </c>
      <c r="AL38" s="139">
        <f t="shared" si="53"/>
        <v>0</v>
      </c>
      <c r="AM38" s="120">
        <f>AM27</f>
        <v>1244.4750082359867</v>
      </c>
      <c r="AN38" s="165">
        <f>SUM(AI38:AL38)</f>
        <v>1244.4750082359869</v>
      </c>
      <c r="AO38" s="129">
        <f>AM38/AN38</f>
        <v>0.99999999999999978</v>
      </c>
      <c r="AQ38" s="128"/>
      <c r="AR38" s="4" t="s">
        <v>13</v>
      </c>
      <c r="AS38" s="139">
        <f t="shared" ref="AS38:AV38" si="54">AS27*$AY27</f>
        <v>417.96721610222079</v>
      </c>
      <c r="AT38" s="139">
        <f t="shared" si="54"/>
        <v>723.09702411351645</v>
      </c>
      <c r="AU38" s="139">
        <f t="shared" si="54"/>
        <v>176.60738905825474</v>
      </c>
      <c r="AV38" s="139">
        <f t="shared" si="54"/>
        <v>0</v>
      </c>
      <c r="AW38" s="120">
        <f>AW27</f>
        <v>1317.6716292739918</v>
      </c>
      <c r="AX38" s="165">
        <f>SUM(AS38:AV38)</f>
        <v>1317.671629273992</v>
      </c>
      <c r="AY38" s="129">
        <f>AW38/AX38</f>
        <v>0.99999999999999978</v>
      </c>
      <c r="BA38" s="128"/>
      <c r="BB38" s="4" t="s">
        <v>13</v>
      </c>
      <c r="BC38" s="139">
        <f t="shared" ref="BC38:BF38" si="55">BC27*$BI27</f>
        <v>442.46605422914439</v>
      </c>
      <c r="BD38" s="139">
        <f t="shared" si="55"/>
        <v>767.6550679125171</v>
      </c>
      <c r="BE38" s="139">
        <f t="shared" si="55"/>
        <v>186.21733947024822</v>
      </c>
      <c r="BF38" s="139">
        <f t="shared" si="55"/>
        <v>0</v>
      </c>
      <c r="BG38" s="120">
        <f>BG27</f>
        <v>1396.3384616119097</v>
      </c>
      <c r="BH38" s="165">
        <f>SUM(BC38:BF38)</f>
        <v>1396.3384616119097</v>
      </c>
      <c r="BI38" s="129">
        <f>BG38/BH38</f>
        <v>1</v>
      </c>
      <c r="BK38" s="128"/>
      <c r="BL38" s="4" t="s">
        <v>13</v>
      </c>
      <c r="BM38" s="139">
        <f t="shared" ref="BM38:BP38" si="56">BM27*$BS27</f>
        <v>468.8109138688576</v>
      </c>
      <c r="BN38" s="139">
        <f t="shared" si="56"/>
        <v>815.55258926059253</v>
      </c>
      <c r="BO38" s="139">
        <f t="shared" si="56"/>
        <v>196.52523752623947</v>
      </c>
      <c r="BP38" s="139">
        <f t="shared" si="56"/>
        <v>0</v>
      </c>
      <c r="BQ38" s="120">
        <f>BQ27</f>
        <v>1480.8887406556896</v>
      </c>
      <c r="BR38" s="165">
        <f>SUM(BM38:BP38)</f>
        <v>1480.8887406556896</v>
      </c>
      <c r="BS38" s="129">
        <f>BQ38/BR38</f>
        <v>1</v>
      </c>
    </row>
    <row r="39" spans="3:71" x14ac:dyDescent="0.3">
      <c r="C39" s="128"/>
      <c r="D39" s="4" t="s">
        <v>14</v>
      </c>
      <c r="E39" s="139">
        <f t="shared" si="38"/>
        <v>368.58336251084125</v>
      </c>
      <c r="F39" s="139">
        <f t="shared" si="38"/>
        <v>557.59312652949109</v>
      </c>
      <c r="G39" s="139">
        <f t="shared" si="38"/>
        <v>0</v>
      </c>
      <c r="H39" s="139">
        <f t="shared" si="38"/>
        <v>181.82351095966749</v>
      </c>
      <c r="I39" s="120">
        <f>I28</f>
        <v>1108</v>
      </c>
      <c r="J39" s="165">
        <f>SUM(E39:H39)</f>
        <v>1108</v>
      </c>
      <c r="K39" s="129">
        <f>I39/J39</f>
        <v>1</v>
      </c>
      <c r="M39" s="128"/>
      <c r="N39" s="4" t="s">
        <v>14</v>
      </c>
      <c r="O39" s="139">
        <f t="shared" ref="O39:R39" si="57">O28*$U28</f>
        <v>284.1432462893477</v>
      </c>
      <c r="P39" s="139">
        <f t="shared" si="57"/>
        <v>487.55458072843601</v>
      </c>
      <c r="Q39" s="139">
        <f t="shared" si="57"/>
        <v>0</v>
      </c>
      <c r="R39" s="139">
        <f t="shared" si="57"/>
        <v>401.03541108794695</v>
      </c>
      <c r="S39" s="120">
        <f>S28</f>
        <v>1172.7332381057306</v>
      </c>
      <c r="T39" s="165">
        <f>SUM(O39:R39)</f>
        <v>1172.7332381057308</v>
      </c>
      <c r="U39" s="129">
        <f>S39/T39</f>
        <v>0.99999999999999978</v>
      </c>
      <c r="W39" s="128"/>
      <c r="X39" s="4" t="s">
        <v>14</v>
      </c>
      <c r="Y39" s="139">
        <f t="shared" ref="Y39:AB39" si="58">Y28*$AE28</f>
        <v>301.08903440020549</v>
      </c>
      <c r="Z39" s="139">
        <f t="shared" si="58"/>
        <v>517.63313682986507</v>
      </c>
      <c r="AA39" s="139">
        <f t="shared" si="58"/>
        <v>0</v>
      </c>
      <c r="AB39" s="139">
        <f t="shared" si="58"/>
        <v>423.66673466467012</v>
      </c>
      <c r="AC39" s="120">
        <f>AC28</f>
        <v>1242.3889058947407</v>
      </c>
      <c r="AD39" s="165">
        <f>SUM(Y39:AB39)</f>
        <v>1242.3889058947407</v>
      </c>
      <c r="AE39" s="129">
        <f>AC39/AD39</f>
        <v>1</v>
      </c>
      <c r="AG39" s="128"/>
      <c r="AH39" s="4" t="s">
        <v>14</v>
      </c>
      <c r="AI39" s="139">
        <f t="shared" ref="AI39:AL39" si="59">AI28*$AO28</f>
        <v>318.8103493148555</v>
      </c>
      <c r="AJ39" s="139">
        <f t="shared" si="59"/>
        <v>550.57484106025913</v>
      </c>
      <c r="AK39" s="139">
        <f t="shared" si="59"/>
        <v>0</v>
      </c>
      <c r="AL39" s="139">
        <f t="shared" si="59"/>
        <v>447.95813613727017</v>
      </c>
      <c r="AM39" s="120">
        <f>AM28</f>
        <v>1317.3433265123847</v>
      </c>
      <c r="AN39" s="165">
        <f>SUM(AI39:AL39)</f>
        <v>1317.3433265123849</v>
      </c>
      <c r="AO39" s="129">
        <f>AM39/AN39</f>
        <v>0.99999999999999978</v>
      </c>
      <c r="AQ39" s="128"/>
      <c r="AR39" s="4" t="s">
        <v>14</v>
      </c>
      <c r="AS39" s="139">
        <f t="shared" ref="AS39:AV39" si="60">AS28*$AY28</f>
        <v>338.16941432073969</v>
      </c>
      <c r="AT39" s="139">
        <f t="shared" si="60"/>
        <v>585.75448979946623</v>
      </c>
      <c r="AU39" s="139">
        <f t="shared" si="60"/>
        <v>0</v>
      </c>
      <c r="AV39" s="139">
        <f t="shared" si="60"/>
        <v>474.07779350361341</v>
      </c>
      <c r="AW39" s="120">
        <f>AW28</f>
        <v>1398.0016976238194</v>
      </c>
      <c r="AX39" s="165">
        <f>SUM(AS39:AV39)</f>
        <v>1398.0016976238194</v>
      </c>
      <c r="AY39" s="129">
        <f>AW39/AX39</f>
        <v>1</v>
      </c>
      <c r="BA39" s="128"/>
      <c r="BB39" s="4" t="s">
        <v>14</v>
      </c>
      <c r="BC39" s="139">
        <f t="shared" ref="BC39:BF39" si="61">BC28*$BI28</f>
        <v>359.01843706756955</v>
      </c>
      <c r="BD39" s="139">
        <f t="shared" si="61"/>
        <v>623.63410985913515</v>
      </c>
      <c r="BE39" s="139">
        <f t="shared" si="61"/>
        <v>0</v>
      </c>
      <c r="BF39" s="139">
        <f t="shared" si="61"/>
        <v>502.14776535247796</v>
      </c>
      <c r="BG39" s="120">
        <f>BG28</f>
        <v>1484.8003122791824</v>
      </c>
      <c r="BH39" s="165">
        <f>SUM(BC39:BF39)</f>
        <v>1484.8003122791827</v>
      </c>
      <c r="BI39" s="129">
        <f>BG39/BH39</f>
        <v>0.99999999999999989</v>
      </c>
      <c r="BK39" s="128"/>
      <c r="BL39" s="4" t="s">
        <v>14</v>
      </c>
      <c r="BM39" s="139">
        <f t="shared" ref="BM39:BP39" si="62">BM28*$BS28</f>
        <v>381.47235326154475</v>
      </c>
      <c r="BN39" s="139">
        <f t="shared" si="62"/>
        <v>664.42240831792208</v>
      </c>
      <c r="BO39" s="139">
        <f t="shared" si="62"/>
        <v>0</v>
      </c>
      <c r="BP39" s="139">
        <f t="shared" si="62"/>
        <v>532.31418929220524</v>
      </c>
      <c r="BQ39" s="120">
        <f>BQ28</f>
        <v>1578.2089508716722</v>
      </c>
      <c r="BR39" s="165">
        <f>SUM(BM39:BP39)</f>
        <v>1578.2089508716722</v>
      </c>
      <c r="BS39" s="129">
        <f>BQ39/BR39</f>
        <v>1</v>
      </c>
    </row>
    <row r="40" spans="3:71" x14ac:dyDescent="0.3">
      <c r="C40" s="128"/>
      <c r="D40" s="120" t="s">
        <v>196</v>
      </c>
      <c r="E40" s="120">
        <f>E29</f>
        <v>2050</v>
      </c>
      <c r="F40" s="120">
        <f>F29</f>
        <v>2050</v>
      </c>
      <c r="G40" s="120">
        <f>G29</f>
        <v>1054</v>
      </c>
      <c r="H40" s="120">
        <f>H29</f>
        <v>1108</v>
      </c>
      <c r="K40" s="129"/>
      <c r="M40" s="128"/>
      <c r="N40" s="120" t="s">
        <v>196</v>
      </c>
      <c r="O40" s="120">
        <f>O29</f>
        <v>1328.012404961956</v>
      </c>
      <c r="P40" s="120">
        <f>P29</f>
        <v>1658.4558060242425</v>
      </c>
      <c r="Q40" s="120">
        <f>Q29</f>
        <v>1917.811032253856</v>
      </c>
      <c r="R40" s="120">
        <f>R29</f>
        <v>1754.9305618371486</v>
      </c>
      <c r="U40" s="129"/>
      <c r="W40" s="128"/>
      <c r="X40" s="120" t="s">
        <v>196</v>
      </c>
      <c r="Y40" s="120">
        <f>Y29</f>
        <v>1328.012404961956</v>
      </c>
      <c r="Z40" s="120">
        <f>Z29</f>
        <v>1658.4558060242425</v>
      </c>
      <c r="AA40" s="120">
        <f>AA29</f>
        <v>1917.811032253856</v>
      </c>
      <c r="AB40" s="120">
        <f>AB29</f>
        <v>1754.9305618371486</v>
      </c>
      <c r="AE40" s="129"/>
      <c r="AG40" s="128"/>
      <c r="AH40" s="120" t="s">
        <v>196</v>
      </c>
      <c r="AI40" s="120">
        <f>AI29</f>
        <v>1503.1992104315086</v>
      </c>
      <c r="AJ40" s="120">
        <f>AJ29</f>
        <v>1881.7414801634088</v>
      </c>
      <c r="AK40" s="120">
        <f>AK29</f>
        <v>2172.0689016417573</v>
      </c>
      <c r="AL40" s="120">
        <f>AL29</f>
        <v>1989.5768224362307</v>
      </c>
      <c r="AO40" s="129"/>
      <c r="AQ40" s="128"/>
      <c r="AR40" s="120" t="s">
        <v>196</v>
      </c>
      <c r="AS40" s="120">
        <f>AS29</f>
        <v>1601.0889518076301</v>
      </c>
      <c r="AT40" s="120">
        <f>AT29</f>
        <v>2006.4115000433494</v>
      </c>
      <c r="AU40" s="120">
        <f>AU29</f>
        <v>2313.6568174166791</v>
      </c>
      <c r="AV40" s="120">
        <f>AV29</f>
        <v>2120.3943872219643</v>
      </c>
      <c r="AY40" s="129"/>
      <c r="BA40" s="128"/>
      <c r="BB40" s="120" t="s">
        <v>196</v>
      </c>
      <c r="BC40" s="120">
        <f>BC29</f>
        <v>1706.558014485141</v>
      </c>
      <c r="BD40" s="120">
        <f>BD29</f>
        <v>2140.666670392317</v>
      </c>
      <c r="BE40" s="120">
        <f>BE29</f>
        <v>2465.8588575838148</v>
      </c>
      <c r="BF40" s="120">
        <f>BF29</f>
        <v>2261.126101582131</v>
      </c>
      <c r="BI40" s="129"/>
      <c r="BK40" s="128"/>
      <c r="BL40" s="120" t="s">
        <v>196</v>
      </c>
      <c r="BM40" s="120">
        <f>BM29</f>
        <v>1930.3584281999242</v>
      </c>
      <c r="BN40" s="120">
        <f>BN29</f>
        <v>2423.5572278064883</v>
      </c>
      <c r="BO40" s="120">
        <f>BO29</f>
        <v>2788.6181283808864</v>
      </c>
      <c r="BP40" s="120">
        <f>BP29</f>
        <v>2558.5385458951887</v>
      </c>
      <c r="BS40" s="129"/>
    </row>
    <row r="41" spans="3:71" x14ac:dyDescent="0.3">
      <c r="C41" s="128"/>
      <c r="D41" s="120" t="s">
        <v>195</v>
      </c>
      <c r="E41" s="165">
        <f>SUM(E36:E39)</f>
        <v>1871.871068834799</v>
      </c>
      <c r="F41" s="165">
        <f>SUM(F36:F39)</f>
        <v>1906.018094008517</v>
      </c>
      <c r="G41" s="165">
        <f>SUM(G36:G39)</f>
        <v>1239.3219261692309</v>
      </c>
      <c r="H41" s="165">
        <f>SUM(H36:H39)</f>
        <v>1244.7889109874527</v>
      </c>
      <c r="K41" s="129"/>
      <c r="M41" s="128"/>
      <c r="N41" s="120" t="s">
        <v>195</v>
      </c>
      <c r="O41" s="165">
        <f>SUM(O36:O39)</f>
        <v>1219.6596541130243</v>
      </c>
      <c r="P41" s="165">
        <f>SUM(P36:P39)</f>
        <v>1462.4068652764404</v>
      </c>
      <c r="Q41" s="165">
        <f>SUM(Q36:Q39)</f>
        <v>2139.0638696588685</v>
      </c>
      <c r="R41" s="165">
        <f>SUM(R36:R39)</f>
        <v>1838.0794160288697</v>
      </c>
      <c r="U41" s="129"/>
      <c r="W41" s="128"/>
      <c r="X41" s="120" t="s">
        <v>195</v>
      </c>
      <c r="Y41" s="165">
        <f>SUM(Y36:Y39)</f>
        <v>1297.4360206718136</v>
      </c>
      <c r="Z41" s="165">
        <f>SUM(Z36:Z39)</f>
        <v>1554.5934915550392</v>
      </c>
      <c r="AA41" s="165">
        <f>SUM(AA36:AA39)</f>
        <v>2277.5817849563687</v>
      </c>
      <c r="AB41" s="165">
        <f>SUM(AB36:AB39)</f>
        <v>1957.0237922380898</v>
      </c>
      <c r="AE41" s="129"/>
      <c r="AG41" s="128"/>
      <c r="AH41" s="120" t="s">
        <v>195</v>
      </c>
      <c r="AI41" s="165">
        <f>SUM(AI36:AI39)</f>
        <v>1379.6620293349308</v>
      </c>
      <c r="AJ41" s="165">
        <f>SUM(AJ36:AJ39)</f>
        <v>1655.790535014622</v>
      </c>
      <c r="AK41" s="165">
        <f>SUM(AK36:AK39)</f>
        <v>2425.186649426003</v>
      </c>
      <c r="AL41" s="165">
        <f>SUM(AL36:AL39)</f>
        <v>2085.9472008973507</v>
      </c>
      <c r="AO41" s="129"/>
      <c r="AQ41" s="128"/>
      <c r="AR41" s="120" t="s">
        <v>195</v>
      </c>
      <c r="AS41" s="165">
        <f>SUM(AS36:AS39)</f>
        <v>1469.0779705110047</v>
      </c>
      <c r="AT41" s="165">
        <f>SUM(AT36:AT39)</f>
        <v>1763.7543491310917</v>
      </c>
      <c r="AU41" s="165">
        <f>SUM(AU36:AU39)</f>
        <v>2584.5504613591665</v>
      </c>
      <c r="AV41" s="165">
        <f>SUM(AV36:AV39)</f>
        <v>2224.1688754883608</v>
      </c>
      <c r="AY41" s="129"/>
      <c r="BA41" s="128"/>
      <c r="BB41" s="120" t="s">
        <v>195</v>
      </c>
      <c r="BC41" s="165">
        <f>SUM(BC36:BC39)</f>
        <v>1565.4240526134199</v>
      </c>
      <c r="BD41" s="165">
        <f>SUM(BD36:BD39)</f>
        <v>1880.01174046088</v>
      </c>
      <c r="BE41" s="165">
        <f>SUM(BE36:BE39)</f>
        <v>2755.8841285074013</v>
      </c>
      <c r="BF41" s="165">
        <f>SUM(BF36:BF39)</f>
        <v>2372.8897224617012</v>
      </c>
      <c r="BI41" s="129"/>
      <c r="BK41" s="128"/>
      <c r="BL41" s="120" t="s">
        <v>195</v>
      </c>
      <c r="BM41" s="165">
        <f>SUM(BM36:BM39)</f>
        <v>1669.238642233604</v>
      </c>
      <c r="BN41" s="165">
        <f>SUM(BN36:BN39)</f>
        <v>2005.203753417753</v>
      </c>
      <c r="BO41" s="165">
        <f>SUM(BO36:BO39)</f>
        <v>2940.0922598933198</v>
      </c>
      <c r="BP41" s="165">
        <f>SUM(BP36:BP39)</f>
        <v>2532.9101948213124</v>
      </c>
      <c r="BS41" s="129"/>
    </row>
    <row r="42" spans="3:71" x14ac:dyDescent="0.3">
      <c r="C42" s="128"/>
      <c r="D42" s="120" t="s">
        <v>194</v>
      </c>
      <c r="E42" s="120">
        <f>E40/E41</f>
        <v>1.0951608976338754</v>
      </c>
      <c r="F42" s="120">
        <f>F40/F41</f>
        <v>1.0755406816147672</v>
      </c>
      <c r="G42" s="120">
        <f>G40/G41</f>
        <v>0.8504650629864472</v>
      </c>
      <c r="H42" s="120">
        <f>H40/H41</f>
        <v>0.89011075710905696</v>
      </c>
      <c r="K42" s="129"/>
      <c r="M42" s="128"/>
      <c r="N42" s="120" t="s">
        <v>194</v>
      </c>
      <c r="O42" s="120">
        <f>O40/O41</f>
        <v>1.0888385136652974</v>
      </c>
      <c r="P42" s="120">
        <f>P40/P41</f>
        <v>1.1340590949090921</v>
      </c>
      <c r="Q42" s="120">
        <f>Q40/Q41</f>
        <v>0.89656557686596927</v>
      </c>
      <c r="R42" s="120">
        <f>R40/R41</f>
        <v>0.95476318734292653</v>
      </c>
      <c r="U42" s="129"/>
      <c r="W42" s="128"/>
      <c r="X42" s="120" t="s">
        <v>194</v>
      </c>
      <c r="Y42" s="120">
        <f>Y40/Y41</f>
        <v>1.0235667761669742</v>
      </c>
      <c r="Z42" s="120">
        <f>Z40/Z41</f>
        <v>1.0668099506613213</v>
      </c>
      <c r="AA42" s="120">
        <f>AA40/AA41</f>
        <v>0.8420382727510245</v>
      </c>
      <c r="AB42" s="120">
        <f>AB40/AB41</f>
        <v>0.89673440292219264</v>
      </c>
      <c r="AE42" s="129"/>
      <c r="AG42" s="128"/>
      <c r="AH42" s="120" t="s">
        <v>194</v>
      </c>
      <c r="AI42" s="120">
        <f>AI40/AI41</f>
        <v>1.0895416257531776</v>
      </c>
      <c r="AJ42" s="120">
        <f>AJ40/AJ41</f>
        <v>1.1364610682152447</v>
      </c>
      <c r="AK42" s="120">
        <f>AK40/AK41</f>
        <v>0.89562958057510589</v>
      </c>
      <c r="AL42" s="120">
        <f>AL40/AL41</f>
        <v>0.95380018323586402</v>
      </c>
      <c r="AO42" s="129"/>
      <c r="AQ42" s="128"/>
      <c r="AR42" s="120" t="s">
        <v>194</v>
      </c>
      <c r="AS42" s="120">
        <f>AS40/AS41</f>
        <v>1.0898597514539727</v>
      </c>
      <c r="AT42" s="120">
        <f>AT40/AT41</f>
        <v>1.1375799022306037</v>
      </c>
      <c r="AU42" s="120">
        <f>AU40/AU41</f>
        <v>0.89518732638710818</v>
      </c>
      <c r="AV42" s="120">
        <f>AV40/AV41</f>
        <v>0.95334235209832674</v>
      </c>
      <c r="AY42" s="129"/>
      <c r="BA42" s="128"/>
      <c r="BB42" s="120" t="s">
        <v>194</v>
      </c>
      <c r="BC42" s="120">
        <f>BC40/BC41</f>
        <v>1.0901570163280059</v>
      </c>
      <c r="BD42" s="120">
        <f>BD40/BD41</f>
        <v>1.1386453734951347</v>
      </c>
      <c r="BE42" s="120">
        <f>BE40/BE41</f>
        <v>0.89476144228144117</v>
      </c>
      <c r="BF42" s="120">
        <f>BF40/BF41</f>
        <v>0.95289978298543787</v>
      </c>
      <c r="BI42" s="129"/>
      <c r="BK42" s="128"/>
      <c r="BL42" s="120" t="s">
        <v>194</v>
      </c>
      <c r="BM42" s="120">
        <f>BM40/BM41</f>
        <v>1.1564304703711608</v>
      </c>
      <c r="BN42" s="120">
        <f>BN40/BN41</f>
        <v>1.2086338975157394</v>
      </c>
      <c r="BO42" s="120">
        <f>BO40/BO41</f>
        <v>0.94847980331136628</v>
      </c>
      <c r="BP42" s="120">
        <f>BP40/BP41</f>
        <v>1.0101181443883305</v>
      </c>
      <c r="BS42" s="129"/>
    </row>
    <row r="43" spans="3:71" x14ac:dyDescent="0.3">
      <c r="C43" s="128"/>
      <c r="K43" s="129"/>
      <c r="M43" s="128"/>
      <c r="U43" s="129"/>
      <c r="W43" s="128"/>
      <c r="AE43" s="129"/>
      <c r="AG43" s="128"/>
      <c r="AO43" s="129"/>
      <c r="AQ43" s="128"/>
      <c r="AY43" s="129"/>
      <c r="BA43" s="128"/>
      <c r="BI43" s="129"/>
      <c r="BK43" s="128"/>
      <c r="BS43" s="129"/>
    </row>
    <row r="44" spans="3:71" x14ac:dyDescent="0.3">
      <c r="C44" s="128"/>
      <c r="K44" s="129"/>
      <c r="M44" s="128"/>
      <c r="U44" s="129"/>
      <c r="W44" s="128"/>
      <c r="AE44" s="129"/>
      <c r="AG44" s="128"/>
      <c r="AO44" s="129"/>
      <c r="AQ44" s="128"/>
      <c r="AY44" s="129"/>
      <c r="BA44" s="128"/>
      <c r="BI44" s="129"/>
      <c r="BK44" s="128"/>
      <c r="BS44" s="129"/>
    </row>
    <row r="45" spans="3:71" x14ac:dyDescent="0.3">
      <c r="C45" s="128" t="s">
        <v>201</v>
      </c>
      <c r="K45" s="129"/>
      <c r="L45" s="150"/>
      <c r="M45" s="128" t="s">
        <v>201</v>
      </c>
      <c r="U45" s="129"/>
      <c r="V45" s="150"/>
      <c r="W45" s="128" t="s">
        <v>201</v>
      </c>
      <c r="AE45" s="129"/>
      <c r="AF45" s="150"/>
      <c r="AG45" s="128" t="s">
        <v>201</v>
      </c>
      <c r="AO45" s="129"/>
      <c r="AP45" s="150"/>
      <c r="AQ45" s="161"/>
      <c r="AR45" s="150"/>
      <c r="AS45" s="150"/>
      <c r="AT45" s="150"/>
      <c r="AU45" s="150"/>
      <c r="AV45" s="150"/>
      <c r="AW45" s="150"/>
      <c r="AX45" s="150"/>
      <c r="AY45" s="157"/>
      <c r="AZ45" s="150"/>
      <c r="BA45" s="128" t="s">
        <v>201</v>
      </c>
      <c r="BI45" s="129"/>
      <c r="BJ45" s="150"/>
      <c r="BK45" s="128" t="s">
        <v>201</v>
      </c>
      <c r="BS45" s="129"/>
    </row>
    <row r="46" spans="3:71" x14ac:dyDescent="0.3">
      <c r="C46" s="128"/>
      <c r="D46" s="131" t="s">
        <v>199</v>
      </c>
      <c r="E46" s="4" t="s">
        <v>11</v>
      </c>
      <c r="F46" s="4" t="s">
        <v>12</v>
      </c>
      <c r="G46" s="4" t="s">
        <v>13</v>
      </c>
      <c r="H46" s="4" t="s">
        <v>14</v>
      </c>
      <c r="I46" s="120" t="s">
        <v>198</v>
      </c>
      <c r="J46" s="120" t="s">
        <v>197</v>
      </c>
      <c r="K46" s="129" t="s">
        <v>194</v>
      </c>
      <c r="L46" s="150"/>
      <c r="M46" s="128"/>
      <c r="N46" s="131" t="s">
        <v>199</v>
      </c>
      <c r="O46" s="4" t="s">
        <v>11</v>
      </c>
      <c r="P46" s="4" t="s">
        <v>12</v>
      </c>
      <c r="Q46" s="4" t="s">
        <v>13</v>
      </c>
      <c r="R46" s="4" t="s">
        <v>14</v>
      </c>
      <c r="S46" s="120" t="s">
        <v>198</v>
      </c>
      <c r="T46" s="120" t="s">
        <v>197</v>
      </c>
      <c r="U46" s="129" t="s">
        <v>194</v>
      </c>
      <c r="W46" s="128"/>
      <c r="X46" s="131" t="s">
        <v>199</v>
      </c>
      <c r="Y46" s="4" t="s">
        <v>11</v>
      </c>
      <c r="Z46" s="4" t="s">
        <v>12</v>
      </c>
      <c r="AA46" s="4" t="s">
        <v>13</v>
      </c>
      <c r="AB46" s="4" t="s">
        <v>14</v>
      </c>
      <c r="AC46" s="120" t="s">
        <v>198</v>
      </c>
      <c r="AD46" s="120" t="s">
        <v>197</v>
      </c>
      <c r="AE46" s="129" t="s">
        <v>194</v>
      </c>
      <c r="AG46" s="128"/>
      <c r="AH46" s="131" t="s">
        <v>199</v>
      </c>
      <c r="AI46" s="4" t="s">
        <v>11</v>
      </c>
      <c r="AJ46" s="4" t="s">
        <v>12</v>
      </c>
      <c r="AK46" s="4" t="s">
        <v>13</v>
      </c>
      <c r="AL46" s="4" t="s">
        <v>14</v>
      </c>
      <c r="AM46" s="120" t="s">
        <v>198</v>
      </c>
      <c r="AN46" s="120" t="s">
        <v>197</v>
      </c>
      <c r="AO46" s="129" t="s">
        <v>194</v>
      </c>
      <c r="BA46" s="128"/>
      <c r="BB46" s="131" t="s">
        <v>199</v>
      </c>
      <c r="BC46" s="4" t="s">
        <v>11</v>
      </c>
      <c r="BD46" s="4" t="s">
        <v>12</v>
      </c>
      <c r="BE46" s="4" t="s">
        <v>13</v>
      </c>
      <c r="BF46" s="4" t="s">
        <v>14</v>
      </c>
      <c r="BG46" s="120" t="s">
        <v>198</v>
      </c>
      <c r="BH46" s="120" t="s">
        <v>197</v>
      </c>
      <c r="BI46" s="129" t="s">
        <v>194</v>
      </c>
      <c r="BK46" s="128"/>
      <c r="BL46" s="131" t="s">
        <v>199</v>
      </c>
      <c r="BM46" s="4" t="s">
        <v>11</v>
      </c>
      <c r="BN46" s="4" t="s">
        <v>12</v>
      </c>
      <c r="BO46" s="4" t="s">
        <v>13</v>
      </c>
      <c r="BP46" s="4" t="s">
        <v>14</v>
      </c>
      <c r="BQ46" s="120" t="s">
        <v>198</v>
      </c>
      <c r="BR46" s="120" t="s">
        <v>197</v>
      </c>
      <c r="BS46" s="129" t="s">
        <v>194</v>
      </c>
    </row>
    <row r="47" spans="3:71" x14ac:dyDescent="0.3">
      <c r="C47" s="128"/>
      <c r="D47" s="4" t="s">
        <v>11</v>
      </c>
      <c r="E47" s="139">
        <f>E36*E$42</f>
        <v>1207.9150900083471</v>
      </c>
      <c r="F47" s="139">
        <f t="shared" ref="F47:H47" si="63">F36*F$42</f>
        <v>0</v>
      </c>
      <c r="G47" s="139">
        <f t="shared" si="63"/>
        <v>442.28433268095398</v>
      </c>
      <c r="H47" s="139">
        <f t="shared" si="63"/>
        <v>380.0713211323386</v>
      </c>
      <c r="I47" s="120">
        <f>I36</f>
        <v>2050</v>
      </c>
      <c r="J47" s="165">
        <f>SUM(E47:H47)</f>
        <v>2030.2707438216398</v>
      </c>
      <c r="K47" s="129">
        <f>I47/J47</f>
        <v>1.009717549365472</v>
      </c>
      <c r="L47" s="150"/>
      <c r="M47" s="128"/>
      <c r="N47" s="4" t="s">
        <v>11</v>
      </c>
      <c r="O47" s="139">
        <f>O36*O$42</f>
        <v>632.85953617576013</v>
      </c>
      <c r="P47" s="139">
        <f t="shared" ref="P47:R47" si="64">P36*P$42</f>
        <v>0</v>
      </c>
      <c r="Q47" s="139">
        <f t="shared" si="64"/>
        <v>862.26486048142556</v>
      </c>
      <c r="R47" s="139">
        <f t="shared" si="64"/>
        <v>614.65747242695568</v>
      </c>
      <c r="S47" s="120">
        <f>S36</f>
        <v>2186.7465511512801</v>
      </c>
      <c r="T47" s="165">
        <f>SUM(O47:R47)</f>
        <v>2109.7818690841414</v>
      </c>
      <c r="U47" s="129">
        <f>S47/T47</f>
        <v>1.0364799239177029</v>
      </c>
      <c r="W47" s="128"/>
      <c r="X47" s="4" t="s">
        <v>11</v>
      </c>
      <c r="Y47" s="139">
        <f>Y36*Y$42</f>
        <v>636.71937848760342</v>
      </c>
      <c r="Z47" s="139">
        <f t="shared" ref="Z47:AB47" si="65">Z36*Z$42</f>
        <v>0</v>
      </c>
      <c r="AA47" s="139">
        <f t="shared" si="65"/>
        <v>863.05214600436273</v>
      </c>
      <c r="AB47" s="139">
        <f t="shared" si="65"/>
        <v>615.98963795629129</v>
      </c>
      <c r="AC47" s="120">
        <f>AC36</f>
        <v>2333.9408020800124</v>
      </c>
      <c r="AD47" s="165">
        <f>SUM(Y47:AB47)</f>
        <v>2115.7611624482574</v>
      </c>
      <c r="AE47" s="129">
        <f>AC47/AD47</f>
        <v>1.1031211100308165</v>
      </c>
      <c r="AG47" s="128"/>
      <c r="AH47" s="4" t="s">
        <v>11</v>
      </c>
      <c r="AI47" s="139">
        <f>AI36*AI$42</f>
        <v>725.27226674279018</v>
      </c>
      <c r="AJ47" s="139">
        <f t="shared" ref="AJ47:AL47" si="66">AJ36*AJ$42</f>
        <v>0</v>
      </c>
      <c r="AK47" s="139">
        <f t="shared" si="66"/>
        <v>978.64751383849227</v>
      </c>
      <c r="AL47" s="139">
        <f t="shared" si="66"/>
        <v>700.11264976206439</v>
      </c>
      <c r="AM47" s="120">
        <f>AM36</f>
        <v>2492.3840399622668</v>
      </c>
      <c r="AN47" s="165">
        <f>SUM(AI47:AL47)</f>
        <v>2404.0324303433467</v>
      </c>
      <c r="AO47" s="129">
        <f>AM47/AN47</f>
        <v>1.036751421696213</v>
      </c>
      <c r="BA47" s="128"/>
      <c r="BB47" s="4" t="s">
        <v>11</v>
      </c>
      <c r="BC47" s="139">
        <f>BC36*BC$42</f>
        <v>832.81407281994586</v>
      </c>
      <c r="BD47" s="139">
        <f t="shared" ref="BD47:BF47" si="67">BD36*BD$42</f>
        <v>0</v>
      </c>
      <c r="BE47" s="139">
        <f t="shared" si="67"/>
        <v>1113.1362330765464</v>
      </c>
      <c r="BF47" s="139">
        <f t="shared" si="67"/>
        <v>799.04138356527665</v>
      </c>
      <c r="BG47" s="120">
        <f>BG36</f>
        <v>2846.535435076155</v>
      </c>
      <c r="BH47" s="165">
        <f>SUM(BC47:BF47)</f>
        <v>2744.9916894617691</v>
      </c>
      <c r="BI47" s="129">
        <f>BG47/BH47</f>
        <v>1.036992369049502</v>
      </c>
      <c r="BK47" s="128"/>
      <c r="BL47" s="4" t="s">
        <v>11</v>
      </c>
      <c r="BM47" s="139">
        <f>BM36*BM$42</f>
        <v>947.06494964358569</v>
      </c>
      <c r="BN47" s="139">
        <f t="shared" ref="BN47:BP47" si="68">BN36*BN$42</f>
        <v>0</v>
      </c>
      <c r="BO47" s="139">
        <f t="shared" si="68"/>
        <v>1259.9428294535223</v>
      </c>
      <c r="BP47" s="139">
        <f t="shared" si="68"/>
        <v>905.91123460472045</v>
      </c>
      <c r="BQ47" s="120">
        <f>BQ36</f>
        <v>3044.1735794193137</v>
      </c>
      <c r="BR47" s="165">
        <f>SUM(BM47:BP47)</f>
        <v>3112.9190137018286</v>
      </c>
      <c r="BS47" s="129">
        <f>BQ47/BR47</f>
        <v>0.97791608648348227</v>
      </c>
    </row>
    <row r="48" spans="3:71" x14ac:dyDescent="0.3">
      <c r="C48" s="128"/>
      <c r="D48" s="4" t="s">
        <v>12</v>
      </c>
      <c r="E48" s="139">
        <f t="shared" ref="E48:H48" si="69">E37*E$42</f>
        <v>0</v>
      </c>
      <c r="F48" s="139">
        <f t="shared" si="69"/>
        <v>799.70581763307962</v>
      </c>
      <c r="G48" s="139">
        <f t="shared" si="69"/>
        <v>570.22787090302404</v>
      </c>
      <c r="H48" s="139">
        <f t="shared" si="69"/>
        <v>566.08561586712472</v>
      </c>
      <c r="I48" s="120">
        <f>I37</f>
        <v>2050</v>
      </c>
      <c r="J48" s="165">
        <f>SUM(E48:H48)</f>
        <v>1936.0193044032283</v>
      </c>
      <c r="K48" s="129">
        <f>I48/J48</f>
        <v>1.0588737391913072</v>
      </c>
      <c r="L48" s="150"/>
      <c r="M48" s="128"/>
      <c r="N48" s="4" t="s">
        <v>12</v>
      </c>
      <c r="O48" s="139">
        <f t="shared" ref="O48:R48" si="70">O37*O$42</f>
        <v>0</v>
      </c>
      <c r="P48" s="139">
        <f t="shared" si="70"/>
        <v>416.95761381050204</v>
      </c>
      <c r="Q48" s="139">
        <f t="shared" si="70"/>
        <v>919.7097402973983</v>
      </c>
      <c r="R48" s="139">
        <f t="shared" si="70"/>
        <v>757.37924208248376</v>
      </c>
      <c r="S48" s="120">
        <f>S37</f>
        <v>2186.7465511512801</v>
      </c>
      <c r="T48" s="165">
        <f>SUM(O48:R48)</f>
        <v>2094.0465961903842</v>
      </c>
      <c r="U48" s="129">
        <f>S48/T48</f>
        <v>1.0442683343959687</v>
      </c>
      <c r="W48" s="128"/>
      <c r="X48" s="4" t="s">
        <v>12</v>
      </c>
      <c r="Y48" s="139">
        <f t="shared" ref="Y48:AB48" si="71">Y37*Y$42</f>
        <v>0</v>
      </c>
      <c r="Z48" s="139">
        <f t="shared" si="71"/>
        <v>420.60519509159428</v>
      </c>
      <c r="AA48" s="139">
        <f t="shared" si="71"/>
        <v>920.55390804469505</v>
      </c>
      <c r="AB48" s="139">
        <f t="shared" si="71"/>
        <v>759.02438753333934</v>
      </c>
      <c r="AC48" s="120">
        <f>AC37</f>
        <v>2333.9408020800124</v>
      </c>
      <c r="AD48" s="165">
        <f>SUM(Y48:AB48)</f>
        <v>2100.1834906696286</v>
      </c>
      <c r="AE48" s="129">
        <f>AC48/AD48</f>
        <v>1.1113032801414184</v>
      </c>
      <c r="AG48" s="128"/>
      <c r="AH48" s="4" t="s">
        <v>12</v>
      </c>
      <c r="AI48" s="139">
        <f t="shared" ref="AI48:AL48" si="72">AI37*AI$42</f>
        <v>0</v>
      </c>
      <c r="AJ48" s="139">
        <f t="shared" si="72"/>
        <v>481.37430030810287</v>
      </c>
      <c r="AK48" s="139">
        <f t="shared" si="72"/>
        <v>1043.27085030441</v>
      </c>
      <c r="AL48" s="139">
        <f t="shared" si="72"/>
        <v>862.20162034444195</v>
      </c>
      <c r="AM48" s="120">
        <f>AM37</f>
        <v>2492.3840399622668</v>
      </c>
      <c r="AN48" s="165">
        <f>SUM(AI48:AL48)</f>
        <v>2386.846770956955</v>
      </c>
      <c r="AO48" s="129">
        <f>AM48/AN48</f>
        <v>1.0442161894468822</v>
      </c>
      <c r="BA48" s="128"/>
      <c r="BB48" s="4" t="s">
        <v>12</v>
      </c>
      <c r="BC48" s="139">
        <f t="shared" ref="BC48:BF48" si="73">BC37*BC$42</f>
        <v>0</v>
      </c>
      <c r="BD48" s="139">
        <f t="shared" si="73"/>
        <v>556.48168492877505</v>
      </c>
      <c r="BE48" s="139">
        <f t="shared" si="73"/>
        <v>1186.1025292650565</v>
      </c>
      <c r="BF48" s="139">
        <f t="shared" si="73"/>
        <v>983.58822138585538</v>
      </c>
      <c r="BG48" s="120">
        <f>BG37</f>
        <v>2846.535435076155</v>
      </c>
      <c r="BH48" s="165">
        <f>SUM(BC48:BF48)</f>
        <v>2726.1724355796869</v>
      </c>
      <c r="BI48" s="129">
        <f>BG48/BH48</f>
        <v>1.0441509120720291</v>
      </c>
      <c r="BK48" s="128"/>
      <c r="BL48" s="4" t="s">
        <v>12</v>
      </c>
      <c r="BM48" s="139">
        <f t="shared" ref="BM48:BP48" si="74">BM37*BM$42</f>
        <v>0</v>
      </c>
      <c r="BN48" s="139">
        <f t="shared" si="74"/>
        <v>634.80927825732158</v>
      </c>
      <c r="BO48" s="139">
        <f t="shared" si="74"/>
        <v>1342.2750802927567</v>
      </c>
      <c r="BP48" s="139">
        <f t="shared" si="74"/>
        <v>1114.9270901710472</v>
      </c>
      <c r="BQ48" s="120">
        <f>BQ37</f>
        <v>3044.1735794193137</v>
      </c>
      <c r="BR48" s="165">
        <f>SUM(BM48:BP48)</f>
        <v>3092.0114487211258</v>
      </c>
      <c r="BS48" s="129">
        <f>BQ48/BR48</f>
        <v>0.98452856009909073</v>
      </c>
    </row>
    <row r="49" spans="3:71" x14ac:dyDescent="0.3">
      <c r="C49" s="128"/>
      <c r="D49" s="4" t="s">
        <v>13</v>
      </c>
      <c r="E49" s="139">
        <f t="shared" ref="E49:H49" si="75">E38*E$42</f>
        <v>438.42682385136811</v>
      </c>
      <c r="F49" s="139">
        <f t="shared" si="75"/>
        <v>650.58009099568244</v>
      </c>
      <c r="G49" s="139">
        <f t="shared" si="75"/>
        <v>41.487796416021986</v>
      </c>
      <c r="H49" s="139">
        <f t="shared" si="75"/>
        <v>0</v>
      </c>
      <c r="I49" s="120">
        <f>I38</f>
        <v>1054</v>
      </c>
      <c r="J49" s="165">
        <f>SUM(E49:H49)</f>
        <v>1130.4947112630728</v>
      </c>
      <c r="K49" s="129">
        <f>I49/J49</f>
        <v>0.93233518874439747</v>
      </c>
      <c r="L49" s="150"/>
      <c r="M49" s="128"/>
      <c r="N49" s="4" t="s">
        <v>13</v>
      </c>
      <c r="O49" s="139">
        <f t="shared" ref="O49:R49" si="76">O38*O$42</f>
        <v>385.76675882847007</v>
      </c>
      <c r="P49" s="139">
        <f t="shared" si="76"/>
        <v>688.58248567406849</v>
      </c>
      <c r="Q49" s="139">
        <f t="shared" si="76"/>
        <v>135.83643147503193</v>
      </c>
      <c r="R49" s="139">
        <f t="shared" si="76"/>
        <v>0</v>
      </c>
      <c r="S49" s="120">
        <f>S38</f>
        <v>1112.9834646689119</v>
      </c>
      <c r="T49" s="165">
        <f>SUM(O49:R49)</f>
        <v>1210.1856759775706</v>
      </c>
      <c r="U49" s="129">
        <f>S49/T49</f>
        <v>0.91967991917427039</v>
      </c>
      <c r="W49" s="128"/>
      <c r="X49" s="4" t="s">
        <v>13</v>
      </c>
      <c r="Y49" s="139">
        <f t="shared" ref="Y49:AB49" si="77">Y38*Y$42</f>
        <v>383.10829419410703</v>
      </c>
      <c r="Z49" s="139">
        <f t="shared" si="77"/>
        <v>685.63442977051511</v>
      </c>
      <c r="AA49" s="139">
        <f t="shared" si="77"/>
        <v>134.20497820479835</v>
      </c>
      <c r="AB49" s="139">
        <f t="shared" si="77"/>
        <v>0</v>
      </c>
      <c r="AC49" s="120">
        <f>AC38</f>
        <v>1176.364579366546</v>
      </c>
      <c r="AD49" s="165">
        <f>SUM(Y49:AB49)</f>
        <v>1202.9477021694206</v>
      </c>
      <c r="AE49" s="129">
        <f>AC49/AD49</f>
        <v>0.97790168038482961</v>
      </c>
      <c r="AG49" s="128"/>
      <c r="AH49" s="4" t="s">
        <v>13</v>
      </c>
      <c r="AI49" s="139">
        <f t="shared" ref="AI49:AL49" si="78">AI38*AI$42</f>
        <v>430.56979738927231</v>
      </c>
      <c r="AJ49" s="139">
        <f t="shared" si="78"/>
        <v>774.66030785152532</v>
      </c>
      <c r="AK49" s="139">
        <f t="shared" si="78"/>
        <v>150.15053749885487</v>
      </c>
      <c r="AL49" s="139">
        <f t="shared" si="78"/>
        <v>0</v>
      </c>
      <c r="AM49" s="120">
        <f>AM38</f>
        <v>1244.4750082359867</v>
      </c>
      <c r="AN49" s="165">
        <f>SUM(AI49:AL49)</f>
        <v>1355.3806427396526</v>
      </c>
      <c r="AO49" s="129">
        <f>AM49/AN49</f>
        <v>0.91817380962480732</v>
      </c>
      <c r="BA49" s="128"/>
      <c r="BB49" s="4" t="s">
        <v>13</v>
      </c>
      <c r="BC49" s="139">
        <f t="shared" ref="BC49:BF49" si="79">BC38*BC$42</f>
        <v>482.35747350486969</v>
      </c>
      <c r="BD49" s="139">
        <f t="shared" si="79"/>
        <v>874.086891518681</v>
      </c>
      <c r="BE49" s="139">
        <f t="shared" si="79"/>
        <v>166.62009524221205</v>
      </c>
      <c r="BF49" s="139">
        <f t="shared" si="79"/>
        <v>0</v>
      </c>
      <c r="BG49" s="120">
        <f>BG38</f>
        <v>1396.3384616119097</v>
      </c>
      <c r="BH49" s="165">
        <f>SUM(BC49:BF49)</f>
        <v>1523.0644602657628</v>
      </c>
      <c r="BI49" s="129">
        <f>BG49/BH49</f>
        <v>0.91679538065530042</v>
      </c>
      <c r="BK49" s="128"/>
      <c r="BL49" s="4" t="s">
        <v>13</v>
      </c>
      <c r="BM49" s="139">
        <f t="shared" ref="BM49:BP49" si="80">BM38*BM$42</f>
        <v>542.14722564049669</v>
      </c>
      <c r="BN49" s="139">
        <f t="shared" si="80"/>
        <v>985.70450458708285</v>
      </c>
      <c r="BO49" s="139">
        <f t="shared" si="80"/>
        <v>186.40021863460714</v>
      </c>
      <c r="BP49" s="139">
        <f t="shared" si="80"/>
        <v>0</v>
      </c>
      <c r="BQ49" s="120">
        <f>BQ38</f>
        <v>1480.8887406556896</v>
      </c>
      <c r="BR49" s="165">
        <f>SUM(BM49:BP49)</f>
        <v>1714.2519488621867</v>
      </c>
      <c r="BS49" s="129">
        <f>BQ49/BR49</f>
        <v>0.86386878057138039</v>
      </c>
    </row>
    <row r="50" spans="3:71" x14ac:dyDescent="0.3">
      <c r="C50" s="128"/>
      <c r="D50" s="4" t="s">
        <v>14</v>
      </c>
      <c r="E50" s="139">
        <f t="shared" ref="E50:H50" si="81">E39*E$42</f>
        <v>403.65808614028498</v>
      </c>
      <c r="F50" s="139">
        <f t="shared" si="81"/>
        <v>599.71409137123794</v>
      </c>
      <c r="G50" s="139">
        <f t="shared" si="81"/>
        <v>0</v>
      </c>
      <c r="H50" s="139">
        <f t="shared" si="81"/>
        <v>161.84306300053655</v>
      </c>
      <c r="I50" s="120">
        <f>I39</f>
        <v>1108</v>
      </c>
      <c r="J50" s="165">
        <f>SUM(E50:H50)</f>
        <v>1165.2152405120596</v>
      </c>
      <c r="K50" s="129">
        <f>I50/J50</f>
        <v>0.95089727758202336</v>
      </c>
      <c r="L50" s="150"/>
      <c r="M50" s="128"/>
      <c r="N50" s="4" t="s">
        <v>14</v>
      </c>
      <c r="O50" s="139">
        <f t="shared" ref="O50:R50" si="82">O39*O$42</f>
        <v>309.38610995772586</v>
      </c>
      <c r="P50" s="139">
        <f t="shared" si="82"/>
        <v>552.91570653967199</v>
      </c>
      <c r="Q50" s="139">
        <f t="shared" si="82"/>
        <v>0</v>
      </c>
      <c r="R50" s="139">
        <f t="shared" si="82"/>
        <v>382.89384732770907</v>
      </c>
      <c r="S50" s="120">
        <f>S39</f>
        <v>1172.7332381057306</v>
      </c>
      <c r="T50" s="165">
        <f>SUM(O50:R50)</f>
        <v>1245.1956638251067</v>
      </c>
      <c r="U50" s="129">
        <f>S50/T50</f>
        <v>0.94180639410775058</v>
      </c>
      <c r="W50" s="128"/>
      <c r="X50" s="4" t="s">
        <v>14</v>
      </c>
      <c r="Y50" s="139">
        <f t="shared" ref="Y50:AB50" si="83">Y39*Y$42</f>
        <v>308.18473228024556</v>
      </c>
      <c r="Z50" s="139">
        <f t="shared" si="83"/>
        <v>552.21618116213335</v>
      </c>
      <c r="AA50" s="139">
        <f t="shared" si="83"/>
        <v>0</v>
      </c>
      <c r="AB50" s="139">
        <f t="shared" si="83"/>
        <v>379.91653634751799</v>
      </c>
      <c r="AC50" s="120">
        <f>AC39</f>
        <v>1242.3889058947407</v>
      </c>
      <c r="AD50" s="165">
        <f>SUM(Y50:AB50)</f>
        <v>1240.3174497898967</v>
      </c>
      <c r="AE50" s="129">
        <f>AC50/AD50</f>
        <v>1.0016701015576253</v>
      </c>
      <c r="AG50" s="128"/>
      <c r="AH50" s="4" t="s">
        <v>14</v>
      </c>
      <c r="AI50" s="139">
        <f t="shared" ref="AI50:AL50" si="84">AI39*AI$42</f>
        <v>347.35714629944613</v>
      </c>
      <c r="AJ50" s="139">
        <f t="shared" si="84"/>
        <v>625.70687200378063</v>
      </c>
      <c r="AK50" s="139">
        <f t="shared" si="84"/>
        <v>0</v>
      </c>
      <c r="AL50" s="139">
        <f t="shared" si="84"/>
        <v>427.26255232972443</v>
      </c>
      <c r="AM50" s="120">
        <f>AM39</f>
        <v>1317.3433265123847</v>
      </c>
      <c r="AN50" s="165">
        <f>SUM(AI50:AL50)</f>
        <v>1400.3265706329512</v>
      </c>
      <c r="AO50" s="129">
        <f>AM50/AN50</f>
        <v>0.94074007744989241</v>
      </c>
      <c r="BA50" s="128"/>
      <c r="BB50" s="4" t="s">
        <v>14</v>
      </c>
      <c r="BC50" s="139">
        <f t="shared" ref="BC50:BF50" si="85">BC39*BC$42</f>
        <v>391.38646816032559</v>
      </c>
      <c r="BD50" s="139">
        <f t="shared" si="85"/>
        <v>710.09809394486081</v>
      </c>
      <c r="BE50" s="139">
        <f t="shared" si="85"/>
        <v>0</v>
      </c>
      <c r="BF50" s="139">
        <f t="shared" si="85"/>
        <v>478.49649663099882</v>
      </c>
      <c r="BG50" s="120">
        <f>BG39</f>
        <v>1484.8003122791824</v>
      </c>
      <c r="BH50" s="165">
        <f>SUM(BC50:BF50)</f>
        <v>1579.9810587361851</v>
      </c>
      <c r="BI50" s="129">
        <f>BG50/BH50</f>
        <v>0.93975829904370056</v>
      </c>
      <c r="BK50" s="128"/>
      <c r="BL50" s="4" t="s">
        <v>14</v>
      </c>
      <c r="BM50" s="139">
        <f t="shared" ref="BM50:BP50" si="86">BM39*BM$42</f>
        <v>441.14625291584179</v>
      </c>
      <c r="BN50" s="139">
        <f t="shared" si="86"/>
        <v>803.04344496208421</v>
      </c>
      <c r="BO50" s="139">
        <f t="shared" si="86"/>
        <v>0</v>
      </c>
      <c r="BP50" s="139">
        <f t="shared" si="86"/>
        <v>537.7002211194208</v>
      </c>
      <c r="BQ50" s="120">
        <f>BQ39</f>
        <v>1578.2089508716722</v>
      </c>
      <c r="BR50" s="165">
        <f>SUM(BM50:BP50)</f>
        <v>1781.8899189973467</v>
      </c>
      <c r="BS50" s="129">
        <f>BQ50/BR50</f>
        <v>0.88569385462358752</v>
      </c>
    </row>
    <row r="51" spans="3:71" x14ac:dyDescent="0.3">
      <c r="C51" s="128"/>
      <c r="D51" s="120" t="s">
        <v>196</v>
      </c>
      <c r="E51" s="120">
        <f>E40</f>
        <v>2050</v>
      </c>
      <c r="F51" s="120">
        <f>F40</f>
        <v>2050</v>
      </c>
      <c r="G51" s="120">
        <f>G40</f>
        <v>1054</v>
      </c>
      <c r="H51" s="120">
        <f>H40</f>
        <v>1108</v>
      </c>
      <c r="K51" s="129"/>
      <c r="L51" s="150"/>
      <c r="M51" s="128"/>
      <c r="N51" s="120" t="s">
        <v>196</v>
      </c>
      <c r="O51" s="120">
        <f>O40</f>
        <v>1328.012404961956</v>
      </c>
      <c r="P51" s="120">
        <f>P40</f>
        <v>1658.4558060242425</v>
      </c>
      <c r="Q51" s="120">
        <f>Q40</f>
        <v>1917.811032253856</v>
      </c>
      <c r="R51" s="120">
        <f>R40</f>
        <v>1754.9305618371486</v>
      </c>
      <c r="U51" s="129"/>
      <c r="V51" s="150"/>
      <c r="W51" s="128"/>
      <c r="X51" s="120" t="s">
        <v>196</v>
      </c>
      <c r="Y51" s="120">
        <f>Y40</f>
        <v>1328.012404961956</v>
      </c>
      <c r="Z51" s="120">
        <f>Z40</f>
        <v>1658.4558060242425</v>
      </c>
      <c r="AA51" s="120">
        <f>AA40</f>
        <v>1917.811032253856</v>
      </c>
      <c r="AB51" s="120">
        <f>AB40</f>
        <v>1754.9305618371486</v>
      </c>
      <c r="AE51" s="129"/>
      <c r="AF51" s="150"/>
      <c r="AG51" s="128"/>
      <c r="AH51" s="120" t="s">
        <v>196</v>
      </c>
      <c r="AI51" s="120">
        <f>AI40</f>
        <v>1503.1992104315086</v>
      </c>
      <c r="AJ51" s="120">
        <f>AJ40</f>
        <v>1881.7414801634088</v>
      </c>
      <c r="AK51" s="120">
        <f>AK40</f>
        <v>2172.0689016417573</v>
      </c>
      <c r="AL51" s="120">
        <f>AL40</f>
        <v>1989.5768224362307</v>
      </c>
      <c r="AO51" s="129"/>
      <c r="AP51" s="150"/>
      <c r="AQ51" s="150"/>
      <c r="AR51" s="150"/>
      <c r="AS51" s="150"/>
      <c r="AT51" s="150"/>
      <c r="AU51" s="150"/>
      <c r="AV51" s="150"/>
      <c r="AW51" s="150"/>
      <c r="AX51" s="150"/>
      <c r="AY51" s="150"/>
      <c r="AZ51" s="150"/>
      <c r="BA51" s="128"/>
      <c r="BB51" s="120" t="s">
        <v>196</v>
      </c>
      <c r="BC51" s="120">
        <f>BC40</f>
        <v>1706.558014485141</v>
      </c>
      <c r="BD51" s="120">
        <f>BD40</f>
        <v>2140.666670392317</v>
      </c>
      <c r="BE51" s="120">
        <f>BE40</f>
        <v>2465.8588575838148</v>
      </c>
      <c r="BF51" s="120">
        <f>BF40</f>
        <v>2261.126101582131</v>
      </c>
      <c r="BI51" s="129"/>
      <c r="BJ51" s="150"/>
      <c r="BK51" s="128"/>
      <c r="BL51" s="120" t="s">
        <v>196</v>
      </c>
      <c r="BM51" s="120">
        <f>BM40</f>
        <v>1930.3584281999242</v>
      </c>
      <c r="BN51" s="120">
        <f>BN40</f>
        <v>2423.5572278064883</v>
      </c>
      <c r="BO51" s="120">
        <f>BO40</f>
        <v>2788.6181283808864</v>
      </c>
      <c r="BP51" s="120">
        <f>BP40</f>
        <v>2558.5385458951887</v>
      </c>
      <c r="BS51" s="129"/>
    </row>
    <row r="52" spans="3:71" x14ac:dyDescent="0.3">
      <c r="C52" s="128"/>
      <c r="D52" s="120" t="s">
        <v>195</v>
      </c>
      <c r="E52" s="165">
        <f>SUM(E47:E50)</f>
        <v>2050</v>
      </c>
      <c r="F52" s="165">
        <f>SUM(F47:F50)</f>
        <v>2050</v>
      </c>
      <c r="G52" s="165">
        <f>SUM(G47:G50)</f>
        <v>1054</v>
      </c>
      <c r="H52" s="165">
        <f>SUM(H47:H50)</f>
        <v>1108</v>
      </c>
      <c r="K52" s="129"/>
      <c r="M52" s="128"/>
      <c r="N52" s="120" t="s">
        <v>195</v>
      </c>
      <c r="O52" s="165">
        <f>SUM(O47:O50)</f>
        <v>1328.012404961956</v>
      </c>
      <c r="P52" s="165">
        <f>SUM(P47:P50)</f>
        <v>1658.4558060242425</v>
      </c>
      <c r="Q52" s="165">
        <f>SUM(Q47:Q50)</f>
        <v>1917.811032253856</v>
      </c>
      <c r="R52" s="165">
        <f>SUM(R47:R50)</f>
        <v>1754.9305618371486</v>
      </c>
      <c r="U52" s="129"/>
      <c r="W52" s="128"/>
      <c r="X52" s="120" t="s">
        <v>195</v>
      </c>
      <c r="Y52" s="165">
        <f>SUM(Y47:Y50)</f>
        <v>1328.012404961956</v>
      </c>
      <c r="Z52" s="165">
        <f>SUM(Z47:Z50)</f>
        <v>1658.4558060242427</v>
      </c>
      <c r="AA52" s="165">
        <f>SUM(AA47:AA50)</f>
        <v>1917.8110322538562</v>
      </c>
      <c r="AB52" s="165">
        <f>SUM(AB47:AB50)</f>
        <v>1754.9305618371486</v>
      </c>
      <c r="AE52" s="129"/>
      <c r="AG52" s="128"/>
      <c r="AH52" s="120" t="s">
        <v>195</v>
      </c>
      <c r="AI52" s="165">
        <f>SUM(AI47:AI50)</f>
        <v>1503.1992104315086</v>
      </c>
      <c r="AJ52" s="165">
        <f>SUM(AJ47:AJ50)</f>
        <v>1881.7414801634086</v>
      </c>
      <c r="AK52" s="165">
        <f>SUM(AK47:AK50)</f>
        <v>2172.0689016417573</v>
      </c>
      <c r="AL52" s="165">
        <f>SUM(AL47:AL50)</f>
        <v>1989.5768224362307</v>
      </c>
      <c r="AO52" s="129"/>
      <c r="BA52" s="128"/>
      <c r="BB52" s="120" t="s">
        <v>195</v>
      </c>
      <c r="BC52" s="165">
        <f>SUM(BC47:BC50)</f>
        <v>1706.5580144851413</v>
      </c>
      <c r="BD52" s="165">
        <f>SUM(BD47:BD50)</f>
        <v>2140.666670392317</v>
      </c>
      <c r="BE52" s="165">
        <f>SUM(BE47:BE50)</f>
        <v>2465.8588575838148</v>
      </c>
      <c r="BF52" s="165">
        <f>SUM(BF47:BF50)</f>
        <v>2261.126101582131</v>
      </c>
      <c r="BI52" s="129"/>
      <c r="BK52" s="128"/>
      <c r="BL52" s="120" t="s">
        <v>195</v>
      </c>
      <c r="BM52" s="165">
        <f>SUM(BM47:BM50)</f>
        <v>1930.3584281999242</v>
      </c>
      <c r="BN52" s="165">
        <f>SUM(BN47:BN50)</f>
        <v>2423.5572278064888</v>
      </c>
      <c r="BO52" s="165">
        <f>SUM(BO47:BO50)</f>
        <v>2788.618128380886</v>
      </c>
      <c r="BP52" s="165">
        <f>SUM(BP47:BP50)</f>
        <v>2558.5385458951887</v>
      </c>
      <c r="BS52" s="129"/>
    </row>
    <row r="53" spans="3:71" x14ac:dyDescent="0.3">
      <c r="C53" s="128"/>
      <c r="D53" s="120" t="s">
        <v>194</v>
      </c>
      <c r="E53" s="120">
        <f>E51/E52</f>
        <v>1</v>
      </c>
      <c r="F53" s="120">
        <f>F51/F52</f>
        <v>1</v>
      </c>
      <c r="G53" s="120">
        <f>G51/G52</f>
        <v>1</v>
      </c>
      <c r="H53" s="120">
        <f>H51/H52</f>
        <v>1</v>
      </c>
      <c r="K53" s="129"/>
      <c r="M53" s="128"/>
      <c r="N53" s="120" t="s">
        <v>194</v>
      </c>
      <c r="O53" s="120">
        <f>O51/O52</f>
        <v>1</v>
      </c>
      <c r="P53" s="120">
        <f>P51/P52</f>
        <v>1</v>
      </c>
      <c r="Q53" s="120">
        <f>Q51/Q52</f>
        <v>1</v>
      </c>
      <c r="R53" s="120">
        <f>R51/R52</f>
        <v>1</v>
      </c>
      <c r="U53" s="129"/>
      <c r="W53" s="128"/>
      <c r="X53" s="120" t="s">
        <v>194</v>
      </c>
      <c r="Y53" s="120">
        <f>Y51/Y52</f>
        <v>1</v>
      </c>
      <c r="Z53" s="120">
        <f>Z51/Z52</f>
        <v>0.99999999999999989</v>
      </c>
      <c r="AA53" s="120">
        <f>AA51/AA52</f>
        <v>0.99999999999999989</v>
      </c>
      <c r="AB53" s="120">
        <f>AB51/AB52</f>
        <v>1</v>
      </c>
      <c r="AE53" s="129"/>
      <c r="AG53" s="128"/>
      <c r="AH53" s="120" t="s">
        <v>194</v>
      </c>
      <c r="AI53" s="120">
        <f>AI51/AI52</f>
        <v>1</v>
      </c>
      <c r="AJ53" s="120">
        <f>AJ51/AJ52</f>
        <v>1.0000000000000002</v>
      </c>
      <c r="AK53" s="120">
        <f>AK51/AK52</f>
        <v>1</v>
      </c>
      <c r="AL53" s="120">
        <f>AL51/AL52</f>
        <v>1</v>
      </c>
      <c r="AO53" s="129"/>
      <c r="BA53" s="128"/>
      <c r="BB53" s="120" t="s">
        <v>194</v>
      </c>
      <c r="BC53" s="120">
        <f>BC51/BC52</f>
        <v>0.99999999999999989</v>
      </c>
      <c r="BD53" s="120">
        <f>BD51/BD52</f>
        <v>1</v>
      </c>
      <c r="BE53" s="120">
        <f>BE51/BE52</f>
        <v>1</v>
      </c>
      <c r="BF53" s="120">
        <f>BF51/BF52</f>
        <v>1</v>
      </c>
      <c r="BI53" s="129"/>
      <c r="BK53" s="128"/>
      <c r="BL53" s="120" t="s">
        <v>194</v>
      </c>
      <c r="BM53" s="120">
        <f>BM51/BM52</f>
        <v>1</v>
      </c>
      <c r="BN53" s="120">
        <f>BN51/BN52</f>
        <v>0.99999999999999978</v>
      </c>
      <c r="BO53" s="120">
        <f>BO51/BO52</f>
        <v>1.0000000000000002</v>
      </c>
      <c r="BP53" s="120">
        <f>BP51/BP52</f>
        <v>1</v>
      </c>
      <c r="BS53" s="129"/>
    </row>
    <row r="56" spans="3:71" x14ac:dyDescent="0.3">
      <c r="C56" s="128" t="s">
        <v>200</v>
      </c>
      <c r="K56" s="129"/>
      <c r="M56" s="128" t="s">
        <v>200</v>
      </c>
      <c r="U56" s="129"/>
      <c r="AG56" s="128" t="s">
        <v>200</v>
      </c>
      <c r="AO56" s="129"/>
      <c r="BA56" s="128" t="s">
        <v>200</v>
      </c>
      <c r="BI56" s="129"/>
      <c r="BK56" s="128" t="s">
        <v>200</v>
      </c>
      <c r="BS56" s="129"/>
    </row>
    <row r="57" spans="3:71" x14ac:dyDescent="0.3">
      <c r="C57" s="128"/>
      <c r="D57" s="131" t="s">
        <v>199</v>
      </c>
      <c r="E57" s="4" t="s">
        <v>11</v>
      </c>
      <c r="F57" s="4" t="s">
        <v>12</v>
      </c>
      <c r="G57" s="4" t="s">
        <v>13</v>
      </c>
      <c r="H57" s="4" t="s">
        <v>14</v>
      </c>
      <c r="I57" s="120" t="s">
        <v>198</v>
      </c>
      <c r="J57" s="120" t="s">
        <v>197</v>
      </c>
      <c r="K57" s="129" t="s">
        <v>194</v>
      </c>
      <c r="M57" s="128"/>
      <c r="N57" s="131" t="s">
        <v>199</v>
      </c>
      <c r="O57" s="4" t="s">
        <v>11</v>
      </c>
      <c r="P57" s="4" t="s">
        <v>12</v>
      </c>
      <c r="Q57" s="4" t="s">
        <v>13</v>
      </c>
      <c r="R57" s="4" t="s">
        <v>14</v>
      </c>
      <c r="S57" s="120" t="s">
        <v>198</v>
      </c>
      <c r="T57" s="120" t="s">
        <v>197</v>
      </c>
      <c r="U57" s="129" t="s">
        <v>194</v>
      </c>
      <c r="AG57" s="128"/>
      <c r="AH57" s="131" t="s">
        <v>199</v>
      </c>
      <c r="AI57" s="4" t="s">
        <v>11</v>
      </c>
      <c r="AJ57" s="4" t="s">
        <v>12</v>
      </c>
      <c r="AK57" s="4" t="s">
        <v>13</v>
      </c>
      <c r="AL57" s="4" t="s">
        <v>14</v>
      </c>
      <c r="AM57" s="120" t="s">
        <v>198</v>
      </c>
      <c r="AN57" s="120" t="s">
        <v>197</v>
      </c>
      <c r="AO57" s="129" t="s">
        <v>194</v>
      </c>
      <c r="BA57" s="128"/>
      <c r="BB57" s="131" t="s">
        <v>199</v>
      </c>
      <c r="BC57" s="4" t="s">
        <v>11</v>
      </c>
      <c r="BD57" s="4" t="s">
        <v>12</v>
      </c>
      <c r="BE57" s="4" t="s">
        <v>13</v>
      </c>
      <c r="BF57" s="4" t="s">
        <v>14</v>
      </c>
      <c r="BG57" s="120" t="s">
        <v>198</v>
      </c>
      <c r="BH57" s="120" t="s">
        <v>197</v>
      </c>
      <c r="BI57" s="129" t="s">
        <v>194</v>
      </c>
      <c r="BK57" s="128"/>
      <c r="BL57" s="131" t="s">
        <v>199</v>
      </c>
      <c r="BM57" s="4" t="s">
        <v>11</v>
      </c>
      <c r="BN57" s="4" t="s">
        <v>12</v>
      </c>
      <c r="BO57" s="4" t="s">
        <v>13</v>
      </c>
      <c r="BP57" s="4" t="s">
        <v>14</v>
      </c>
      <c r="BQ57" s="120" t="s">
        <v>198</v>
      </c>
      <c r="BR57" s="120" t="s">
        <v>197</v>
      </c>
      <c r="BS57" s="129" t="s">
        <v>194</v>
      </c>
    </row>
    <row r="58" spans="3:71" x14ac:dyDescent="0.3">
      <c r="C58" s="128"/>
      <c r="D58" s="4" t="s">
        <v>11</v>
      </c>
      <c r="E58" s="139">
        <f>E47*$K47</f>
        <v>1219.6530645248017</v>
      </c>
      <c r="F58" s="139">
        <f t="shared" ref="F58:H58" si="87">F47*$K47</f>
        <v>0</v>
      </c>
      <c r="G58" s="139">
        <f t="shared" si="87"/>
        <v>446.58225251735598</v>
      </c>
      <c r="H58" s="139">
        <f t="shared" si="87"/>
        <v>383.76468295784224</v>
      </c>
      <c r="I58" s="120">
        <f>I47</f>
        <v>2050</v>
      </c>
      <c r="J58" s="165">
        <f>SUM(E58:H58)</f>
        <v>2050</v>
      </c>
      <c r="K58" s="129">
        <f>I58/J58</f>
        <v>1</v>
      </c>
      <c r="M58" s="128"/>
      <c r="N58" s="4" t="s">
        <v>11</v>
      </c>
      <c r="O58" s="139">
        <f>O47*$U47</f>
        <v>655.94620390604462</v>
      </c>
      <c r="P58" s="139">
        <f t="shared" ref="P58:R58" si="88">P47*$U47</f>
        <v>0</v>
      </c>
      <c r="Q58" s="139">
        <f t="shared" si="88"/>
        <v>893.72021698869673</v>
      </c>
      <c r="R58" s="139">
        <f t="shared" si="88"/>
        <v>637.08013025653861</v>
      </c>
      <c r="S58" s="120">
        <f>S47</f>
        <v>2186.7465511512801</v>
      </c>
      <c r="T58" s="165">
        <f>SUM(O58:R58)</f>
        <v>2186.7465511512801</v>
      </c>
      <c r="U58" s="129">
        <f>S58/T58</f>
        <v>1</v>
      </c>
      <c r="AG58" s="128"/>
      <c r="AH58" s="4" t="s">
        <v>11</v>
      </c>
      <c r="AI58" s="139">
        <f>AI47*$AO47</f>
        <v>751.92705366242274</v>
      </c>
      <c r="AJ58" s="139">
        <f t="shared" ref="AJ58:AL58" si="89">AJ47*$AO47</f>
        <v>0</v>
      </c>
      <c r="AK58" s="139">
        <f t="shared" si="89"/>
        <v>1014.6142013115212</v>
      </c>
      <c r="AL58" s="139">
        <f t="shared" si="89"/>
        <v>725.84278498832316</v>
      </c>
      <c r="AM58" s="120">
        <f>AM47</f>
        <v>2492.3840399622668</v>
      </c>
      <c r="AN58" s="165">
        <f>SUM(AI58:AL58)</f>
        <v>2492.3840399622673</v>
      </c>
      <c r="AO58" s="129">
        <f>AM58/AN58</f>
        <v>0.99999999999999978</v>
      </c>
      <c r="BA58" s="128"/>
      <c r="BB58" s="4" t="s">
        <v>11</v>
      </c>
      <c r="BC58" s="139">
        <f>BC47*$BI47</f>
        <v>863.62183835132009</v>
      </c>
      <c r="BD58" s="139">
        <f t="shared" ref="BD58:BF58" si="90">BD47*$BI47</f>
        <v>0</v>
      </c>
      <c r="BE58" s="139">
        <f t="shared" si="90"/>
        <v>1154.3137794128866</v>
      </c>
      <c r="BF58" s="139">
        <f t="shared" si="90"/>
        <v>828.59981731194807</v>
      </c>
      <c r="BG58" s="120">
        <f>BG47</f>
        <v>2846.535435076155</v>
      </c>
      <c r="BH58" s="165">
        <f>SUM(BC58:BF58)</f>
        <v>2846.5354350761545</v>
      </c>
      <c r="BI58" s="129">
        <f>BG58/BH58</f>
        <v>1.0000000000000002</v>
      </c>
      <c r="BK58" s="128"/>
      <c r="BL58" s="4" t="s">
        <v>11</v>
      </c>
      <c r="BM58" s="139">
        <f>BM47*$BS47</f>
        <v>926.15004920113154</v>
      </c>
      <c r="BN58" s="139">
        <f t="shared" ref="BN58:BP58" si="91">BN47*$BS47</f>
        <v>0</v>
      </c>
      <c r="BO58" s="139">
        <f t="shared" si="91"/>
        <v>1232.118360972114</v>
      </c>
      <c r="BP58" s="139">
        <f t="shared" si="91"/>
        <v>885.905169246068</v>
      </c>
      <c r="BQ58" s="120">
        <f>BQ47</f>
        <v>3044.1735794193137</v>
      </c>
      <c r="BR58" s="165">
        <f>SUM(BM58:BP58)</f>
        <v>3044.1735794193137</v>
      </c>
      <c r="BS58" s="129">
        <f>BQ58/BR58</f>
        <v>1</v>
      </c>
    </row>
    <row r="59" spans="3:71" x14ac:dyDescent="0.3">
      <c r="C59" s="128"/>
      <c r="D59" s="4" t="s">
        <v>12</v>
      </c>
      <c r="E59" s="139">
        <f t="shared" ref="E59:H59" si="92">E48*$K48</f>
        <v>0</v>
      </c>
      <c r="F59" s="139">
        <f t="shared" si="92"/>
        <v>846.78748937018065</v>
      </c>
      <c r="G59" s="139">
        <f t="shared" si="92"/>
        <v>603.79931785418307</v>
      </c>
      <c r="H59" s="139">
        <f t="shared" si="92"/>
        <v>599.41319277563639</v>
      </c>
      <c r="I59" s="120">
        <f>I48</f>
        <v>2050</v>
      </c>
      <c r="J59" s="165">
        <f>SUM(E59:H59)</f>
        <v>2050</v>
      </c>
      <c r="K59" s="129">
        <f>I59/J59</f>
        <v>1</v>
      </c>
      <c r="M59" s="128"/>
      <c r="N59" s="4" t="s">
        <v>12</v>
      </c>
      <c r="O59" s="139">
        <f t="shared" ref="O59:R59" si="93">O48*$U48</f>
        <v>0</v>
      </c>
      <c r="P59" s="139">
        <f t="shared" si="93"/>
        <v>435.41563288761051</v>
      </c>
      <c r="Q59" s="139">
        <f t="shared" si="93"/>
        <v>960.42375862811298</v>
      </c>
      <c r="R59" s="139">
        <f t="shared" si="93"/>
        <v>790.90715963555647</v>
      </c>
      <c r="S59" s="120">
        <f>S48</f>
        <v>2186.7465511512801</v>
      </c>
      <c r="T59" s="165">
        <f>SUM(O59:R59)</f>
        <v>2186.7465511512801</v>
      </c>
      <c r="U59" s="129">
        <f>S59/T59</f>
        <v>1</v>
      </c>
      <c r="AG59" s="128"/>
      <c r="AH59" s="4" t="s">
        <v>12</v>
      </c>
      <c r="AI59" s="139">
        <f t="shared" ref="AI59:AL59" si="94">AI48*$AO48</f>
        <v>0</v>
      </c>
      <c r="AJ59" s="139">
        <f t="shared" si="94"/>
        <v>502.65883756538631</v>
      </c>
      <c r="AK59" s="139">
        <f t="shared" si="94"/>
        <v>1089.4003118658798</v>
      </c>
      <c r="AL59" s="139">
        <f t="shared" si="94"/>
        <v>900.32489053100062</v>
      </c>
      <c r="AM59" s="120">
        <f>AM48</f>
        <v>2492.3840399622668</v>
      </c>
      <c r="AN59" s="165">
        <f>SUM(AI59:AL59)</f>
        <v>2492.3840399622668</v>
      </c>
      <c r="AO59" s="129">
        <f>AM59/AN59</f>
        <v>1</v>
      </c>
      <c r="BA59" s="128"/>
      <c r="BB59" s="4" t="s">
        <v>12</v>
      </c>
      <c r="BC59" s="139">
        <f t="shared" ref="BC59:BF59" si="95">BC48*$BI48</f>
        <v>0</v>
      </c>
      <c r="BD59" s="139">
        <f t="shared" si="95"/>
        <v>581.05085886976008</v>
      </c>
      <c r="BE59" s="139">
        <f t="shared" si="95"/>
        <v>1238.4700377430495</v>
      </c>
      <c r="BF59" s="139">
        <f t="shared" si="95"/>
        <v>1027.0145384633458</v>
      </c>
      <c r="BG59" s="120">
        <f>BG48</f>
        <v>2846.535435076155</v>
      </c>
      <c r="BH59" s="165">
        <f>SUM(BC59:BF59)</f>
        <v>2846.5354350761554</v>
      </c>
      <c r="BI59" s="129">
        <f>BG59/BH59</f>
        <v>0.99999999999999989</v>
      </c>
      <c r="BK59" s="128"/>
      <c r="BL59" s="4" t="s">
        <v>12</v>
      </c>
      <c r="BM59" s="139">
        <f t="shared" ref="BM59:BP59" si="96">BM48*$BS48</f>
        <v>0</v>
      </c>
      <c r="BN59" s="139">
        <f t="shared" si="96"/>
        <v>624.98786466022386</v>
      </c>
      <c r="BO59" s="139">
        <f t="shared" si="96"/>
        <v>1321.5081520575191</v>
      </c>
      <c r="BP59" s="139">
        <f t="shared" si="96"/>
        <v>1097.6775627015702</v>
      </c>
      <c r="BQ59" s="120">
        <f>BQ48</f>
        <v>3044.1735794193137</v>
      </c>
      <c r="BR59" s="165">
        <f>SUM(BM59:BP59)</f>
        <v>3044.1735794193128</v>
      </c>
      <c r="BS59" s="129">
        <f>BQ59/BR59</f>
        <v>1.0000000000000002</v>
      </c>
    </row>
    <row r="60" spans="3:71" x14ac:dyDescent="0.3">
      <c r="C60" s="128"/>
      <c r="D60" s="4" t="s">
        <v>13</v>
      </c>
      <c r="E60" s="139">
        <f t="shared" ref="E60:H60" si="97">E49*$K49</f>
        <v>408.76075556607196</v>
      </c>
      <c r="F60" s="139">
        <f t="shared" si="97"/>
        <v>606.5587119318069</v>
      </c>
      <c r="G60" s="139">
        <f t="shared" si="97"/>
        <v>38.680532502120997</v>
      </c>
      <c r="H60" s="139">
        <f t="shared" si="97"/>
        <v>0</v>
      </c>
      <c r="I60" s="120">
        <f>I49</f>
        <v>1054</v>
      </c>
      <c r="J60" s="165">
        <f>SUM(E60:H60)</f>
        <v>1053.9999999999998</v>
      </c>
      <c r="K60" s="129">
        <f>I60/J60</f>
        <v>1.0000000000000002</v>
      </c>
      <c r="M60" s="128"/>
      <c r="N60" s="4" t="s">
        <v>13</v>
      </c>
      <c r="O60" s="139">
        <f t="shared" ref="O60:R60" si="98">O49*$U49</f>
        <v>354.78194157948764</v>
      </c>
      <c r="P60" s="139">
        <f t="shared" si="98"/>
        <v>633.27548476954553</v>
      </c>
      <c r="Q60" s="139">
        <f t="shared" si="98"/>
        <v>124.92603831987869</v>
      </c>
      <c r="R60" s="139">
        <f t="shared" si="98"/>
        <v>0</v>
      </c>
      <c r="S60" s="120">
        <f>S49</f>
        <v>1112.9834646689119</v>
      </c>
      <c r="T60" s="165">
        <f>SUM(O60:R60)</f>
        <v>1112.9834646689119</v>
      </c>
      <c r="U60" s="129">
        <f>S60/T60</f>
        <v>1</v>
      </c>
      <c r="AG60" s="128"/>
      <c r="AH60" s="4" t="s">
        <v>13</v>
      </c>
      <c r="AI60" s="139">
        <f t="shared" ref="AI60:AL60" si="99">AI49*$AO49</f>
        <v>395.33791117828957</v>
      </c>
      <c r="AJ60" s="139">
        <f t="shared" si="99"/>
        <v>711.272806025161</v>
      </c>
      <c r="AK60" s="139">
        <f t="shared" si="99"/>
        <v>137.86429103253607</v>
      </c>
      <c r="AL60" s="139">
        <f t="shared" si="99"/>
        <v>0</v>
      </c>
      <c r="AM60" s="120">
        <f>AM49</f>
        <v>1244.4750082359867</v>
      </c>
      <c r="AN60" s="165">
        <f>SUM(AI60:AL60)</f>
        <v>1244.4750082359867</v>
      </c>
      <c r="AO60" s="129">
        <f>AM60/AN60</f>
        <v>1</v>
      </c>
      <c r="BA60" s="128"/>
      <c r="BB60" s="4" t="s">
        <v>13</v>
      </c>
      <c r="BC60" s="139">
        <f t="shared" ref="BC60:BF60" si="100">BC49*$BI49</f>
        <v>442.22310353382602</v>
      </c>
      <c r="BD60" s="139">
        <f t="shared" si="100"/>
        <v>801.35882443567743</v>
      </c>
      <c r="BE60" s="139">
        <f t="shared" si="100"/>
        <v>152.7565336424062</v>
      </c>
      <c r="BF60" s="139">
        <f t="shared" si="100"/>
        <v>0</v>
      </c>
      <c r="BG60" s="120">
        <f>BG49</f>
        <v>1396.3384616119097</v>
      </c>
      <c r="BH60" s="165">
        <f>SUM(BC60:BF60)</f>
        <v>1396.3384616119095</v>
      </c>
      <c r="BI60" s="129">
        <f>BG60/BH60</f>
        <v>1.0000000000000002</v>
      </c>
      <c r="BK60" s="128"/>
      <c r="BL60" s="4" t="s">
        <v>13</v>
      </c>
      <c r="BM60" s="139">
        <f t="shared" ref="BM60:BP60" si="101">BM49*$BS49</f>
        <v>468.34406270421289</v>
      </c>
      <c r="BN60" s="139">
        <f t="shared" si="101"/>
        <v>851.51934838135992</v>
      </c>
      <c r="BO60" s="139">
        <f t="shared" si="101"/>
        <v>161.02532957011678</v>
      </c>
      <c r="BP60" s="139">
        <f t="shared" si="101"/>
        <v>0</v>
      </c>
      <c r="BQ60" s="120">
        <f>BQ49</f>
        <v>1480.8887406556896</v>
      </c>
      <c r="BR60" s="165">
        <f>SUM(BM60:BP60)</f>
        <v>1480.8887406556896</v>
      </c>
      <c r="BS60" s="129">
        <f>BQ60/BR60</f>
        <v>1</v>
      </c>
    </row>
    <row r="61" spans="3:71" x14ac:dyDescent="0.3">
      <c r="C61" s="128"/>
      <c r="D61" s="4" t="s">
        <v>14</v>
      </c>
      <c r="E61" s="139">
        <f t="shared" ref="E61:H61" si="102">E50*$K50</f>
        <v>383.83737518476687</v>
      </c>
      <c r="F61" s="139">
        <f t="shared" si="102"/>
        <v>570.26649681248693</v>
      </c>
      <c r="G61" s="139">
        <f t="shared" si="102"/>
        <v>0</v>
      </c>
      <c r="H61" s="139">
        <f t="shared" si="102"/>
        <v>153.89612800274608</v>
      </c>
      <c r="I61" s="120">
        <f>I50</f>
        <v>1108</v>
      </c>
      <c r="J61" s="165">
        <f>SUM(E61:H61)</f>
        <v>1108</v>
      </c>
      <c r="K61" s="129">
        <f>I61/J61</f>
        <v>1</v>
      </c>
      <c r="M61" s="128"/>
      <c r="N61" s="4" t="s">
        <v>14</v>
      </c>
      <c r="O61" s="139">
        <f t="shared" ref="O61:R61" si="103">O50*$U50</f>
        <v>291.38181660630983</v>
      </c>
      <c r="P61" s="139">
        <f t="shared" si="103"/>
        <v>520.73954782166766</v>
      </c>
      <c r="Q61" s="139">
        <f t="shared" si="103"/>
        <v>0</v>
      </c>
      <c r="R61" s="139">
        <f t="shared" si="103"/>
        <v>360.61187367775324</v>
      </c>
      <c r="S61" s="120">
        <f>S50</f>
        <v>1172.7332381057306</v>
      </c>
      <c r="T61" s="165">
        <f>SUM(O61:R61)</f>
        <v>1172.7332381057308</v>
      </c>
      <c r="U61" s="129">
        <f>S61/T61</f>
        <v>0.99999999999999978</v>
      </c>
      <c r="AG61" s="128"/>
      <c r="AH61" s="4" t="s">
        <v>14</v>
      </c>
      <c r="AI61" s="139">
        <f t="shared" ref="AI61:AL61" si="104">AI50*$AO50</f>
        <v>326.77278871251457</v>
      </c>
      <c r="AJ61" s="139">
        <f t="shared" si="104"/>
        <v>588.62753122976653</v>
      </c>
      <c r="AK61" s="139">
        <f t="shared" si="104"/>
        <v>0</v>
      </c>
      <c r="AL61" s="139">
        <f t="shared" si="104"/>
        <v>401.94300657010365</v>
      </c>
      <c r="AM61" s="120">
        <f>AM50</f>
        <v>1317.3433265123847</v>
      </c>
      <c r="AN61" s="165">
        <f>SUM(AI61:AL61)</f>
        <v>1317.3433265123849</v>
      </c>
      <c r="AO61" s="129">
        <f>AM61/AN61</f>
        <v>0.99999999999999978</v>
      </c>
      <c r="BA61" s="128"/>
      <c r="BB61" s="4" t="s">
        <v>14</v>
      </c>
      <c r="BC61" s="139">
        <f t="shared" ref="BC61:BF61" si="105">BC50*$BI50</f>
        <v>367.80868158706903</v>
      </c>
      <c r="BD61" s="139">
        <f t="shared" si="105"/>
        <v>667.32057691979628</v>
      </c>
      <c r="BE61" s="139">
        <f t="shared" si="105"/>
        <v>0</v>
      </c>
      <c r="BF61" s="139">
        <f t="shared" si="105"/>
        <v>449.67105377231724</v>
      </c>
      <c r="BG61" s="120">
        <f>BG50</f>
        <v>1484.8003122791824</v>
      </c>
      <c r="BH61" s="165">
        <f>SUM(BC61:BF61)</f>
        <v>1484.8003122791827</v>
      </c>
      <c r="BI61" s="129">
        <f>BG61/BH61</f>
        <v>0.99999999999999989</v>
      </c>
      <c r="BK61" s="128"/>
      <c r="BL61" s="4" t="s">
        <v>14</v>
      </c>
      <c r="BM61" s="139">
        <f t="shared" ref="BM61:BP61" si="106">BM50*$BS50</f>
        <v>390.72052519778396</v>
      </c>
      <c r="BN61" s="139">
        <f t="shared" si="106"/>
        <v>711.25064419867317</v>
      </c>
      <c r="BO61" s="139">
        <f t="shared" si="106"/>
        <v>0</v>
      </c>
      <c r="BP61" s="139">
        <f t="shared" si="106"/>
        <v>476.23778147521517</v>
      </c>
      <c r="BQ61" s="120">
        <f>BQ50</f>
        <v>1578.2089508716722</v>
      </c>
      <c r="BR61" s="165">
        <f>SUM(BM61:BP61)</f>
        <v>1578.2089508716722</v>
      </c>
      <c r="BS61" s="129">
        <f>BQ61/BR61</f>
        <v>1</v>
      </c>
    </row>
    <row r="62" spans="3:71" x14ac:dyDescent="0.3">
      <c r="C62" s="128"/>
      <c r="D62" s="120" t="s">
        <v>196</v>
      </c>
      <c r="E62" s="120">
        <f>E51</f>
        <v>2050</v>
      </c>
      <c r="F62" s="120">
        <f>F51</f>
        <v>2050</v>
      </c>
      <c r="G62" s="120">
        <f>G51</f>
        <v>1054</v>
      </c>
      <c r="H62" s="120">
        <f>H51</f>
        <v>1108</v>
      </c>
      <c r="K62" s="129"/>
      <c r="M62" s="128"/>
      <c r="N62" s="120" t="s">
        <v>196</v>
      </c>
      <c r="O62" s="120">
        <f>O51</f>
        <v>1328.012404961956</v>
      </c>
      <c r="P62" s="120">
        <f>P51</f>
        <v>1658.4558060242425</v>
      </c>
      <c r="Q62" s="120">
        <f>Q51</f>
        <v>1917.811032253856</v>
      </c>
      <c r="R62" s="120">
        <f>R51</f>
        <v>1754.9305618371486</v>
      </c>
      <c r="U62" s="129"/>
      <c r="AG62" s="128"/>
      <c r="AH62" s="120" t="s">
        <v>196</v>
      </c>
      <c r="AI62" s="120">
        <f>AI51</f>
        <v>1503.1992104315086</v>
      </c>
      <c r="AJ62" s="120">
        <f>AJ51</f>
        <v>1881.7414801634088</v>
      </c>
      <c r="AK62" s="120">
        <f>AK51</f>
        <v>2172.0689016417573</v>
      </c>
      <c r="AL62" s="120">
        <f>AL51</f>
        <v>1989.5768224362307</v>
      </c>
      <c r="AO62" s="129"/>
      <c r="BA62" s="128"/>
      <c r="BB62" s="120" t="s">
        <v>196</v>
      </c>
      <c r="BC62" s="120">
        <f>BC51</f>
        <v>1706.558014485141</v>
      </c>
      <c r="BD62" s="120">
        <f>BD51</f>
        <v>2140.666670392317</v>
      </c>
      <c r="BE62" s="120">
        <f>BE51</f>
        <v>2465.8588575838148</v>
      </c>
      <c r="BF62" s="120">
        <f>BF51</f>
        <v>2261.126101582131</v>
      </c>
      <c r="BI62" s="129"/>
      <c r="BK62" s="128"/>
      <c r="BL62" s="120" t="s">
        <v>196</v>
      </c>
      <c r="BM62" s="120">
        <f>BM51</f>
        <v>1930.3584281999242</v>
      </c>
      <c r="BN62" s="120">
        <f>BN51</f>
        <v>2423.5572278064883</v>
      </c>
      <c r="BO62" s="120">
        <f>BO51</f>
        <v>2788.6181283808864</v>
      </c>
      <c r="BP62" s="120">
        <f>BP51</f>
        <v>2558.5385458951887</v>
      </c>
      <c r="BS62" s="129"/>
    </row>
    <row r="63" spans="3:71" x14ac:dyDescent="0.3">
      <c r="C63" s="128"/>
      <c r="D63" s="120" t="s">
        <v>195</v>
      </c>
      <c r="E63" s="165">
        <f>SUM(E58:E61)</f>
        <v>2012.2511952756406</v>
      </c>
      <c r="F63" s="165">
        <f>SUM(F58:F61)</f>
        <v>2023.6126981144744</v>
      </c>
      <c r="G63" s="165">
        <f>SUM(G58:G61)</f>
        <v>1089.06210287366</v>
      </c>
      <c r="H63" s="165">
        <f>SUM(H58:H61)</f>
        <v>1137.0740037362248</v>
      </c>
      <c r="K63" s="129"/>
      <c r="M63" s="128"/>
      <c r="N63" s="120" t="s">
        <v>195</v>
      </c>
      <c r="O63" s="165">
        <f>SUM(O58:O61)</f>
        <v>1302.1099620918421</v>
      </c>
      <c r="P63" s="165">
        <f>SUM(P58:P61)</f>
        <v>1589.4306654788238</v>
      </c>
      <c r="Q63" s="165">
        <f>SUM(Q58:Q61)</f>
        <v>1979.0700139366884</v>
      </c>
      <c r="R63" s="165">
        <f>SUM(R58:R61)</f>
        <v>1788.5991635698483</v>
      </c>
      <c r="U63" s="129"/>
      <c r="AG63" s="128"/>
      <c r="AH63" s="120" t="s">
        <v>195</v>
      </c>
      <c r="AI63" s="165">
        <f>SUM(AI58:AI61)</f>
        <v>1474.0377535532268</v>
      </c>
      <c r="AJ63" s="165">
        <f>SUM(AJ58:AJ61)</f>
        <v>1802.5591748203137</v>
      </c>
      <c r="AK63" s="165">
        <f>SUM(AK58:AK61)</f>
        <v>2241.8788042099372</v>
      </c>
      <c r="AL63" s="165">
        <f>SUM(AL58:AL61)</f>
        <v>2028.1106820894274</v>
      </c>
      <c r="AO63" s="129"/>
      <c r="BA63" s="128"/>
      <c r="BB63" s="120" t="s">
        <v>195</v>
      </c>
      <c r="BC63" s="165">
        <f>SUM(BC58:BC61)</f>
        <v>1673.653623472215</v>
      </c>
      <c r="BD63" s="165">
        <f>SUM(BD58:BD61)</f>
        <v>2049.7302602252339</v>
      </c>
      <c r="BE63" s="165">
        <f>SUM(BE58:BE61)</f>
        <v>2545.5403507983424</v>
      </c>
      <c r="BF63" s="165">
        <f>SUM(BF58:BF61)</f>
        <v>2305.2854095476114</v>
      </c>
      <c r="BI63" s="129"/>
      <c r="BK63" s="128"/>
      <c r="BL63" s="120" t="s">
        <v>195</v>
      </c>
      <c r="BM63" s="165">
        <f>SUM(BM58:BM61)</f>
        <v>1785.2146371031283</v>
      </c>
      <c r="BN63" s="165">
        <f>SUM(BN58:BN61)</f>
        <v>2187.7578572402572</v>
      </c>
      <c r="BO63" s="165">
        <f>SUM(BO58:BO61)</f>
        <v>2714.6518425997501</v>
      </c>
      <c r="BP63" s="165">
        <f>SUM(BP58:BP61)</f>
        <v>2459.8205134228533</v>
      </c>
      <c r="BS63" s="129"/>
    </row>
    <row r="64" spans="3:71" x14ac:dyDescent="0.3">
      <c r="C64" s="128"/>
      <c r="D64" s="120" t="s">
        <v>194</v>
      </c>
      <c r="E64" s="120">
        <f>E62/E63</f>
        <v>1.0187594892789658</v>
      </c>
      <c r="F64" s="120">
        <f>F62/F63</f>
        <v>1.0130396996965438</v>
      </c>
      <c r="G64" s="120">
        <f>G62/G63</f>
        <v>0.96780523095869075</v>
      </c>
      <c r="H64" s="120">
        <f>H62/H63</f>
        <v>0.97443086057662676</v>
      </c>
      <c r="K64" s="129"/>
      <c r="M64" s="128"/>
      <c r="N64" s="120" t="s">
        <v>194</v>
      </c>
      <c r="O64" s="120">
        <f>O62/O63</f>
        <v>1.0198926693015247</v>
      </c>
      <c r="P64" s="120">
        <f>P62/P63</f>
        <v>1.0434275882833961</v>
      </c>
      <c r="Q64" s="120">
        <f>Q62/Q63</f>
        <v>0.96904658185337345</v>
      </c>
      <c r="R64" s="120">
        <f>R62/R63</f>
        <v>0.98117599380651566</v>
      </c>
      <c r="U64" s="129"/>
      <c r="AG64" s="128"/>
      <c r="AH64" s="120" t="s">
        <v>194</v>
      </c>
      <c r="AI64" s="120">
        <f>AI62/AI63</f>
        <v>1.0197833853359501</v>
      </c>
      <c r="AJ64" s="120">
        <f>AJ62/AJ63</f>
        <v>1.0439277148008128</v>
      </c>
      <c r="AK64" s="120">
        <f>AK62/AK63</f>
        <v>0.96886098283409139</v>
      </c>
      <c r="AL64" s="120">
        <f>AL62/AL63</f>
        <v>0.98100011996707304</v>
      </c>
      <c r="AO64" s="129"/>
      <c r="BA64" s="128"/>
      <c r="BB64" s="120" t="s">
        <v>194</v>
      </c>
      <c r="BC64" s="120">
        <f>BC62/BC63</f>
        <v>1.0196602155616055</v>
      </c>
      <c r="BD64" s="120">
        <f>BD62/BD63</f>
        <v>1.0443650620433786</v>
      </c>
      <c r="BE64" s="120">
        <f>BE62/BE63</f>
        <v>0.96869761141694821</v>
      </c>
      <c r="BF64" s="120">
        <f>BF62/BF63</f>
        <v>0.98084432071508831</v>
      </c>
      <c r="BI64" s="129"/>
      <c r="BK64" s="128"/>
      <c r="BL64" s="120" t="s">
        <v>194</v>
      </c>
      <c r="BM64" s="120">
        <f>BM62/BM63</f>
        <v>1.0813032719316715</v>
      </c>
      <c r="BN64" s="120">
        <f>BN62/BN63</f>
        <v>1.1077812929734736</v>
      </c>
      <c r="BO64" s="120">
        <f>BO62/BO63</f>
        <v>1.0272470615275293</v>
      </c>
      <c r="BP64" s="120">
        <f>BP62/BP63</f>
        <v>1.0401322096200298</v>
      </c>
      <c r="BS64" s="129"/>
    </row>
    <row r="67" spans="3:21" x14ac:dyDescent="0.3">
      <c r="C67" s="128" t="s">
        <v>244</v>
      </c>
      <c r="K67" s="129"/>
      <c r="M67" s="128" t="s">
        <v>244</v>
      </c>
      <c r="U67" s="129"/>
    </row>
    <row r="68" spans="3:21" x14ac:dyDescent="0.3">
      <c r="C68" s="128"/>
      <c r="D68" s="131" t="s">
        <v>199</v>
      </c>
      <c r="E68" s="4" t="s">
        <v>11</v>
      </c>
      <c r="F68" s="4" t="s">
        <v>12</v>
      </c>
      <c r="G68" s="4" t="s">
        <v>13</v>
      </c>
      <c r="H68" s="4" t="s">
        <v>14</v>
      </c>
      <c r="I68" s="120" t="s">
        <v>198</v>
      </c>
      <c r="J68" s="120" t="s">
        <v>197</v>
      </c>
      <c r="K68" s="129" t="s">
        <v>194</v>
      </c>
      <c r="M68" s="128"/>
      <c r="N68" s="131" t="s">
        <v>199</v>
      </c>
      <c r="O68" s="4" t="s">
        <v>11</v>
      </c>
      <c r="P68" s="4" t="s">
        <v>12</v>
      </c>
      <c r="Q68" s="4" t="s">
        <v>13</v>
      </c>
      <c r="R68" s="4" t="s">
        <v>14</v>
      </c>
      <c r="S68" s="120" t="s">
        <v>198</v>
      </c>
      <c r="T68" s="120" t="s">
        <v>197</v>
      </c>
      <c r="U68" s="129" t="s">
        <v>194</v>
      </c>
    </row>
    <row r="69" spans="3:21" x14ac:dyDescent="0.3">
      <c r="C69" s="128"/>
      <c r="D69" s="4" t="s">
        <v>11</v>
      </c>
      <c r="E69" s="139">
        <f>E58*E$64</f>
        <v>1242.5331331128125</v>
      </c>
      <c r="F69" s="139">
        <f t="shared" ref="F69:H69" si="107">F58*F$64</f>
        <v>0</v>
      </c>
      <c r="G69" s="139">
        <f t="shared" si="107"/>
        <v>432.20464003961206</v>
      </c>
      <c r="H69" s="139">
        <f t="shared" si="107"/>
        <v>373.95215027352657</v>
      </c>
      <c r="I69" s="120">
        <f>I58</f>
        <v>2050</v>
      </c>
      <c r="J69" s="165">
        <f>SUM(E69:H69)</f>
        <v>2048.6899234259513</v>
      </c>
      <c r="K69" s="129">
        <f>I69/J69</f>
        <v>1.0006394704045101</v>
      </c>
      <c r="M69" s="128"/>
      <c r="N69" s="4" t="s">
        <v>11</v>
      </c>
      <c r="O69" s="139">
        <f>O58*O$64</f>
        <v>668.99472481993803</v>
      </c>
      <c r="P69" s="139">
        <f t="shared" ref="P69:R69" si="108">P58*P$64</f>
        <v>0</v>
      </c>
      <c r="Q69" s="139">
        <f t="shared" si="108"/>
        <v>866.05652140615177</v>
      </c>
      <c r="R69" s="139">
        <f t="shared" si="108"/>
        <v>625.08772993884372</v>
      </c>
      <c r="S69" s="120">
        <f>S58</f>
        <v>2186.7465511512801</v>
      </c>
      <c r="T69" s="165">
        <f>SUM(O69:R69)</f>
        <v>2160.1389761649334</v>
      </c>
      <c r="U69" s="129">
        <f>S69/T69</f>
        <v>1.0123175292330429</v>
      </c>
    </row>
    <row r="70" spans="3:21" x14ac:dyDescent="0.3">
      <c r="C70" s="128"/>
      <c r="D70" s="4" t="s">
        <v>12</v>
      </c>
      <c r="E70" s="139">
        <f t="shared" ref="E70:H70" si="109">E59*E$64</f>
        <v>0</v>
      </c>
      <c r="F70" s="139">
        <f t="shared" si="109"/>
        <v>857.82934393835808</v>
      </c>
      <c r="G70" s="139">
        <f t="shared" si="109"/>
        <v>584.36013826856754</v>
      </c>
      <c r="H70" s="139">
        <f t="shared" si="109"/>
        <v>584.0867132773468</v>
      </c>
      <c r="I70" s="120">
        <f>I59</f>
        <v>2050</v>
      </c>
      <c r="J70" s="165">
        <f>SUM(E70:H70)</f>
        <v>2026.2761954842726</v>
      </c>
      <c r="K70" s="129">
        <f>I70/J70</f>
        <v>1.0117080803538026</v>
      </c>
      <c r="M70" s="128"/>
      <c r="N70" s="4" t="s">
        <v>12</v>
      </c>
      <c r="O70" s="139">
        <f t="shared" ref="O70:R70" si="110">O59*O$64</f>
        <v>0</v>
      </c>
      <c r="P70" s="139">
        <f t="shared" si="110"/>
        <v>454.32468372480798</v>
      </c>
      <c r="Q70" s="139">
        <f t="shared" si="110"/>
        <v>930.69536042934226</v>
      </c>
      <c r="R70" s="139">
        <f t="shared" si="110"/>
        <v>776.01911836410568</v>
      </c>
      <c r="S70" s="120">
        <f>S59</f>
        <v>2186.7465511512801</v>
      </c>
      <c r="T70" s="165">
        <f>SUM(O70:R70)</f>
        <v>2161.0391625182556</v>
      </c>
      <c r="U70" s="129">
        <f>S70/T70</f>
        <v>1.0118958457944223</v>
      </c>
    </row>
    <row r="71" spans="3:21" x14ac:dyDescent="0.3">
      <c r="C71" s="128"/>
      <c r="D71" s="4" t="s">
        <v>13</v>
      </c>
      <c r="E71" s="139">
        <f t="shared" ref="E71:H71" si="111">E60*E$64</f>
        <v>416.42889857777561</v>
      </c>
      <c r="F71" s="139">
        <f t="shared" si="111"/>
        <v>614.46805538372007</v>
      </c>
      <c r="G71" s="139">
        <f t="shared" si="111"/>
        <v>37.435221691820352</v>
      </c>
      <c r="H71" s="139">
        <f t="shared" si="111"/>
        <v>0</v>
      </c>
      <c r="I71" s="120">
        <f>I60</f>
        <v>1054</v>
      </c>
      <c r="J71" s="165">
        <f>SUM(E71:H71)</f>
        <v>1068.332175653316</v>
      </c>
      <c r="K71" s="129">
        <f>I71/J71</f>
        <v>0.98658453243294719</v>
      </c>
      <c r="M71" s="128"/>
      <c r="N71" s="4" t="s">
        <v>13</v>
      </c>
      <c r="O71" s="139">
        <f t="shared" ref="O71:R71" si="112">O60*O$64</f>
        <v>361.83950141748124</v>
      </c>
      <c r="P71" s="139">
        <f t="shared" si="112"/>
        <v>660.77711179208541</v>
      </c>
      <c r="Q71" s="139">
        <f t="shared" si="112"/>
        <v>121.05915041836199</v>
      </c>
      <c r="R71" s="139">
        <f t="shared" si="112"/>
        <v>0</v>
      </c>
      <c r="S71" s="120">
        <f>S60</f>
        <v>1112.9834646689119</v>
      </c>
      <c r="T71" s="165">
        <f>SUM(O71:R71)</f>
        <v>1143.6757636279285</v>
      </c>
      <c r="U71" s="129">
        <f>S71/T71</f>
        <v>0.97316346124039943</v>
      </c>
    </row>
    <row r="72" spans="3:21" x14ac:dyDescent="0.3">
      <c r="C72" s="128"/>
      <c r="D72" s="4" t="s">
        <v>14</v>
      </c>
      <c r="E72" s="139">
        <f t="shared" ref="E72:H72" si="113">E61*E$64</f>
        <v>391.03796830941184</v>
      </c>
      <c r="F72" s="139">
        <f t="shared" si="113"/>
        <v>577.70260067792185</v>
      </c>
      <c r="G72" s="139">
        <f t="shared" si="113"/>
        <v>0</v>
      </c>
      <c r="H72" s="139">
        <f t="shared" si="113"/>
        <v>149.96113644912657</v>
      </c>
      <c r="I72" s="120">
        <f>I61</f>
        <v>1108</v>
      </c>
      <c r="J72" s="165">
        <f>SUM(E72:H72)</f>
        <v>1118.7017054364603</v>
      </c>
      <c r="K72" s="129">
        <f>I72/J72</f>
        <v>0.99043381682136167</v>
      </c>
      <c r="M72" s="128"/>
      <c r="N72" s="4" t="s">
        <v>14</v>
      </c>
      <c r="O72" s="139">
        <f t="shared" ref="O72:R72" si="114">O61*O$64</f>
        <v>297.17817872453668</v>
      </c>
      <c r="P72" s="139">
        <f t="shared" si="114"/>
        <v>543.3540105073489</v>
      </c>
      <c r="Q72" s="139">
        <f t="shared" si="114"/>
        <v>0</v>
      </c>
      <c r="R72" s="139">
        <f t="shared" si="114"/>
        <v>353.82371353419921</v>
      </c>
      <c r="S72" s="120">
        <f>S61</f>
        <v>1172.7332381057306</v>
      </c>
      <c r="T72" s="165">
        <f>SUM(O72:R72)</f>
        <v>1194.3559027660849</v>
      </c>
      <c r="U72" s="129">
        <f>S72/T72</f>
        <v>0.98189596199066209</v>
      </c>
    </row>
    <row r="73" spans="3:21" x14ac:dyDescent="0.3">
      <c r="C73" s="128"/>
      <c r="D73" s="120" t="s">
        <v>196</v>
      </c>
      <c r="E73" s="120">
        <f>E62</f>
        <v>2050</v>
      </c>
      <c r="F73" s="120">
        <f>F62</f>
        <v>2050</v>
      </c>
      <c r="G73" s="120">
        <f>G62</f>
        <v>1054</v>
      </c>
      <c r="H73" s="120">
        <f>H62</f>
        <v>1108</v>
      </c>
      <c r="K73" s="129"/>
      <c r="M73" s="128"/>
      <c r="N73" s="120" t="s">
        <v>196</v>
      </c>
      <c r="O73" s="120">
        <f>O62</f>
        <v>1328.012404961956</v>
      </c>
      <c r="P73" s="120">
        <f>P62</f>
        <v>1658.4558060242425</v>
      </c>
      <c r="Q73" s="120">
        <f>Q62</f>
        <v>1917.811032253856</v>
      </c>
      <c r="R73" s="120">
        <f>R62</f>
        <v>1754.9305618371486</v>
      </c>
      <c r="U73" s="129"/>
    </row>
    <row r="74" spans="3:21" x14ac:dyDescent="0.3">
      <c r="C74" s="128"/>
      <c r="D74" s="120" t="s">
        <v>195</v>
      </c>
      <c r="E74" s="165">
        <f>SUM(E69:E72)</f>
        <v>2050</v>
      </c>
      <c r="F74" s="165">
        <f>SUM(F69:F72)</f>
        <v>2050</v>
      </c>
      <c r="G74" s="165">
        <f>SUM(G69:G72)</f>
        <v>1054</v>
      </c>
      <c r="H74" s="165">
        <f>SUM(H69:H72)</f>
        <v>1108</v>
      </c>
      <c r="K74" s="129"/>
      <c r="M74" s="128"/>
      <c r="N74" s="120" t="s">
        <v>195</v>
      </c>
      <c r="O74" s="165">
        <f>SUM(O69:O72)</f>
        <v>1328.0124049619558</v>
      </c>
      <c r="P74" s="165">
        <f>SUM(P69:P72)</f>
        <v>1658.4558060242423</v>
      </c>
      <c r="Q74" s="165">
        <f>SUM(Q69:Q72)</f>
        <v>1917.811032253856</v>
      </c>
      <c r="R74" s="165">
        <f>SUM(R69:R72)</f>
        <v>1754.9305618371486</v>
      </c>
      <c r="U74" s="129"/>
    </row>
    <row r="75" spans="3:21" x14ac:dyDescent="0.3">
      <c r="C75" s="128"/>
      <c r="D75" s="120" t="s">
        <v>194</v>
      </c>
      <c r="E75" s="120">
        <f>E73/E74</f>
        <v>1</v>
      </c>
      <c r="F75" s="120">
        <f>F73/F74</f>
        <v>1</v>
      </c>
      <c r="G75" s="120">
        <f>G73/G74</f>
        <v>1</v>
      </c>
      <c r="H75" s="120">
        <f>H73/H74</f>
        <v>1</v>
      </c>
      <c r="K75" s="129"/>
      <c r="M75" s="128"/>
      <c r="N75" s="120" t="s">
        <v>194</v>
      </c>
      <c r="O75" s="120">
        <f>O73/O74</f>
        <v>1.0000000000000002</v>
      </c>
      <c r="P75" s="120">
        <f>P73/P74</f>
        <v>1.0000000000000002</v>
      </c>
      <c r="Q75" s="120">
        <f>Q73/Q74</f>
        <v>1</v>
      </c>
      <c r="R75" s="120">
        <f>R73/R74</f>
        <v>1</v>
      </c>
      <c r="U75" s="129"/>
    </row>
    <row r="78" spans="3:21" x14ac:dyDescent="0.3">
      <c r="C78" s="128" t="s">
        <v>245</v>
      </c>
      <c r="K78" s="129"/>
      <c r="M78" s="128" t="s">
        <v>245</v>
      </c>
      <c r="U78" s="129"/>
    </row>
    <row r="79" spans="3:21" x14ac:dyDescent="0.3">
      <c r="C79" s="128"/>
      <c r="D79" s="131" t="s">
        <v>199</v>
      </c>
      <c r="E79" s="4" t="s">
        <v>11</v>
      </c>
      <c r="F79" s="4" t="s">
        <v>12</v>
      </c>
      <c r="G79" s="4" t="s">
        <v>13</v>
      </c>
      <c r="H79" s="4" t="s">
        <v>14</v>
      </c>
      <c r="I79" s="120" t="s">
        <v>198</v>
      </c>
      <c r="J79" s="120" t="s">
        <v>197</v>
      </c>
      <c r="K79" s="129" t="s">
        <v>194</v>
      </c>
      <c r="M79" s="128"/>
      <c r="N79" s="131" t="s">
        <v>199</v>
      </c>
      <c r="O79" s="4" t="s">
        <v>11</v>
      </c>
      <c r="P79" s="4" t="s">
        <v>12</v>
      </c>
      <c r="Q79" s="4" t="s">
        <v>13</v>
      </c>
      <c r="R79" s="4" t="s">
        <v>14</v>
      </c>
      <c r="S79" s="120" t="s">
        <v>198</v>
      </c>
      <c r="T79" s="120" t="s">
        <v>197</v>
      </c>
      <c r="U79" s="129" t="s">
        <v>194</v>
      </c>
    </row>
    <row r="80" spans="3:21" x14ac:dyDescent="0.3">
      <c r="C80" s="128"/>
      <c r="D80" s="4" t="s">
        <v>11</v>
      </c>
      <c r="E80" s="139">
        <f>E69*$K69</f>
        <v>1243.3276962780612</v>
      </c>
      <c r="F80" s="139">
        <f t="shared" ref="F80:H80" si="115">F69*$K69</f>
        <v>0</v>
      </c>
      <c r="G80" s="139">
        <f t="shared" si="115"/>
        <v>432.48102211560933</v>
      </c>
      <c r="H80" s="139">
        <f t="shared" si="115"/>
        <v>374.19128160632937</v>
      </c>
      <c r="I80" s="120">
        <f>I69</f>
        <v>2050</v>
      </c>
      <c r="J80" s="165">
        <f>SUM(E80:H80)</f>
        <v>2050</v>
      </c>
      <c r="K80" s="129">
        <f>I80/J80</f>
        <v>1</v>
      </c>
      <c r="M80" s="128"/>
      <c r="N80" s="4" t="s">
        <v>11</v>
      </c>
      <c r="O80" s="139">
        <f>O69*$U69</f>
        <v>677.23508689965911</v>
      </c>
      <c r="P80" s="139">
        <f t="shared" ref="P80:R80" si="116">P69*$U69</f>
        <v>0</v>
      </c>
      <c r="Q80" s="139">
        <f t="shared" si="116"/>
        <v>876.72419792603944</v>
      </c>
      <c r="R80" s="139">
        <f t="shared" si="116"/>
        <v>632.78726632558187</v>
      </c>
      <c r="S80" s="120">
        <f>S69</f>
        <v>2186.7465511512801</v>
      </c>
      <c r="T80" s="165">
        <f>SUM(O80:R80)</f>
        <v>2186.7465511512801</v>
      </c>
      <c r="U80" s="129">
        <f>S80/T80</f>
        <v>1</v>
      </c>
    </row>
    <row r="81" spans="3:21" x14ac:dyDescent="0.3">
      <c r="C81" s="128"/>
      <c r="D81" s="4" t="s">
        <v>12</v>
      </c>
      <c r="E81" s="139">
        <f t="shared" ref="E81:H81" si="117">E70*$K70</f>
        <v>0</v>
      </c>
      <c r="F81" s="139">
        <f t="shared" si="117"/>
        <v>867.87287882703811</v>
      </c>
      <c r="G81" s="139">
        <f t="shared" si="117"/>
        <v>591.20187372297505</v>
      </c>
      <c r="H81" s="139">
        <f t="shared" si="117"/>
        <v>590.92524744998639</v>
      </c>
      <c r="I81" s="120">
        <f>I70</f>
        <v>2050</v>
      </c>
      <c r="J81" s="165">
        <f>SUM(E81:H81)</f>
        <v>2049.9999999999995</v>
      </c>
      <c r="K81" s="129">
        <f>I81/J81</f>
        <v>1.0000000000000002</v>
      </c>
      <c r="M81" s="128"/>
      <c r="N81" s="4" t="s">
        <v>12</v>
      </c>
      <c r="O81" s="139">
        <f t="shared" ref="O81:R81" si="118">O70*$U70</f>
        <v>0</v>
      </c>
      <c r="P81" s="139">
        <f t="shared" si="118"/>
        <v>459.72926010299796</v>
      </c>
      <c r="Q81" s="139">
        <f t="shared" si="118"/>
        <v>941.76676891859393</v>
      </c>
      <c r="R81" s="139">
        <f t="shared" si="118"/>
        <v>785.25052212968865</v>
      </c>
      <c r="S81" s="120">
        <f>S70</f>
        <v>2186.7465511512801</v>
      </c>
      <c r="T81" s="165">
        <f>SUM(O81:R81)</f>
        <v>2186.7465511512805</v>
      </c>
      <c r="U81" s="129">
        <f>S81/T81</f>
        <v>0.99999999999999978</v>
      </c>
    </row>
    <row r="82" spans="3:21" x14ac:dyDescent="0.3">
      <c r="C82" s="128"/>
      <c r="D82" s="4" t="s">
        <v>13</v>
      </c>
      <c r="E82" s="139">
        <f t="shared" ref="E82:H82" si="119">E71*$K71</f>
        <v>410.84231019492194</v>
      </c>
      <c r="F82" s="139">
        <f t="shared" si="119"/>
        <v>606.22467911572971</v>
      </c>
      <c r="G82" s="139">
        <f t="shared" si="119"/>
        <v>36.933010689348308</v>
      </c>
      <c r="H82" s="139">
        <f t="shared" si="119"/>
        <v>0</v>
      </c>
      <c r="I82" s="120">
        <f>I71</f>
        <v>1054</v>
      </c>
      <c r="J82" s="165">
        <f>SUM(E82:H82)</f>
        <v>1054</v>
      </c>
      <c r="K82" s="129">
        <f>I82/J82</f>
        <v>1</v>
      </c>
      <c r="M82" s="128"/>
      <c r="N82" s="4" t="s">
        <v>13</v>
      </c>
      <c r="O82" s="139">
        <f t="shared" ref="O82:R82" si="120">O71*$U71</f>
        <v>352.12898161293646</v>
      </c>
      <c r="P82" s="139">
        <f t="shared" si="120"/>
        <v>643.04414122002015</v>
      </c>
      <c r="Q82" s="139">
        <f t="shared" si="120"/>
        <v>117.81034183595531</v>
      </c>
      <c r="R82" s="139">
        <f t="shared" si="120"/>
        <v>0</v>
      </c>
      <c r="S82" s="120">
        <f>S71</f>
        <v>1112.9834646689119</v>
      </c>
      <c r="T82" s="165">
        <f>SUM(O82:R82)</f>
        <v>1112.9834646689119</v>
      </c>
      <c r="U82" s="129">
        <f>S82/T82</f>
        <v>1</v>
      </c>
    </row>
    <row r="83" spans="3:21" x14ac:dyDescent="0.3">
      <c r="C83" s="128"/>
      <c r="D83" s="4" t="s">
        <v>14</v>
      </c>
      <c r="E83" s="139">
        <f t="shared" ref="E83:H83" si="121">E72*$K72</f>
        <v>387.29722747476143</v>
      </c>
      <c r="F83" s="139">
        <f t="shared" si="121"/>
        <v>572.17619177706115</v>
      </c>
      <c r="G83" s="139">
        <f t="shared" si="121"/>
        <v>0</v>
      </c>
      <c r="H83" s="139">
        <f t="shared" si="121"/>
        <v>148.52658074817745</v>
      </c>
      <c r="I83" s="120">
        <f>I72</f>
        <v>1108</v>
      </c>
      <c r="J83" s="165">
        <f>SUM(E83:H83)</f>
        <v>1108</v>
      </c>
      <c r="K83" s="129">
        <f>I83/J83</f>
        <v>1</v>
      </c>
      <c r="M83" s="128"/>
      <c r="N83" s="4" t="s">
        <v>14</v>
      </c>
      <c r="O83" s="139">
        <f t="shared" ref="O83:R83" si="122">O72*$U72</f>
        <v>291.79805368136186</v>
      </c>
      <c r="P83" s="139">
        <f t="shared" si="122"/>
        <v>533.51710884859767</v>
      </c>
      <c r="Q83" s="139">
        <f t="shared" si="122"/>
        <v>0</v>
      </c>
      <c r="R83" s="139">
        <f t="shared" si="122"/>
        <v>347.41807557577096</v>
      </c>
      <c r="S83" s="120">
        <f>S72</f>
        <v>1172.7332381057306</v>
      </c>
      <c r="T83" s="165">
        <f>SUM(O83:R83)</f>
        <v>1172.7332381057304</v>
      </c>
      <c r="U83" s="129">
        <f>S83/T83</f>
        <v>1.0000000000000002</v>
      </c>
    </row>
    <row r="84" spans="3:21" x14ac:dyDescent="0.3">
      <c r="C84" s="128"/>
      <c r="D84" s="120" t="s">
        <v>196</v>
      </c>
      <c r="E84" s="120">
        <f>E73</f>
        <v>2050</v>
      </c>
      <c r="F84" s="120">
        <f>F73</f>
        <v>2050</v>
      </c>
      <c r="G84" s="120">
        <f>G73</f>
        <v>1054</v>
      </c>
      <c r="H84" s="120">
        <f>H73</f>
        <v>1108</v>
      </c>
      <c r="K84" s="129"/>
      <c r="M84" s="128"/>
      <c r="N84" s="120" t="s">
        <v>196</v>
      </c>
      <c r="O84" s="120">
        <f>O73</f>
        <v>1328.012404961956</v>
      </c>
      <c r="P84" s="120">
        <f>P73</f>
        <v>1658.4558060242425</v>
      </c>
      <c r="Q84" s="120">
        <f>Q73</f>
        <v>1917.811032253856</v>
      </c>
      <c r="R84" s="120">
        <f>R73</f>
        <v>1754.9305618371486</v>
      </c>
      <c r="U84" s="129"/>
    </row>
    <row r="85" spans="3:21" x14ac:dyDescent="0.3">
      <c r="C85" s="128"/>
      <c r="D85" s="120" t="s">
        <v>195</v>
      </c>
      <c r="E85" s="165">
        <f>SUM(E80:E83)</f>
        <v>2041.4672339477447</v>
      </c>
      <c r="F85" s="165">
        <f>SUM(F80:F83)</f>
        <v>2046.2737497198289</v>
      </c>
      <c r="G85" s="165">
        <f>SUM(G80:G83)</f>
        <v>1060.6159065279328</v>
      </c>
      <c r="H85" s="165">
        <f>SUM(H80:H83)</f>
        <v>1113.6431098044932</v>
      </c>
      <c r="K85" s="129"/>
      <c r="M85" s="128"/>
      <c r="N85" s="120" t="s">
        <v>195</v>
      </c>
      <c r="O85" s="165">
        <f>SUM(O80:O83)</f>
        <v>1321.1621221939574</v>
      </c>
      <c r="P85" s="165">
        <f>SUM(P80:P83)</f>
        <v>1636.2905101716158</v>
      </c>
      <c r="Q85" s="165">
        <f>SUM(Q80:Q83)</f>
        <v>1936.3013086805888</v>
      </c>
      <c r="R85" s="165">
        <f>SUM(R80:R83)</f>
        <v>1765.4558640310413</v>
      </c>
      <c r="U85" s="129"/>
    </row>
    <row r="86" spans="3:21" x14ac:dyDescent="0.3">
      <c r="C86" s="128"/>
      <c r="D86" s="120" t="s">
        <v>194</v>
      </c>
      <c r="E86" s="120">
        <f>E84/E85</f>
        <v>1.0041797222656152</v>
      </c>
      <c r="F86" s="120">
        <f>F84/F85</f>
        <v>1.001820993051727</v>
      </c>
      <c r="G86" s="120">
        <f>G84/G85</f>
        <v>0.99376220318098862</v>
      </c>
      <c r="H86" s="120">
        <f>H84/H85</f>
        <v>0.99493274842289114</v>
      </c>
      <c r="K86" s="129"/>
      <c r="M86" s="128"/>
      <c r="N86" s="120" t="s">
        <v>194</v>
      </c>
      <c r="O86" s="120">
        <f>O84/O85</f>
        <v>1.0051850432682878</v>
      </c>
      <c r="P86" s="120">
        <f>P84/P85</f>
        <v>1.0135460639262046</v>
      </c>
      <c r="Q86" s="120">
        <f>Q84/Q85</f>
        <v>0.99045072358117014</v>
      </c>
      <c r="R86" s="120">
        <f>R84/R85</f>
        <v>0.99403819579501673</v>
      </c>
      <c r="U86" s="129"/>
    </row>
    <row r="89" spans="3:21" x14ac:dyDescent="0.3">
      <c r="C89" s="128" t="s">
        <v>246</v>
      </c>
      <c r="K89" s="129"/>
      <c r="M89" s="128" t="s">
        <v>246</v>
      </c>
      <c r="U89" s="129"/>
    </row>
    <row r="90" spans="3:21" x14ac:dyDescent="0.3">
      <c r="C90" s="128"/>
      <c r="D90" s="131" t="s">
        <v>199</v>
      </c>
      <c r="E90" s="4" t="s">
        <v>11</v>
      </c>
      <c r="F90" s="4" t="s">
        <v>12</v>
      </c>
      <c r="G90" s="4" t="s">
        <v>13</v>
      </c>
      <c r="H90" s="4" t="s">
        <v>14</v>
      </c>
      <c r="I90" s="120" t="s">
        <v>198</v>
      </c>
      <c r="J90" s="120" t="s">
        <v>197</v>
      </c>
      <c r="K90" s="129" t="s">
        <v>194</v>
      </c>
      <c r="M90" s="128"/>
      <c r="N90" s="131" t="s">
        <v>199</v>
      </c>
      <c r="O90" s="4" t="s">
        <v>11</v>
      </c>
      <c r="P90" s="4" t="s">
        <v>12</v>
      </c>
      <c r="Q90" s="4" t="s">
        <v>13</v>
      </c>
      <c r="R90" s="4" t="s">
        <v>14</v>
      </c>
      <c r="S90" s="120" t="s">
        <v>198</v>
      </c>
      <c r="T90" s="120" t="s">
        <v>197</v>
      </c>
      <c r="U90" s="129" t="s">
        <v>194</v>
      </c>
    </row>
    <row r="91" spans="3:21" x14ac:dyDescent="0.3">
      <c r="C91" s="128"/>
      <c r="D91" s="4" t="s">
        <v>11</v>
      </c>
      <c r="E91" s="139">
        <f>E80*E$86</f>
        <v>1248.5244607336508</v>
      </c>
      <c r="F91" s="139">
        <f t="shared" ref="F91:H91" si="123">F80*F$86</f>
        <v>0</v>
      </c>
      <c r="G91" s="139">
        <f t="shared" si="123"/>
        <v>429.78329337157379</v>
      </c>
      <c r="H91" s="139">
        <f t="shared" si="123"/>
        <v>372.29516024446929</v>
      </c>
      <c r="I91" s="120">
        <f>I80</f>
        <v>2050</v>
      </c>
      <c r="J91" s="165">
        <f>SUM(E91:H91)</f>
        <v>2050.6029143496939</v>
      </c>
      <c r="K91" s="129">
        <f>I91/J91</f>
        <v>0.99970598191123461</v>
      </c>
      <c r="M91" s="128"/>
      <c r="N91" s="4" t="s">
        <v>11</v>
      </c>
      <c r="O91" s="139">
        <f>O80*O$86</f>
        <v>680.7465801280365</v>
      </c>
      <c r="P91" s="139">
        <f t="shared" ref="P91:R91" si="124">P80*P$86</f>
        <v>0</v>
      </c>
      <c r="Q91" s="139">
        <f t="shared" si="124"/>
        <v>868.35211621696681</v>
      </c>
      <c r="R91" s="139">
        <f t="shared" si="124"/>
        <v>629.0147125403422</v>
      </c>
      <c r="S91" s="120">
        <f>S80</f>
        <v>2186.7465511512801</v>
      </c>
      <c r="T91" s="165">
        <f>SUM(O91:R91)</f>
        <v>2178.1134088853455</v>
      </c>
      <c r="U91" s="129">
        <f>S91/T91</f>
        <v>1.0039635871257744</v>
      </c>
    </row>
    <row r="92" spans="3:21" x14ac:dyDescent="0.3">
      <c r="C92" s="128"/>
      <c r="D92" s="4" t="s">
        <v>12</v>
      </c>
      <c r="E92" s="139">
        <f t="shared" ref="E92:H92" si="125">E81*E$86</f>
        <v>0</v>
      </c>
      <c r="F92" s="139">
        <f t="shared" si="125"/>
        <v>869.45326930916451</v>
      </c>
      <c r="G92" s="139">
        <f t="shared" si="125"/>
        <v>587.51407655567232</v>
      </c>
      <c r="H92" s="139">
        <f t="shared" si="125"/>
        <v>587.93088055789201</v>
      </c>
      <c r="I92" s="120">
        <f>I81</f>
        <v>2050</v>
      </c>
      <c r="J92" s="165">
        <f>SUM(E92:H92)</f>
        <v>2044.8982264227288</v>
      </c>
      <c r="K92" s="129">
        <f>I92/J92</f>
        <v>1.0024948789682291</v>
      </c>
      <c r="M92" s="128"/>
      <c r="N92" s="4" t="s">
        <v>12</v>
      </c>
      <c r="O92" s="139">
        <f t="shared" ref="O92:R92" si="126">O81*O$86</f>
        <v>0</v>
      </c>
      <c r="P92" s="139">
        <f t="shared" si="126"/>
        <v>465.9567820490999</v>
      </c>
      <c r="Q92" s="139">
        <f t="shared" si="126"/>
        <v>932.77357772012203</v>
      </c>
      <c r="R92" s="139">
        <f t="shared" si="126"/>
        <v>780.5690122648906</v>
      </c>
      <c r="S92" s="120">
        <f>S81</f>
        <v>2186.7465511512801</v>
      </c>
      <c r="T92" s="165">
        <f>SUM(O92:R92)</f>
        <v>2179.2993720341124</v>
      </c>
      <c r="U92" s="129">
        <f>S92/T92</f>
        <v>1.0034172354715161</v>
      </c>
    </row>
    <row r="93" spans="3:21" x14ac:dyDescent="0.3">
      <c r="C93" s="128"/>
      <c r="D93" s="4" t="s">
        <v>13</v>
      </c>
      <c r="E93" s="139">
        <f t="shared" ref="E93:H93" si="127">E82*E$86</f>
        <v>412.55951694650048</v>
      </c>
      <c r="F93" s="139">
        <f t="shared" si="127"/>
        <v>607.32861004418487</v>
      </c>
      <c r="G93" s="139">
        <f t="shared" si="127"/>
        <v>36.702630072753777</v>
      </c>
      <c r="H93" s="139">
        <f t="shared" si="127"/>
        <v>0</v>
      </c>
      <c r="I93" s="120">
        <f>I82</f>
        <v>1054</v>
      </c>
      <c r="J93" s="165">
        <f>SUM(E93:H93)</f>
        <v>1056.590757063439</v>
      </c>
      <c r="K93" s="129">
        <f>I93/J93</f>
        <v>0.99754800328687387</v>
      </c>
      <c r="M93" s="128"/>
      <c r="N93" s="4" t="s">
        <v>13</v>
      </c>
      <c r="O93" s="139">
        <f t="shared" ref="O93:R93" si="128">O82*O$86</f>
        <v>353.95478561861768</v>
      </c>
      <c r="P93" s="139">
        <f t="shared" si="128"/>
        <v>651.75485826435784</v>
      </c>
      <c r="Q93" s="139">
        <f t="shared" si="128"/>
        <v>116.68533831676694</v>
      </c>
      <c r="R93" s="139">
        <f t="shared" si="128"/>
        <v>0</v>
      </c>
      <c r="S93" s="120">
        <f>S82</f>
        <v>1112.9834646689119</v>
      </c>
      <c r="T93" s="165">
        <f>SUM(O93:R93)</f>
        <v>1122.3949821997426</v>
      </c>
      <c r="U93" s="129">
        <f>S93/T93</f>
        <v>0.99161479008718889</v>
      </c>
    </row>
    <row r="94" spans="3:21" x14ac:dyDescent="0.3">
      <c r="C94" s="128"/>
      <c r="D94" s="4" t="s">
        <v>14</v>
      </c>
      <c r="E94" s="139">
        <f t="shared" ref="E94:H94" si="129">E83*E$86</f>
        <v>388.91602231984876</v>
      </c>
      <c r="F94" s="139">
        <f t="shared" si="129"/>
        <v>573.21812064665085</v>
      </c>
      <c r="G94" s="139">
        <f t="shared" si="129"/>
        <v>0</v>
      </c>
      <c r="H94" s="139">
        <f t="shared" si="129"/>
        <v>147.77395919763867</v>
      </c>
      <c r="I94" s="120">
        <f>I83</f>
        <v>1108</v>
      </c>
      <c r="J94" s="165">
        <f>SUM(E94:H94)</f>
        <v>1109.9081021641384</v>
      </c>
      <c r="K94" s="129">
        <f>I94/J94</f>
        <v>0.99828084671116646</v>
      </c>
      <c r="M94" s="128"/>
      <c r="N94" s="4" t="s">
        <v>14</v>
      </c>
      <c r="O94" s="139">
        <f t="shared" ref="O94:R94" si="130">O83*O$86</f>
        <v>293.31103921530189</v>
      </c>
      <c r="P94" s="139">
        <f t="shared" si="130"/>
        <v>540.74416571078461</v>
      </c>
      <c r="Q94" s="139">
        <f t="shared" si="130"/>
        <v>0</v>
      </c>
      <c r="R94" s="139">
        <f t="shared" si="130"/>
        <v>345.34683703191615</v>
      </c>
      <c r="S94" s="120">
        <f>S83</f>
        <v>1172.7332381057306</v>
      </c>
      <c r="T94" s="165">
        <f>SUM(O94:R94)</f>
        <v>1179.4020419580027</v>
      </c>
      <c r="U94" s="129">
        <f>S94/T94</f>
        <v>0.99434560598080635</v>
      </c>
    </row>
    <row r="95" spans="3:21" x14ac:dyDescent="0.3">
      <c r="C95" s="128"/>
      <c r="D95" s="120" t="s">
        <v>196</v>
      </c>
      <c r="E95" s="120">
        <f>E84</f>
        <v>2050</v>
      </c>
      <c r="F95" s="120">
        <f>F84</f>
        <v>2050</v>
      </c>
      <c r="G95" s="120">
        <f>G84</f>
        <v>1054</v>
      </c>
      <c r="H95" s="120">
        <f>H84</f>
        <v>1108</v>
      </c>
      <c r="K95" s="129"/>
      <c r="M95" s="128"/>
      <c r="N95" s="120" t="s">
        <v>196</v>
      </c>
      <c r="O95" s="120">
        <f>O84</f>
        <v>1328.012404961956</v>
      </c>
      <c r="P95" s="120">
        <f>P84</f>
        <v>1658.4558060242425</v>
      </c>
      <c r="Q95" s="120">
        <f>Q84</f>
        <v>1917.811032253856</v>
      </c>
      <c r="R95" s="120">
        <f>R84</f>
        <v>1754.9305618371486</v>
      </c>
      <c r="U95" s="129"/>
    </row>
    <row r="96" spans="3:21" x14ac:dyDescent="0.3">
      <c r="C96" s="128"/>
      <c r="D96" s="120" t="s">
        <v>195</v>
      </c>
      <c r="E96" s="165">
        <f>SUM(E91:E94)</f>
        <v>2050</v>
      </c>
      <c r="F96" s="165">
        <f>SUM(F91:F94)</f>
        <v>2050</v>
      </c>
      <c r="G96" s="165">
        <f>SUM(G91:G94)</f>
        <v>1054</v>
      </c>
      <c r="H96" s="165">
        <f>SUM(H91:H94)</f>
        <v>1108</v>
      </c>
      <c r="K96" s="129"/>
      <c r="M96" s="128"/>
      <c r="N96" s="120" t="s">
        <v>195</v>
      </c>
      <c r="O96" s="165">
        <f>SUM(O91:O94)</f>
        <v>1328.012404961956</v>
      </c>
      <c r="P96" s="165">
        <f>SUM(P91:P94)</f>
        <v>1658.4558060242425</v>
      </c>
      <c r="Q96" s="165">
        <f>SUM(Q91:Q94)</f>
        <v>1917.8110322538557</v>
      </c>
      <c r="R96" s="165">
        <f>SUM(R91:R94)</f>
        <v>1754.9305618371491</v>
      </c>
      <c r="U96" s="129"/>
    </row>
    <row r="97" spans="3:21" x14ac:dyDescent="0.3">
      <c r="C97" s="128"/>
      <c r="D97" s="120" t="s">
        <v>194</v>
      </c>
      <c r="E97" s="120">
        <f>E95/E96</f>
        <v>1</v>
      </c>
      <c r="F97" s="120">
        <f>F95/F96</f>
        <v>1</v>
      </c>
      <c r="G97" s="120">
        <f>G95/G96</f>
        <v>1</v>
      </c>
      <c r="H97" s="120">
        <f>H95/H96</f>
        <v>1</v>
      </c>
      <c r="K97" s="129"/>
      <c r="M97" s="128"/>
      <c r="N97" s="120" t="s">
        <v>194</v>
      </c>
      <c r="O97" s="120">
        <f>O95/O96</f>
        <v>1</v>
      </c>
      <c r="P97" s="120">
        <f>P95/P96</f>
        <v>1</v>
      </c>
      <c r="Q97" s="120">
        <f>Q95/Q96</f>
        <v>1.0000000000000002</v>
      </c>
      <c r="R97" s="120">
        <f>R95/R96</f>
        <v>0.99999999999999978</v>
      </c>
      <c r="U97" s="129"/>
    </row>
    <row r="100" spans="3:21" x14ac:dyDescent="0.3">
      <c r="C100" s="128" t="s">
        <v>247</v>
      </c>
      <c r="K100" s="129"/>
      <c r="M100" s="128" t="s">
        <v>247</v>
      </c>
      <c r="U100" s="129"/>
    </row>
    <row r="101" spans="3:21" x14ac:dyDescent="0.3">
      <c r="C101" s="128"/>
      <c r="D101" s="131" t="s">
        <v>199</v>
      </c>
      <c r="E101" s="4" t="s">
        <v>11</v>
      </c>
      <c r="F101" s="4" t="s">
        <v>12</v>
      </c>
      <c r="G101" s="4" t="s">
        <v>13</v>
      </c>
      <c r="H101" s="4" t="s">
        <v>14</v>
      </c>
      <c r="I101" s="120" t="s">
        <v>198</v>
      </c>
      <c r="J101" s="120" t="s">
        <v>197</v>
      </c>
      <c r="K101" s="129" t="s">
        <v>194</v>
      </c>
      <c r="M101" s="128"/>
      <c r="N101" s="131" t="s">
        <v>199</v>
      </c>
      <c r="O101" s="4" t="s">
        <v>11</v>
      </c>
      <c r="P101" s="4" t="s">
        <v>12</v>
      </c>
      <c r="Q101" s="4" t="s">
        <v>13</v>
      </c>
      <c r="R101" s="4" t="s">
        <v>14</v>
      </c>
      <c r="S101" s="120" t="s">
        <v>198</v>
      </c>
      <c r="T101" s="120" t="s">
        <v>197</v>
      </c>
      <c r="U101" s="129" t="s">
        <v>194</v>
      </c>
    </row>
    <row r="102" spans="3:21" x14ac:dyDescent="0.3">
      <c r="C102" s="128"/>
      <c r="D102" s="4" t="s">
        <v>11</v>
      </c>
      <c r="E102" s="139">
        <f>E91*$K91</f>
        <v>1248.1573719579292</v>
      </c>
      <c r="F102" s="139">
        <f t="shared" ref="F102:H102" si="131">F91*$K91</f>
        <v>0</v>
      </c>
      <c r="G102" s="139">
        <f t="shared" si="131"/>
        <v>429.6569293090734</v>
      </c>
      <c r="H102" s="139">
        <f t="shared" si="131"/>
        <v>372.18569873299759</v>
      </c>
      <c r="I102" s="120">
        <f>I91</f>
        <v>2050</v>
      </c>
      <c r="J102" s="165">
        <f>SUM(E102:H102)</f>
        <v>2050</v>
      </c>
      <c r="K102" s="129">
        <f>I102/J102</f>
        <v>1</v>
      </c>
      <c r="M102" s="128"/>
      <c r="N102" s="4" t="s">
        <v>11</v>
      </c>
      <c r="O102" s="139">
        <f>O91*$U91</f>
        <v>683.44477850894691</v>
      </c>
      <c r="P102" s="139">
        <f t="shared" ref="P102:R102" si="132">P91*$U91</f>
        <v>0</v>
      </c>
      <c r="Q102" s="139">
        <f t="shared" si="132"/>
        <v>871.79390548544336</v>
      </c>
      <c r="R102" s="139">
        <f t="shared" si="132"/>
        <v>631.5078671568898</v>
      </c>
      <c r="S102" s="120">
        <f>S91</f>
        <v>2186.7465511512801</v>
      </c>
      <c r="T102" s="165">
        <f>SUM(O102:R102)</f>
        <v>2186.7465511512801</v>
      </c>
      <c r="U102" s="129">
        <f>S102/T102</f>
        <v>1</v>
      </c>
    </row>
    <row r="103" spans="3:21" x14ac:dyDescent="0.3">
      <c r="C103" s="128"/>
      <c r="D103" s="4" t="s">
        <v>12</v>
      </c>
      <c r="E103" s="139">
        <f t="shared" ref="E103:H103" si="133">E92*$K92</f>
        <v>0</v>
      </c>
      <c r="F103" s="139">
        <f t="shared" si="133"/>
        <v>871.62244998462199</v>
      </c>
      <c r="G103" s="139">
        <f t="shared" si="133"/>
        <v>588.97985306880958</v>
      </c>
      <c r="H103" s="139">
        <f t="shared" si="133"/>
        <v>589.39769694656832</v>
      </c>
      <c r="I103" s="120">
        <f>I92</f>
        <v>2050</v>
      </c>
      <c r="J103" s="165">
        <f>SUM(E103:H103)</f>
        <v>2050</v>
      </c>
      <c r="K103" s="129">
        <f>I103/J103</f>
        <v>1</v>
      </c>
      <c r="M103" s="128"/>
      <c r="N103" s="4" t="s">
        <v>12</v>
      </c>
      <c r="O103" s="139">
        <f t="shared" ref="O103:R103" si="134">O92*$U92</f>
        <v>0</v>
      </c>
      <c r="P103" s="139">
        <f t="shared" si="134"/>
        <v>467.54906609291157</v>
      </c>
      <c r="Q103" s="139">
        <f t="shared" si="134"/>
        <v>935.96108467680017</v>
      </c>
      <c r="R103" s="139">
        <f t="shared" si="134"/>
        <v>783.2364003815685</v>
      </c>
      <c r="S103" s="120">
        <f>S92</f>
        <v>2186.7465511512801</v>
      </c>
      <c r="T103" s="165">
        <f>SUM(O103:R103)</f>
        <v>2186.7465511512801</v>
      </c>
      <c r="U103" s="129">
        <f>S103/T103</f>
        <v>1</v>
      </c>
    </row>
    <row r="104" spans="3:21" x14ac:dyDescent="0.3">
      <c r="C104" s="128"/>
      <c r="D104" s="4" t="s">
        <v>13</v>
      </c>
      <c r="E104" s="139">
        <f t="shared" ref="E104:H104" si="135">E93*$K93</f>
        <v>411.54792236697875</v>
      </c>
      <c r="F104" s="139">
        <f t="shared" si="135"/>
        <v>605.8394422885691</v>
      </c>
      <c r="G104" s="139">
        <f t="shared" si="135"/>
        <v>36.612635344452301</v>
      </c>
      <c r="H104" s="139">
        <f t="shared" si="135"/>
        <v>0</v>
      </c>
      <c r="I104" s="120">
        <f>I93</f>
        <v>1054</v>
      </c>
      <c r="J104" s="165">
        <f>SUM(E104:H104)</f>
        <v>1054</v>
      </c>
      <c r="K104" s="129">
        <f>I104/J104</f>
        <v>1</v>
      </c>
      <c r="M104" s="128"/>
      <c r="N104" s="4" t="s">
        <v>13</v>
      </c>
      <c r="O104" s="139">
        <f t="shared" ref="O104:R104" si="136">O93*$U93</f>
        <v>350.98680044156151</v>
      </c>
      <c r="P104" s="139">
        <f t="shared" si="136"/>
        <v>646.28975696611678</v>
      </c>
      <c r="Q104" s="139">
        <f t="shared" si="136"/>
        <v>115.70690726123347</v>
      </c>
      <c r="R104" s="139">
        <f t="shared" si="136"/>
        <v>0</v>
      </c>
      <c r="S104" s="120">
        <f>S93</f>
        <v>1112.9834646689119</v>
      </c>
      <c r="T104" s="165">
        <f>SUM(O104:R104)</f>
        <v>1112.9834646689117</v>
      </c>
      <c r="U104" s="129">
        <f>S104/T104</f>
        <v>1.0000000000000002</v>
      </c>
    </row>
    <row r="105" spans="3:21" x14ac:dyDescent="0.3">
      <c r="C105" s="128"/>
      <c r="D105" s="4" t="s">
        <v>14</v>
      </c>
      <c r="E105" s="139">
        <f t="shared" ref="E105:H105" si="137">E94*$K94</f>
        <v>388.24741606099752</v>
      </c>
      <c r="F105" s="139">
        <f t="shared" si="137"/>
        <v>572.23267082932216</v>
      </c>
      <c r="G105" s="139">
        <f t="shared" si="137"/>
        <v>0</v>
      </c>
      <c r="H105" s="139">
        <f t="shared" si="137"/>
        <v>147.51991310968009</v>
      </c>
      <c r="I105" s="120">
        <f>I94</f>
        <v>1108</v>
      </c>
      <c r="J105" s="165">
        <f>SUM(E105:H105)</f>
        <v>1107.9999999999998</v>
      </c>
      <c r="K105" s="129">
        <f>I105/J105</f>
        <v>1.0000000000000002</v>
      </c>
      <c r="M105" s="128"/>
      <c r="N105" s="4" t="s">
        <v>14</v>
      </c>
      <c r="O105" s="139">
        <f t="shared" ref="O105:R105" si="138">O94*$U94</f>
        <v>291.6525430293994</v>
      </c>
      <c r="P105" s="139">
        <f t="shared" si="138"/>
        <v>537.68658513427567</v>
      </c>
      <c r="Q105" s="139">
        <f t="shared" si="138"/>
        <v>0</v>
      </c>
      <c r="R105" s="139">
        <f t="shared" si="138"/>
        <v>343.39410994205542</v>
      </c>
      <c r="S105" s="120">
        <f>S94</f>
        <v>1172.7332381057306</v>
      </c>
      <c r="T105" s="165">
        <f>SUM(O105:R105)</f>
        <v>1172.7332381057304</v>
      </c>
      <c r="U105" s="129">
        <f>S105/T105</f>
        <v>1.0000000000000002</v>
      </c>
    </row>
    <row r="106" spans="3:21" x14ac:dyDescent="0.3">
      <c r="C106" s="128"/>
      <c r="D106" s="120" t="s">
        <v>196</v>
      </c>
      <c r="E106" s="120">
        <f>E95</f>
        <v>2050</v>
      </c>
      <c r="F106" s="120">
        <f>F95</f>
        <v>2050</v>
      </c>
      <c r="G106" s="120">
        <f>G95</f>
        <v>1054</v>
      </c>
      <c r="H106" s="120">
        <f>H95</f>
        <v>1108</v>
      </c>
      <c r="K106" s="129"/>
      <c r="M106" s="128"/>
      <c r="N106" s="120" t="s">
        <v>196</v>
      </c>
      <c r="O106" s="120">
        <f>O95</f>
        <v>1328.012404961956</v>
      </c>
      <c r="P106" s="120">
        <f>P95</f>
        <v>1658.4558060242425</v>
      </c>
      <c r="Q106" s="120">
        <f>Q95</f>
        <v>1917.811032253856</v>
      </c>
      <c r="R106" s="120">
        <f>R95</f>
        <v>1754.9305618371486</v>
      </c>
      <c r="U106" s="129"/>
    </row>
    <row r="107" spans="3:21" x14ac:dyDescent="0.3">
      <c r="C107" s="128"/>
      <c r="D107" s="120" t="s">
        <v>195</v>
      </c>
      <c r="E107" s="165">
        <f>SUM(E102:E105)</f>
        <v>2047.9527103859054</v>
      </c>
      <c r="F107" s="165">
        <f>SUM(F102:F105)</f>
        <v>2049.6945631025133</v>
      </c>
      <c r="G107" s="165">
        <f>SUM(G102:G105)</f>
        <v>1055.2494177223352</v>
      </c>
      <c r="H107" s="165">
        <f>SUM(H102:H105)</f>
        <v>1109.1033087892461</v>
      </c>
      <c r="K107" s="129"/>
      <c r="M107" s="128"/>
      <c r="N107" s="120" t="s">
        <v>195</v>
      </c>
      <c r="O107" s="165">
        <f>SUM(O102:O105)</f>
        <v>1326.0841219799079</v>
      </c>
      <c r="P107" s="165">
        <f>SUM(P102:P105)</f>
        <v>1651.525408193304</v>
      </c>
      <c r="Q107" s="165">
        <f>SUM(Q102:Q105)</f>
        <v>1923.461897423477</v>
      </c>
      <c r="R107" s="165">
        <f>SUM(R102:R105)</f>
        <v>1758.1383774805136</v>
      </c>
      <c r="U107" s="129"/>
    </row>
    <row r="108" spans="3:21" x14ac:dyDescent="0.3">
      <c r="C108" s="128"/>
      <c r="D108" s="120" t="s">
        <v>194</v>
      </c>
      <c r="E108" s="120">
        <f>E106/E107</f>
        <v>1.0009996762150375</v>
      </c>
      <c r="F108" s="120">
        <f>F106/F107</f>
        <v>1.0001490158109336</v>
      </c>
      <c r="G108" s="120">
        <f>G106/G107</f>
        <v>0.99881599771451945</v>
      </c>
      <c r="H108" s="120">
        <f>H106/H107</f>
        <v>0.99900522450839091</v>
      </c>
      <c r="K108" s="129"/>
      <c r="M108" s="128"/>
      <c r="N108" s="120" t="s">
        <v>194</v>
      </c>
      <c r="O108" s="120">
        <f>O106/O107</f>
        <v>1.0014541181438543</v>
      </c>
      <c r="P108" s="120">
        <f>P106/P107</f>
        <v>1.0041963616160892</v>
      </c>
      <c r="Q108" s="120">
        <f>Q106/Q107</f>
        <v>0.99706213823253242</v>
      </c>
      <c r="R108" s="120">
        <f>R106/R107</f>
        <v>0.99817544757315302</v>
      </c>
      <c r="U108" s="129"/>
    </row>
    <row r="111" spans="3:21" x14ac:dyDescent="0.3">
      <c r="C111" s="128" t="s">
        <v>248</v>
      </c>
      <c r="K111" s="129"/>
      <c r="M111" s="128" t="s">
        <v>248</v>
      </c>
      <c r="U111" s="129"/>
    </row>
    <row r="112" spans="3:21" x14ac:dyDescent="0.3">
      <c r="C112" s="128"/>
      <c r="D112" s="131" t="s">
        <v>199</v>
      </c>
      <c r="E112" s="4" t="s">
        <v>11</v>
      </c>
      <c r="F112" s="4" t="s">
        <v>12</v>
      </c>
      <c r="G112" s="4" t="s">
        <v>13</v>
      </c>
      <c r="H112" s="4" t="s">
        <v>14</v>
      </c>
      <c r="I112" s="120" t="s">
        <v>198</v>
      </c>
      <c r="J112" s="120" t="s">
        <v>197</v>
      </c>
      <c r="K112" s="129" t="s">
        <v>194</v>
      </c>
      <c r="M112" s="128"/>
      <c r="N112" s="131" t="s">
        <v>199</v>
      </c>
      <c r="O112" s="4" t="s">
        <v>11</v>
      </c>
      <c r="P112" s="4" t="s">
        <v>12</v>
      </c>
      <c r="Q112" s="4" t="s">
        <v>13</v>
      </c>
      <c r="R112" s="4" t="s">
        <v>14</v>
      </c>
      <c r="S112" s="120" t="s">
        <v>198</v>
      </c>
      <c r="T112" s="120" t="s">
        <v>197</v>
      </c>
      <c r="U112" s="129" t="s">
        <v>194</v>
      </c>
    </row>
    <row r="113" spans="3:71" x14ac:dyDescent="0.3">
      <c r="C113" s="128"/>
      <c r="D113" s="4" t="s">
        <v>11</v>
      </c>
      <c r="E113" s="139">
        <f>E102*E$108</f>
        <v>1249.4051251952992</v>
      </c>
      <c r="F113" s="139">
        <f t="shared" ref="F113:H113" si="139">F102*F$108</f>
        <v>0</v>
      </c>
      <c r="G113" s="139">
        <f t="shared" si="139"/>
        <v>429.14821452279892</v>
      </c>
      <c r="H113" s="139">
        <f t="shared" si="139"/>
        <v>371.81545752157058</v>
      </c>
      <c r="I113" s="120">
        <f>I102</f>
        <v>2050</v>
      </c>
      <c r="J113" s="165">
        <f>SUM(E113:H113)</f>
        <v>2050.3687972396688</v>
      </c>
      <c r="K113" s="129">
        <f>I113/J113</f>
        <v>0.9998201312660604</v>
      </c>
      <c r="M113" s="128"/>
      <c r="N113" s="4" t="s">
        <v>11</v>
      </c>
      <c r="O113" s="139">
        <f>O102*O$108</f>
        <v>684.43858796169923</v>
      </c>
      <c r="P113" s="139">
        <f t="shared" ref="P113:R113" si="140">P102*P$108</f>
        <v>0</v>
      </c>
      <c r="Q113" s="139">
        <f t="shared" si="140"/>
        <v>869.2326955014064</v>
      </c>
      <c r="R113" s="139">
        <f t="shared" si="140"/>
        <v>630.35564794529569</v>
      </c>
      <c r="S113" s="120">
        <f>S102</f>
        <v>2186.7465511512801</v>
      </c>
      <c r="T113" s="165">
        <f>SUM(O113:R113)</f>
        <v>2184.0269314084017</v>
      </c>
      <c r="U113" s="129">
        <f>S113/T113</f>
        <v>1.0012452317797769</v>
      </c>
    </row>
    <row r="114" spans="3:71" x14ac:dyDescent="0.3">
      <c r="C114" s="128"/>
      <c r="D114" s="4" t="s">
        <v>12</v>
      </c>
      <c r="E114" s="139">
        <f t="shared" ref="E114:H114" si="141">E103*E$108</f>
        <v>0</v>
      </c>
      <c r="F114" s="139">
        <f t="shared" si="141"/>
        <v>871.75233551083443</v>
      </c>
      <c r="G114" s="139">
        <f t="shared" si="141"/>
        <v>588.28249957667413</v>
      </c>
      <c r="H114" s="139">
        <f t="shared" si="141"/>
        <v>588.81137856283499</v>
      </c>
      <c r="I114" s="120">
        <f>I103</f>
        <v>2050</v>
      </c>
      <c r="J114" s="165">
        <f>SUM(E114:H114)</f>
        <v>2048.8462136503435</v>
      </c>
      <c r="K114" s="129">
        <f>I114/J114</f>
        <v>1.0005631395572636</v>
      </c>
      <c r="M114" s="128"/>
      <c r="N114" s="4" t="s">
        <v>12</v>
      </c>
      <c r="O114" s="139">
        <f t="shared" ref="O114:R114" si="142">O103*O$108</f>
        <v>0</v>
      </c>
      <c r="P114" s="139">
        <f t="shared" si="142"/>
        <v>469.51107104750218</v>
      </c>
      <c r="Q114" s="139">
        <f t="shared" si="142"/>
        <v>933.21136039029068</v>
      </c>
      <c r="R114" s="139">
        <f t="shared" si="142"/>
        <v>781.80734450645741</v>
      </c>
      <c r="S114" s="120">
        <f>S103</f>
        <v>2186.7465511512801</v>
      </c>
      <c r="T114" s="165">
        <f>SUM(O114:R114)</f>
        <v>2184.5297759442501</v>
      </c>
      <c r="U114" s="129">
        <f>S114/T114</f>
        <v>1.0010147608109721</v>
      </c>
    </row>
    <row r="115" spans="3:71" x14ac:dyDescent="0.3">
      <c r="C115" s="128"/>
      <c r="D115" s="4" t="s">
        <v>13</v>
      </c>
      <c r="E115" s="139">
        <f t="shared" ref="E115:H115" si="143">E104*E$108</f>
        <v>411.95933703631709</v>
      </c>
      <c r="F115" s="139">
        <f t="shared" si="143"/>
        <v>605.92972194435731</v>
      </c>
      <c r="G115" s="139">
        <f t="shared" si="143"/>
        <v>36.569285900527007</v>
      </c>
      <c r="H115" s="139">
        <f t="shared" si="143"/>
        <v>0</v>
      </c>
      <c r="I115" s="120">
        <f>I104</f>
        <v>1054</v>
      </c>
      <c r="J115" s="165">
        <f>SUM(E115:H115)</f>
        <v>1054.4583448812014</v>
      </c>
      <c r="K115" s="129">
        <f>I115/J115</f>
        <v>0.99956532670690468</v>
      </c>
      <c r="M115" s="128"/>
      <c r="N115" s="4" t="s">
        <v>13</v>
      </c>
      <c r="O115" s="139">
        <f t="shared" ref="O115:R115" si="144">O104*O$108</f>
        <v>351.49717671633698</v>
      </c>
      <c r="P115" s="139">
        <f t="shared" si="144"/>
        <v>649.00182249512102</v>
      </c>
      <c r="Q115" s="139">
        <f t="shared" si="144"/>
        <v>115.36697636215878</v>
      </c>
      <c r="R115" s="139">
        <f t="shared" si="144"/>
        <v>0</v>
      </c>
      <c r="S115" s="120">
        <f>S104</f>
        <v>1112.9834646689119</v>
      </c>
      <c r="T115" s="165">
        <f>SUM(O115:R115)</f>
        <v>1115.8659755736169</v>
      </c>
      <c r="U115" s="129">
        <f>S115/T115</f>
        <v>0.99741679469774747</v>
      </c>
    </row>
    <row r="116" spans="3:71" x14ac:dyDescent="0.3">
      <c r="C116" s="128"/>
      <c r="D116" s="4" t="s">
        <v>14</v>
      </c>
      <c r="E116" s="139">
        <f t="shared" ref="E116:H116" si="145">E105*E$108</f>
        <v>388.63553776838347</v>
      </c>
      <c r="F116" s="139">
        <f t="shared" si="145"/>
        <v>572.31794254480849</v>
      </c>
      <c r="G116" s="139">
        <f t="shared" si="145"/>
        <v>0</v>
      </c>
      <c r="H116" s="139">
        <f t="shared" si="145"/>
        <v>147.37316391559429</v>
      </c>
      <c r="I116" s="120">
        <f>I105</f>
        <v>1108</v>
      </c>
      <c r="J116" s="165">
        <f>SUM(E116:H116)</f>
        <v>1108.3266442287861</v>
      </c>
      <c r="K116" s="129">
        <f>I116/J116</f>
        <v>0.99970528162389038</v>
      </c>
      <c r="M116" s="128"/>
      <c r="N116" s="4" t="s">
        <v>14</v>
      </c>
      <c r="O116" s="139">
        <f t="shared" ref="O116:R116" si="146">O105*O$108</f>
        <v>292.07664028391969</v>
      </c>
      <c r="P116" s="139">
        <f t="shared" si="146"/>
        <v>539.94291248161926</v>
      </c>
      <c r="Q116" s="139">
        <f t="shared" si="146"/>
        <v>0</v>
      </c>
      <c r="R116" s="139">
        <f t="shared" si="146"/>
        <v>342.76756938539569</v>
      </c>
      <c r="S116" s="120">
        <f>S105</f>
        <v>1172.7332381057306</v>
      </c>
      <c r="T116" s="165">
        <f>SUM(O116:R116)</f>
        <v>1174.7871221509347</v>
      </c>
      <c r="U116" s="129">
        <f>S116/T116</f>
        <v>0.99825169683385395</v>
      </c>
    </row>
    <row r="117" spans="3:71" x14ac:dyDescent="0.3">
      <c r="C117" s="128"/>
      <c r="D117" s="120" t="s">
        <v>196</v>
      </c>
      <c r="E117" s="120">
        <f>E106</f>
        <v>2050</v>
      </c>
      <c r="F117" s="120">
        <f>F106</f>
        <v>2050</v>
      </c>
      <c r="G117" s="120">
        <f>G106</f>
        <v>1054</v>
      </c>
      <c r="H117" s="120">
        <f>H106</f>
        <v>1108</v>
      </c>
      <c r="K117" s="129"/>
      <c r="M117" s="128"/>
      <c r="N117" s="120" t="s">
        <v>196</v>
      </c>
      <c r="O117" s="120">
        <f>O106</f>
        <v>1328.012404961956</v>
      </c>
      <c r="P117" s="120">
        <f>P106</f>
        <v>1658.4558060242425</v>
      </c>
      <c r="Q117" s="120">
        <f>Q106</f>
        <v>1917.811032253856</v>
      </c>
      <c r="R117" s="120">
        <f>R106</f>
        <v>1754.9305618371486</v>
      </c>
      <c r="U117" s="129"/>
    </row>
    <row r="118" spans="3:71" x14ac:dyDescent="0.3">
      <c r="C118" s="128"/>
      <c r="D118" s="120" t="s">
        <v>195</v>
      </c>
      <c r="E118" s="165">
        <f>SUM(E113:E116)</f>
        <v>2049.9999999999995</v>
      </c>
      <c r="F118" s="165">
        <f>SUM(F113:F116)</f>
        <v>2050</v>
      </c>
      <c r="G118" s="165">
        <f>SUM(G113:G116)</f>
        <v>1054</v>
      </c>
      <c r="H118" s="165">
        <f>SUM(H113:H116)</f>
        <v>1107.9999999999998</v>
      </c>
      <c r="K118" s="129"/>
      <c r="M118" s="128"/>
      <c r="N118" s="120" t="s">
        <v>195</v>
      </c>
      <c r="O118" s="165">
        <f>SUM(O113:O116)</f>
        <v>1328.012404961956</v>
      </c>
      <c r="P118" s="165">
        <f>SUM(P113:P116)</f>
        <v>1658.4558060242425</v>
      </c>
      <c r="Q118" s="165">
        <f>SUM(Q113:Q116)</f>
        <v>1917.811032253856</v>
      </c>
      <c r="R118" s="165">
        <f>SUM(R113:R116)</f>
        <v>1754.9305618371488</v>
      </c>
      <c r="U118" s="129"/>
    </row>
    <row r="119" spans="3:71" x14ac:dyDescent="0.3">
      <c r="C119" s="128"/>
      <c r="D119" s="120" t="s">
        <v>194</v>
      </c>
      <c r="E119" s="120">
        <f>E117/E118</f>
        <v>1.0000000000000002</v>
      </c>
      <c r="F119" s="120">
        <f>F117/F118</f>
        <v>1</v>
      </c>
      <c r="G119" s="120">
        <f>G117/G118</f>
        <v>1</v>
      </c>
      <c r="H119" s="120">
        <f>H117/H118</f>
        <v>1.0000000000000002</v>
      </c>
      <c r="K119" s="129"/>
      <c r="M119" s="128"/>
      <c r="N119" s="120" t="s">
        <v>194</v>
      </c>
      <c r="O119" s="120">
        <f>O117/O118</f>
        <v>1</v>
      </c>
      <c r="P119" s="120">
        <f>P117/P118</f>
        <v>1</v>
      </c>
      <c r="Q119" s="120">
        <f>Q117/Q118</f>
        <v>1</v>
      </c>
      <c r="R119" s="120">
        <f>R117/R118</f>
        <v>0.99999999999999989</v>
      </c>
      <c r="U119" s="129"/>
    </row>
    <row r="121" spans="3:71" x14ac:dyDescent="0.3">
      <c r="C121" s="164" t="s">
        <v>218</v>
      </c>
      <c r="D121" s="153" t="str">
        <f>D35</f>
        <v>O/D</v>
      </c>
      <c r="E121" s="163" t="str">
        <f>E35</f>
        <v>A</v>
      </c>
      <c r="F121" s="163" t="str">
        <f>F35</f>
        <v>B</v>
      </c>
      <c r="G121" s="163" t="str">
        <f>G35</f>
        <v>C</v>
      </c>
      <c r="H121" s="162" t="str">
        <f>H35</f>
        <v>D</v>
      </c>
      <c r="N121" s="164" t="s">
        <v>218</v>
      </c>
      <c r="O121" s="153" t="str">
        <f>N35</f>
        <v>O/D</v>
      </c>
      <c r="P121" s="163" t="str">
        <f>O35</f>
        <v>A</v>
      </c>
      <c r="Q121" s="163" t="str">
        <f>P35</f>
        <v>B</v>
      </c>
      <c r="R121" s="163" t="str">
        <f>Q35</f>
        <v>C</v>
      </c>
      <c r="S121" s="162" t="str">
        <f>R35</f>
        <v>D</v>
      </c>
      <c r="T121" s="150"/>
      <c r="U121" s="157"/>
      <c r="V121" s="150"/>
      <c r="W121" s="161"/>
      <c r="X121" s="164" t="s">
        <v>218</v>
      </c>
      <c r="Y121" s="153" t="str">
        <f>X35</f>
        <v>O/D</v>
      </c>
      <c r="Z121" s="163" t="str">
        <f>Y35</f>
        <v>A</v>
      </c>
      <c r="AA121" s="163" t="str">
        <f>Z35</f>
        <v>B</v>
      </c>
      <c r="AB121" s="163" t="str">
        <f>AA35</f>
        <v>C</v>
      </c>
      <c r="AC121" s="162" t="str">
        <f>AB35</f>
        <v>D</v>
      </c>
      <c r="AD121" s="150"/>
      <c r="AE121" s="157"/>
      <c r="AF121" s="150"/>
      <c r="AG121" s="161"/>
      <c r="AH121" s="164" t="s">
        <v>218</v>
      </c>
      <c r="AI121" s="153" t="str">
        <f>AH35</f>
        <v>O/D</v>
      </c>
      <c r="AJ121" s="163" t="str">
        <f>AI35</f>
        <v>A</v>
      </c>
      <c r="AK121" s="163" t="str">
        <f>AJ35</f>
        <v>B</v>
      </c>
      <c r="AL121" s="163" t="str">
        <f>AK35</f>
        <v>C</v>
      </c>
      <c r="AM121" s="162" t="str">
        <f>AL35</f>
        <v>D</v>
      </c>
      <c r="AN121" s="150"/>
      <c r="AO121" s="157"/>
      <c r="AP121" s="150"/>
      <c r="AQ121" s="161"/>
      <c r="AR121" s="164" t="s">
        <v>218</v>
      </c>
      <c r="AS121" s="153" t="str">
        <f t="shared" ref="AS121:AW125" si="147">AR35</f>
        <v>O/D</v>
      </c>
      <c r="AT121" s="163" t="str">
        <f t="shared" si="147"/>
        <v>A</v>
      </c>
      <c r="AU121" s="163" t="str">
        <f t="shared" si="147"/>
        <v>B</v>
      </c>
      <c r="AV121" s="163" t="str">
        <f t="shared" si="147"/>
        <v>C</v>
      </c>
      <c r="AW121" s="162" t="str">
        <f t="shared" si="147"/>
        <v>D</v>
      </c>
      <c r="AX121" s="150"/>
      <c r="AY121" s="157"/>
      <c r="AZ121" s="150"/>
      <c r="BA121" s="161"/>
      <c r="BB121" s="164" t="s">
        <v>218</v>
      </c>
      <c r="BC121" s="153" t="str">
        <f>BB35</f>
        <v>O/D</v>
      </c>
      <c r="BD121" s="163" t="str">
        <f>BC35</f>
        <v>A</v>
      </c>
      <c r="BE121" s="163" t="str">
        <f>BD35</f>
        <v>B</v>
      </c>
      <c r="BF121" s="163" t="str">
        <f>BE35</f>
        <v>C</v>
      </c>
      <c r="BG121" s="162" t="str">
        <f>BF35</f>
        <v>D</v>
      </c>
      <c r="BH121" s="150"/>
      <c r="BI121" s="157"/>
      <c r="BJ121" s="150"/>
      <c r="BK121" s="161"/>
      <c r="BL121" s="164" t="s">
        <v>218</v>
      </c>
      <c r="BM121" s="153" t="str">
        <f>BL35</f>
        <v>O/D</v>
      </c>
      <c r="BN121" s="163" t="str">
        <f>BM35</f>
        <v>A</v>
      </c>
      <c r="BO121" s="163" t="str">
        <f>BN35</f>
        <v>B</v>
      </c>
      <c r="BP121" s="163" t="str">
        <f>BO35</f>
        <v>C</v>
      </c>
      <c r="BQ121" s="162" t="str">
        <f>BP35</f>
        <v>D</v>
      </c>
      <c r="BR121" s="150"/>
      <c r="BS121" s="157"/>
    </row>
    <row r="122" spans="3:71" x14ac:dyDescent="0.3">
      <c r="C122" s="207"/>
      <c r="D122" s="160" t="str">
        <f>D36</f>
        <v>A</v>
      </c>
      <c r="E122" s="159">
        <f t="shared" ref="E122:H125" si="148">E113</f>
        <v>1249.4051251952992</v>
      </c>
      <c r="F122" s="159">
        <f t="shared" si="148"/>
        <v>0</v>
      </c>
      <c r="G122" s="159">
        <f t="shared" si="148"/>
        <v>429.14821452279892</v>
      </c>
      <c r="H122" s="158">
        <f t="shared" si="148"/>
        <v>371.81545752157058</v>
      </c>
      <c r="N122" s="150"/>
      <c r="O122" s="160" t="str">
        <f>N36</f>
        <v>A</v>
      </c>
      <c r="P122" s="159">
        <f>O113</f>
        <v>684.43858796169923</v>
      </c>
      <c r="Q122" s="159">
        <f t="shared" ref="Q122:S122" si="149">P113</f>
        <v>0</v>
      </c>
      <c r="R122" s="159">
        <f t="shared" si="149"/>
        <v>869.2326955014064</v>
      </c>
      <c r="S122" s="159">
        <f t="shared" si="149"/>
        <v>630.35564794529569</v>
      </c>
      <c r="T122" s="150"/>
      <c r="U122" s="157"/>
      <c r="V122" s="150"/>
      <c r="W122" s="161"/>
      <c r="X122" s="150"/>
      <c r="Y122" s="160" t="str">
        <f>X36</f>
        <v>A</v>
      </c>
      <c r="Z122" s="159">
        <f>Y47</f>
        <v>636.71937848760342</v>
      </c>
      <c r="AA122" s="159">
        <f t="shared" ref="AA122:AC122" si="150">Z47</f>
        <v>0</v>
      </c>
      <c r="AB122" s="159">
        <f t="shared" si="150"/>
        <v>863.05214600436273</v>
      </c>
      <c r="AC122" s="159">
        <f t="shared" si="150"/>
        <v>615.98963795629129</v>
      </c>
      <c r="AD122" s="150"/>
      <c r="AE122" s="157"/>
      <c r="AF122" s="150"/>
      <c r="AG122" s="161"/>
      <c r="AH122" s="150"/>
      <c r="AI122" s="160" t="str">
        <f>AH36</f>
        <v>A</v>
      </c>
      <c r="AJ122" s="159">
        <f>AI58</f>
        <v>751.92705366242274</v>
      </c>
      <c r="AK122" s="159">
        <f t="shared" ref="AK122:AM122" si="151">AJ58</f>
        <v>0</v>
      </c>
      <c r="AL122" s="159">
        <f t="shared" si="151"/>
        <v>1014.6142013115212</v>
      </c>
      <c r="AM122" s="159">
        <f t="shared" si="151"/>
        <v>725.84278498832316</v>
      </c>
      <c r="AN122" s="150"/>
      <c r="AO122" s="157"/>
      <c r="AP122" s="150"/>
      <c r="AQ122" s="161"/>
      <c r="AR122" s="150"/>
      <c r="AS122" s="160" t="str">
        <f t="shared" si="147"/>
        <v>A</v>
      </c>
      <c r="AT122" s="159">
        <f t="shared" si="147"/>
        <v>712.94134008804429</v>
      </c>
      <c r="AU122" s="159">
        <f t="shared" si="147"/>
        <v>0</v>
      </c>
      <c r="AV122" s="159">
        <f t="shared" si="147"/>
        <v>1165.6343769061014</v>
      </c>
      <c r="AW122" s="158">
        <f t="shared" si="147"/>
        <v>784.36344780176046</v>
      </c>
      <c r="AX122" s="150"/>
      <c r="AY122" s="157"/>
      <c r="AZ122" s="150"/>
      <c r="BA122" s="161"/>
      <c r="BB122" s="150"/>
      <c r="BC122" s="160" t="str">
        <f>BB36</f>
        <v>A</v>
      </c>
      <c r="BD122" s="159">
        <f>BC58</f>
        <v>863.62183835132009</v>
      </c>
      <c r="BE122" s="159">
        <f t="shared" ref="BE122:BG122" si="152">BD58</f>
        <v>0</v>
      </c>
      <c r="BF122" s="159">
        <f t="shared" si="152"/>
        <v>1154.3137794128866</v>
      </c>
      <c r="BG122" s="159">
        <f t="shared" si="152"/>
        <v>828.59981731194807</v>
      </c>
      <c r="BH122" s="150"/>
      <c r="BI122" s="157"/>
      <c r="BJ122" s="150"/>
      <c r="BK122" s="161"/>
      <c r="BL122" s="150"/>
      <c r="BM122" s="160" t="str">
        <f>BL36</f>
        <v>A</v>
      </c>
      <c r="BN122" s="159">
        <f>BM58</f>
        <v>926.15004920113154</v>
      </c>
      <c r="BO122" s="159">
        <f t="shared" ref="BO122:BQ122" si="153">BN58</f>
        <v>0</v>
      </c>
      <c r="BP122" s="159">
        <f t="shared" si="153"/>
        <v>1232.118360972114</v>
      </c>
      <c r="BQ122" s="159">
        <f t="shared" si="153"/>
        <v>885.905169246068</v>
      </c>
      <c r="BR122" s="150"/>
      <c r="BS122" s="157"/>
    </row>
    <row r="123" spans="3:71" x14ac:dyDescent="0.3">
      <c r="C123" s="207"/>
      <c r="D123" s="160" t="str">
        <f>D37</f>
        <v>B</v>
      </c>
      <c r="E123" s="159">
        <f t="shared" si="148"/>
        <v>0</v>
      </c>
      <c r="F123" s="159">
        <f t="shared" si="148"/>
        <v>871.75233551083443</v>
      </c>
      <c r="G123" s="159">
        <f t="shared" si="148"/>
        <v>588.28249957667413</v>
      </c>
      <c r="H123" s="158">
        <f t="shared" si="148"/>
        <v>588.81137856283499</v>
      </c>
      <c r="N123" s="150"/>
      <c r="O123" s="160" t="str">
        <f>N37</f>
        <v>B</v>
      </c>
      <c r="P123" s="159">
        <f t="shared" ref="P123:S123" si="154">O114</f>
        <v>0</v>
      </c>
      <c r="Q123" s="159">
        <f t="shared" si="154"/>
        <v>469.51107104750218</v>
      </c>
      <c r="R123" s="159">
        <f t="shared" si="154"/>
        <v>933.21136039029068</v>
      </c>
      <c r="S123" s="159">
        <f t="shared" si="154"/>
        <v>781.80734450645741</v>
      </c>
      <c r="T123" s="150"/>
      <c r="U123" s="157"/>
      <c r="V123" s="150"/>
      <c r="W123" s="161"/>
      <c r="X123" s="150"/>
      <c r="Y123" s="160" t="str">
        <f>X37</f>
        <v>B</v>
      </c>
      <c r="Z123" s="159">
        <f t="shared" ref="Z123:AC123" si="155">Y48</f>
        <v>0</v>
      </c>
      <c r="AA123" s="159">
        <f t="shared" si="155"/>
        <v>420.60519509159428</v>
      </c>
      <c r="AB123" s="159">
        <f t="shared" si="155"/>
        <v>920.55390804469505</v>
      </c>
      <c r="AC123" s="159">
        <f t="shared" si="155"/>
        <v>759.02438753333934</v>
      </c>
      <c r="AD123" s="150"/>
      <c r="AE123" s="157"/>
      <c r="AF123" s="150"/>
      <c r="AG123" s="161"/>
      <c r="AH123" s="150"/>
      <c r="AI123" s="160" t="str">
        <f>AH37</f>
        <v>B</v>
      </c>
      <c r="AJ123" s="159">
        <f t="shared" ref="AJ123:AM123" si="156">AI59</f>
        <v>0</v>
      </c>
      <c r="AK123" s="159">
        <f t="shared" si="156"/>
        <v>502.65883756538631</v>
      </c>
      <c r="AL123" s="159">
        <f t="shared" si="156"/>
        <v>1089.4003118658798</v>
      </c>
      <c r="AM123" s="159">
        <f t="shared" si="156"/>
        <v>900.32489053100062</v>
      </c>
      <c r="AN123" s="150"/>
      <c r="AO123" s="157"/>
      <c r="AP123" s="150"/>
      <c r="AQ123" s="161"/>
      <c r="AR123" s="150"/>
      <c r="AS123" s="160" t="str">
        <f t="shared" si="147"/>
        <v>B</v>
      </c>
      <c r="AT123" s="159">
        <f t="shared" si="147"/>
        <v>0</v>
      </c>
      <c r="AU123" s="159">
        <f t="shared" si="147"/>
        <v>454.90283521810892</v>
      </c>
      <c r="AV123" s="159">
        <f t="shared" si="147"/>
        <v>1242.3086953948102</v>
      </c>
      <c r="AW123" s="158">
        <f t="shared" si="147"/>
        <v>965.72763418298678</v>
      </c>
      <c r="AX123" s="150"/>
      <c r="AY123" s="157"/>
      <c r="AZ123" s="150"/>
      <c r="BA123" s="161"/>
      <c r="BB123" s="150"/>
      <c r="BC123" s="160" t="str">
        <f>BB37</f>
        <v>B</v>
      </c>
      <c r="BD123" s="159">
        <f t="shared" ref="BD123:BG123" si="157">BC59</f>
        <v>0</v>
      </c>
      <c r="BE123" s="159">
        <f t="shared" si="157"/>
        <v>581.05085886976008</v>
      </c>
      <c r="BF123" s="159">
        <f t="shared" si="157"/>
        <v>1238.4700377430495</v>
      </c>
      <c r="BG123" s="159">
        <f t="shared" si="157"/>
        <v>1027.0145384633458</v>
      </c>
      <c r="BH123" s="150"/>
      <c r="BI123" s="157"/>
      <c r="BJ123" s="150"/>
      <c r="BK123" s="161"/>
      <c r="BL123" s="150"/>
      <c r="BM123" s="160" t="str">
        <f>BL37</f>
        <v>B</v>
      </c>
      <c r="BN123" s="159">
        <f t="shared" ref="BN123:BQ123" si="158">BM59</f>
        <v>0</v>
      </c>
      <c r="BO123" s="159">
        <f t="shared" si="158"/>
        <v>624.98786466022386</v>
      </c>
      <c r="BP123" s="159">
        <f t="shared" si="158"/>
        <v>1321.5081520575191</v>
      </c>
      <c r="BQ123" s="159">
        <f t="shared" si="158"/>
        <v>1097.6775627015702</v>
      </c>
      <c r="BR123" s="150"/>
      <c r="BS123" s="157"/>
    </row>
    <row r="124" spans="3:71" x14ac:dyDescent="0.3">
      <c r="C124" s="207"/>
      <c r="D124" s="160" t="str">
        <f>D38</f>
        <v>C</v>
      </c>
      <c r="E124" s="159">
        <f t="shared" si="148"/>
        <v>411.95933703631709</v>
      </c>
      <c r="F124" s="159">
        <f t="shared" si="148"/>
        <v>605.92972194435731</v>
      </c>
      <c r="G124" s="159">
        <f t="shared" si="148"/>
        <v>36.569285900527007</v>
      </c>
      <c r="H124" s="158">
        <f t="shared" si="148"/>
        <v>0</v>
      </c>
      <c r="N124" s="150"/>
      <c r="O124" s="160" t="str">
        <f>N38</f>
        <v>C</v>
      </c>
      <c r="P124" s="159">
        <f t="shared" ref="P124:S124" si="159">O115</f>
        <v>351.49717671633698</v>
      </c>
      <c r="Q124" s="159">
        <f t="shared" si="159"/>
        <v>649.00182249512102</v>
      </c>
      <c r="R124" s="159">
        <f t="shared" si="159"/>
        <v>115.36697636215878</v>
      </c>
      <c r="S124" s="159">
        <f t="shared" si="159"/>
        <v>0</v>
      </c>
      <c r="T124" s="150"/>
      <c r="U124" s="157"/>
      <c r="V124" s="150"/>
      <c r="W124" s="161"/>
      <c r="X124" s="150"/>
      <c r="Y124" s="160" t="str">
        <f>X38</f>
        <v>C</v>
      </c>
      <c r="Z124" s="159">
        <f t="shared" ref="Z124:AC124" si="160">Y49</f>
        <v>383.10829419410703</v>
      </c>
      <c r="AA124" s="159">
        <f t="shared" si="160"/>
        <v>685.63442977051511</v>
      </c>
      <c r="AB124" s="159">
        <f t="shared" si="160"/>
        <v>134.20497820479835</v>
      </c>
      <c r="AC124" s="159">
        <f t="shared" si="160"/>
        <v>0</v>
      </c>
      <c r="AD124" s="150"/>
      <c r="AE124" s="157"/>
      <c r="AF124" s="150"/>
      <c r="AG124" s="161"/>
      <c r="AH124" s="150"/>
      <c r="AI124" s="160" t="str">
        <f>AH38</f>
        <v>C</v>
      </c>
      <c r="AJ124" s="159">
        <f t="shared" ref="AJ124:AM124" si="161">AI60</f>
        <v>395.33791117828957</v>
      </c>
      <c r="AK124" s="159">
        <f t="shared" si="161"/>
        <v>711.272806025161</v>
      </c>
      <c r="AL124" s="159">
        <f t="shared" si="161"/>
        <v>137.86429103253607</v>
      </c>
      <c r="AM124" s="159">
        <f t="shared" si="161"/>
        <v>0</v>
      </c>
      <c r="AN124" s="150"/>
      <c r="AO124" s="157"/>
      <c r="AP124" s="150"/>
      <c r="AQ124" s="161"/>
      <c r="AR124" s="150"/>
      <c r="AS124" s="160" t="str">
        <f t="shared" si="147"/>
        <v>C</v>
      </c>
      <c r="AT124" s="159">
        <f t="shared" si="147"/>
        <v>417.96721610222079</v>
      </c>
      <c r="AU124" s="159">
        <f t="shared" si="147"/>
        <v>723.09702411351645</v>
      </c>
      <c r="AV124" s="159">
        <f t="shared" si="147"/>
        <v>176.60738905825474</v>
      </c>
      <c r="AW124" s="158">
        <f t="shared" si="147"/>
        <v>0</v>
      </c>
      <c r="AX124" s="150"/>
      <c r="AY124" s="157"/>
      <c r="AZ124" s="150"/>
      <c r="BA124" s="161"/>
      <c r="BB124" s="150"/>
      <c r="BC124" s="160" t="str">
        <f>BB38</f>
        <v>C</v>
      </c>
      <c r="BD124" s="159">
        <f t="shared" ref="BD124:BG124" si="162">BC60</f>
        <v>442.22310353382602</v>
      </c>
      <c r="BE124" s="159">
        <f t="shared" si="162"/>
        <v>801.35882443567743</v>
      </c>
      <c r="BF124" s="159">
        <f t="shared" si="162"/>
        <v>152.7565336424062</v>
      </c>
      <c r="BG124" s="159">
        <f t="shared" si="162"/>
        <v>0</v>
      </c>
      <c r="BH124" s="150"/>
      <c r="BI124" s="157"/>
      <c r="BJ124" s="150"/>
      <c r="BK124" s="161"/>
      <c r="BL124" s="150"/>
      <c r="BM124" s="160" t="str">
        <f>BL38</f>
        <v>C</v>
      </c>
      <c r="BN124" s="159">
        <f t="shared" ref="BN124:BQ124" si="163">BM60</f>
        <v>468.34406270421289</v>
      </c>
      <c r="BO124" s="159">
        <f t="shared" si="163"/>
        <v>851.51934838135992</v>
      </c>
      <c r="BP124" s="159">
        <f t="shared" si="163"/>
        <v>161.02532957011678</v>
      </c>
      <c r="BQ124" s="159">
        <f t="shared" si="163"/>
        <v>0</v>
      </c>
      <c r="BR124" s="150"/>
      <c r="BS124" s="157"/>
    </row>
    <row r="125" spans="3:71" x14ac:dyDescent="0.3">
      <c r="C125" s="208"/>
      <c r="D125" s="155" t="str">
        <f>D39</f>
        <v>D</v>
      </c>
      <c r="E125" s="154">
        <f t="shared" si="148"/>
        <v>388.63553776838347</v>
      </c>
      <c r="F125" s="154">
        <f t="shared" si="148"/>
        <v>572.31794254480849</v>
      </c>
      <c r="G125" s="154">
        <f t="shared" si="148"/>
        <v>0</v>
      </c>
      <c r="H125" s="153">
        <f t="shared" si="148"/>
        <v>147.37316391559429</v>
      </c>
      <c r="N125" s="152"/>
      <c r="O125" s="155" t="str">
        <f>N39</f>
        <v>D</v>
      </c>
      <c r="P125" s="159">
        <f t="shared" ref="P125:S125" si="164">O116</f>
        <v>292.07664028391969</v>
      </c>
      <c r="Q125" s="159">
        <f t="shared" si="164"/>
        <v>539.94291248161926</v>
      </c>
      <c r="R125" s="159">
        <f t="shared" si="164"/>
        <v>0</v>
      </c>
      <c r="S125" s="159">
        <f t="shared" si="164"/>
        <v>342.76756938539569</v>
      </c>
      <c r="T125" s="152"/>
      <c r="U125" s="151"/>
      <c r="V125" s="150"/>
      <c r="W125" s="156"/>
      <c r="X125" s="152"/>
      <c r="Y125" s="155" t="str">
        <f>X39</f>
        <v>D</v>
      </c>
      <c r="Z125" s="159">
        <f t="shared" ref="Z125:AC125" si="165">Y50</f>
        <v>308.18473228024556</v>
      </c>
      <c r="AA125" s="159">
        <f t="shared" si="165"/>
        <v>552.21618116213335</v>
      </c>
      <c r="AB125" s="159">
        <f t="shared" si="165"/>
        <v>0</v>
      </c>
      <c r="AC125" s="159">
        <f t="shared" si="165"/>
        <v>379.91653634751799</v>
      </c>
      <c r="AD125" s="152"/>
      <c r="AE125" s="151"/>
      <c r="AF125" s="150"/>
      <c r="AG125" s="156"/>
      <c r="AH125" s="152"/>
      <c r="AI125" s="155" t="str">
        <f>AH39</f>
        <v>D</v>
      </c>
      <c r="AJ125" s="159">
        <f t="shared" ref="AJ125:AM125" si="166">AI61</f>
        <v>326.77278871251457</v>
      </c>
      <c r="AK125" s="159">
        <f t="shared" si="166"/>
        <v>588.62753122976653</v>
      </c>
      <c r="AL125" s="159">
        <f t="shared" si="166"/>
        <v>0</v>
      </c>
      <c r="AM125" s="159">
        <f t="shared" si="166"/>
        <v>401.94300657010365</v>
      </c>
      <c r="AN125" s="152"/>
      <c r="AO125" s="151"/>
      <c r="AP125" s="150"/>
      <c r="AQ125" s="156"/>
      <c r="AR125" s="152"/>
      <c r="AS125" s="155" t="str">
        <f t="shared" si="147"/>
        <v>D</v>
      </c>
      <c r="AT125" s="154">
        <f t="shared" si="147"/>
        <v>338.16941432073969</v>
      </c>
      <c r="AU125" s="154">
        <f t="shared" si="147"/>
        <v>585.75448979946623</v>
      </c>
      <c r="AV125" s="154">
        <f t="shared" si="147"/>
        <v>0</v>
      </c>
      <c r="AW125" s="153">
        <f t="shared" si="147"/>
        <v>474.07779350361341</v>
      </c>
      <c r="AX125" s="152"/>
      <c r="AY125" s="151"/>
      <c r="AZ125" s="150"/>
      <c r="BA125" s="156"/>
      <c r="BB125" s="152"/>
      <c r="BC125" s="155" t="str">
        <f>BB39</f>
        <v>D</v>
      </c>
      <c r="BD125" s="159">
        <f t="shared" ref="BD125:BG125" si="167">BC61</f>
        <v>367.80868158706903</v>
      </c>
      <c r="BE125" s="159">
        <f t="shared" si="167"/>
        <v>667.32057691979628</v>
      </c>
      <c r="BF125" s="159">
        <f t="shared" si="167"/>
        <v>0</v>
      </c>
      <c r="BG125" s="159">
        <f t="shared" si="167"/>
        <v>449.67105377231724</v>
      </c>
      <c r="BH125" s="152"/>
      <c r="BI125" s="151"/>
      <c r="BJ125" s="150"/>
      <c r="BK125" s="156"/>
      <c r="BL125" s="152"/>
      <c r="BM125" s="155" t="str">
        <f>BL39</f>
        <v>D</v>
      </c>
      <c r="BN125" s="159">
        <f t="shared" ref="BN125:BQ125" si="168">BM61</f>
        <v>390.72052519778396</v>
      </c>
      <c r="BO125" s="159">
        <f t="shared" si="168"/>
        <v>711.25064419867317</v>
      </c>
      <c r="BP125" s="159">
        <f t="shared" si="168"/>
        <v>0</v>
      </c>
      <c r="BQ125" s="159">
        <f t="shared" si="168"/>
        <v>476.23778147521517</v>
      </c>
      <c r="BR125" s="152"/>
      <c r="BS125" s="151"/>
    </row>
    <row r="128" spans="3:71" x14ac:dyDescent="0.3">
      <c r="D128" s="130" t="s">
        <v>217</v>
      </c>
      <c r="E128" s="130" t="s">
        <v>11</v>
      </c>
      <c r="F128" s="130" t="s">
        <v>12</v>
      </c>
      <c r="G128" s="130" t="s">
        <v>13</v>
      </c>
      <c r="H128" s="130" t="s">
        <v>14</v>
      </c>
      <c r="N128" s="130" t="s">
        <v>217</v>
      </c>
      <c r="O128" s="130" t="s">
        <v>11</v>
      </c>
      <c r="P128" s="130" t="s">
        <v>12</v>
      </c>
      <c r="Q128" s="130" t="s">
        <v>13</v>
      </c>
      <c r="R128" s="130" t="s">
        <v>14</v>
      </c>
      <c r="W128" s="130" t="s">
        <v>217</v>
      </c>
      <c r="X128" s="130" t="s">
        <v>11</v>
      </c>
      <c r="Y128" s="130" t="s">
        <v>12</v>
      </c>
      <c r="Z128" s="130" t="s">
        <v>13</v>
      </c>
      <c r="AA128" s="130" t="s">
        <v>14</v>
      </c>
      <c r="AG128" s="130" t="s">
        <v>217</v>
      </c>
      <c r="AH128" s="130" t="s">
        <v>11</v>
      </c>
      <c r="AI128" s="130" t="s">
        <v>12</v>
      </c>
      <c r="AJ128" s="130" t="s">
        <v>13</v>
      </c>
      <c r="AK128" s="130" t="s">
        <v>14</v>
      </c>
      <c r="AQ128" s="130" t="s">
        <v>217</v>
      </c>
      <c r="AR128" s="130" t="s">
        <v>11</v>
      </c>
      <c r="AS128" s="130" t="s">
        <v>12</v>
      </c>
      <c r="AT128" s="130" t="s">
        <v>13</v>
      </c>
      <c r="AU128" s="130" t="s">
        <v>14</v>
      </c>
      <c r="BA128" s="130" t="s">
        <v>217</v>
      </c>
      <c r="BB128" s="130" t="s">
        <v>11</v>
      </c>
      <c r="BC128" s="130" t="s">
        <v>12</v>
      </c>
      <c r="BD128" s="130" t="s">
        <v>13</v>
      </c>
      <c r="BE128" s="130" t="s">
        <v>14</v>
      </c>
      <c r="BK128" s="130" t="s">
        <v>217</v>
      </c>
      <c r="BL128" s="130" t="s">
        <v>11</v>
      </c>
      <c r="BM128" s="130" t="s">
        <v>12</v>
      </c>
      <c r="BN128" s="130" t="s">
        <v>13</v>
      </c>
      <c r="BO128" s="130" t="s">
        <v>14</v>
      </c>
    </row>
    <row r="129" spans="4:67" x14ac:dyDescent="0.3">
      <c r="D129" s="130" t="s">
        <v>11</v>
      </c>
      <c r="E129" s="130">
        <f>'Mode Choice Q'!G38</f>
        <v>8.6371546661289762E-89</v>
      </c>
      <c r="F129" s="130" t="e">
        <f>'Mode Choice Q'!H38</f>
        <v>#DIV/0!</v>
      </c>
      <c r="G129" s="130">
        <f>'Mode Choice Q'!I38</f>
        <v>1</v>
      </c>
      <c r="H129" s="130">
        <f>'Mode Choice Q'!J38</f>
        <v>1</v>
      </c>
      <c r="N129" s="130" t="s">
        <v>11</v>
      </c>
      <c r="O129" s="130">
        <v>8.6371546661289762E-89</v>
      </c>
      <c r="P129" s="130" t="e">
        <v>#DIV/0!</v>
      </c>
      <c r="Q129" s="130">
        <v>1</v>
      </c>
      <c r="R129" s="130">
        <v>1</v>
      </c>
      <c r="W129" s="130" t="s">
        <v>11</v>
      </c>
      <c r="X129" s="130">
        <v>8.6371546661289762E-89</v>
      </c>
      <c r="Y129" s="130" t="e">
        <v>#DIV/0!</v>
      </c>
      <c r="Z129" s="130">
        <v>1</v>
      </c>
      <c r="AA129" s="130">
        <v>1</v>
      </c>
      <c r="AG129" s="130" t="s">
        <v>11</v>
      </c>
      <c r="AH129" s="130">
        <v>8.6371546661289762E-89</v>
      </c>
      <c r="AI129" s="130" t="e">
        <v>#DIV/0!</v>
      </c>
      <c r="AJ129" s="130">
        <v>1</v>
      </c>
      <c r="AK129" s="130">
        <v>1</v>
      </c>
      <c r="AQ129" s="130" t="s">
        <v>11</v>
      </c>
      <c r="AR129" s="130">
        <v>8.6371546661289762E-89</v>
      </c>
      <c r="AS129" s="130" t="e">
        <v>#DIV/0!</v>
      </c>
      <c r="AT129" s="130">
        <v>1</v>
      </c>
      <c r="AU129" s="130">
        <v>1</v>
      </c>
      <c r="BA129" s="130" t="s">
        <v>11</v>
      </c>
      <c r="BB129" s="130">
        <v>8.6371546661289762E-89</v>
      </c>
      <c r="BC129" s="130" t="e">
        <v>#DIV/0!</v>
      </c>
      <c r="BD129" s="130">
        <v>1</v>
      </c>
      <c r="BE129" s="130">
        <v>1</v>
      </c>
      <c r="BK129" s="130" t="s">
        <v>11</v>
      </c>
      <c r="BL129" s="130">
        <v>8.6371546661289762E-89</v>
      </c>
      <c r="BM129" s="130" t="e">
        <v>#DIV/0!</v>
      </c>
      <c r="BN129" s="130">
        <v>1</v>
      </c>
      <c r="BO129" s="130">
        <v>1</v>
      </c>
    </row>
    <row r="130" spans="4:67" x14ac:dyDescent="0.3">
      <c r="D130" s="130" t="s">
        <v>12</v>
      </c>
      <c r="E130" s="130" t="e">
        <f>'Mode Choice Q'!G39</f>
        <v>#DIV/0!</v>
      </c>
      <c r="F130" s="130">
        <f>'Mode Choice Q'!H39</f>
        <v>8.6371546661289762E-89</v>
      </c>
      <c r="G130" s="130">
        <f>'Mode Choice Q'!I39</f>
        <v>1</v>
      </c>
      <c r="H130" s="130">
        <f>'Mode Choice Q'!J39</f>
        <v>1</v>
      </c>
      <c r="N130" s="130" t="s">
        <v>12</v>
      </c>
      <c r="O130" s="130" t="e">
        <v>#DIV/0!</v>
      </c>
      <c r="P130" s="130">
        <v>8.6371546661289762E-89</v>
      </c>
      <c r="Q130" s="130">
        <v>1</v>
      </c>
      <c r="R130" s="130">
        <v>1</v>
      </c>
      <c r="W130" s="130" t="s">
        <v>12</v>
      </c>
      <c r="X130" s="130" t="e">
        <v>#DIV/0!</v>
      </c>
      <c r="Y130" s="130">
        <v>8.6371546661289762E-89</v>
      </c>
      <c r="Z130" s="130">
        <v>1</v>
      </c>
      <c r="AA130" s="130">
        <v>1</v>
      </c>
      <c r="AG130" s="130" t="s">
        <v>12</v>
      </c>
      <c r="AH130" s="130" t="e">
        <v>#DIV/0!</v>
      </c>
      <c r="AI130" s="130">
        <v>8.6371546661289762E-89</v>
      </c>
      <c r="AJ130" s="130">
        <v>1</v>
      </c>
      <c r="AK130" s="130">
        <v>1</v>
      </c>
      <c r="AQ130" s="130" t="s">
        <v>12</v>
      </c>
      <c r="AR130" s="130" t="e">
        <v>#DIV/0!</v>
      </c>
      <c r="AS130" s="130">
        <v>8.6371546661289762E-89</v>
      </c>
      <c r="AT130" s="130">
        <v>1</v>
      </c>
      <c r="AU130" s="130">
        <v>1</v>
      </c>
      <c r="BA130" s="130" t="s">
        <v>12</v>
      </c>
      <c r="BB130" s="130" t="e">
        <v>#DIV/0!</v>
      </c>
      <c r="BC130" s="130">
        <v>8.6371546661289762E-89</v>
      </c>
      <c r="BD130" s="130">
        <v>1</v>
      </c>
      <c r="BE130" s="130">
        <v>1</v>
      </c>
      <c r="BK130" s="130" t="s">
        <v>12</v>
      </c>
      <c r="BL130" s="130" t="e">
        <v>#DIV/0!</v>
      </c>
      <c r="BM130" s="130">
        <v>8.6371546661289762E-89</v>
      </c>
      <c r="BN130" s="130">
        <v>1</v>
      </c>
      <c r="BO130" s="130">
        <v>1</v>
      </c>
    </row>
    <row r="131" spans="4:67" x14ac:dyDescent="0.3">
      <c r="D131" s="130" t="s">
        <v>13</v>
      </c>
      <c r="E131" s="130">
        <f>'Mode Choice Q'!G40</f>
        <v>1</v>
      </c>
      <c r="F131" s="130">
        <f>'Mode Choice Q'!H40</f>
        <v>1</v>
      </c>
      <c r="G131" s="130">
        <f>'Mode Choice Q'!I40</f>
        <v>8.6371546661289762E-89</v>
      </c>
      <c r="H131" s="130" t="e">
        <f>'Mode Choice Q'!J40</f>
        <v>#DIV/0!</v>
      </c>
      <c r="N131" s="130" t="s">
        <v>13</v>
      </c>
      <c r="O131" s="130">
        <v>1</v>
      </c>
      <c r="P131" s="130">
        <v>1</v>
      </c>
      <c r="Q131" s="130">
        <v>8.6371546661289762E-89</v>
      </c>
      <c r="R131" s="130" t="e">
        <v>#DIV/0!</v>
      </c>
      <c r="W131" s="130" t="s">
        <v>13</v>
      </c>
      <c r="X131" s="130">
        <v>1</v>
      </c>
      <c r="Y131" s="130">
        <v>1</v>
      </c>
      <c r="Z131" s="130">
        <v>8.6371546661289762E-89</v>
      </c>
      <c r="AA131" s="130" t="e">
        <v>#DIV/0!</v>
      </c>
      <c r="AG131" s="130" t="s">
        <v>13</v>
      </c>
      <c r="AH131" s="130">
        <v>1</v>
      </c>
      <c r="AI131" s="130">
        <v>1</v>
      </c>
      <c r="AJ131" s="130">
        <v>8.6371546661289762E-89</v>
      </c>
      <c r="AK131" s="130" t="e">
        <v>#DIV/0!</v>
      </c>
      <c r="AQ131" s="130" t="s">
        <v>13</v>
      </c>
      <c r="AR131" s="130">
        <v>1</v>
      </c>
      <c r="AS131" s="130">
        <v>1</v>
      </c>
      <c r="AT131" s="130">
        <v>8.6371546661289762E-89</v>
      </c>
      <c r="AU131" s="130" t="e">
        <v>#DIV/0!</v>
      </c>
      <c r="BA131" s="130" t="s">
        <v>13</v>
      </c>
      <c r="BB131" s="130">
        <v>1</v>
      </c>
      <c r="BC131" s="130">
        <v>1</v>
      </c>
      <c r="BD131" s="130">
        <v>8.6371546661289762E-89</v>
      </c>
      <c r="BE131" s="130" t="e">
        <v>#DIV/0!</v>
      </c>
      <c r="BK131" s="130" t="s">
        <v>13</v>
      </c>
      <c r="BL131" s="130">
        <v>1</v>
      </c>
      <c r="BM131" s="130">
        <v>1</v>
      </c>
      <c r="BN131" s="130">
        <v>8.6371546661289762E-89</v>
      </c>
      <c r="BO131" s="130" t="e">
        <v>#DIV/0!</v>
      </c>
    </row>
    <row r="132" spans="4:67" x14ac:dyDescent="0.3">
      <c r="D132" s="130" t="s">
        <v>14</v>
      </c>
      <c r="E132" s="130">
        <f>'Mode Choice Q'!G41</f>
        <v>1</v>
      </c>
      <c r="F132" s="130">
        <f>'Mode Choice Q'!H41</f>
        <v>1</v>
      </c>
      <c r="G132" s="130" t="e">
        <f>'Mode Choice Q'!I41</f>
        <v>#DIV/0!</v>
      </c>
      <c r="H132" s="130">
        <f>'Mode Choice Q'!J41</f>
        <v>8.6371546661289762E-89</v>
      </c>
      <c r="N132" s="130" t="s">
        <v>14</v>
      </c>
      <c r="O132" s="130">
        <v>1</v>
      </c>
      <c r="P132" s="130">
        <v>1</v>
      </c>
      <c r="Q132" s="130" t="e">
        <v>#DIV/0!</v>
      </c>
      <c r="R132" s="130">
        <v>8.6371546661289762E-89</v>
      </c>
      <c r="W132" s="130" t="s">
        <v>14</v>
      </c>
      <c r="X132" s="130">
        <v>1</v>
      </c>
      <c r="Y132" s="130">
        <v>1</v>
      </c>
      <c r="Z132" s="130" t="e">
        <v>#DIV/0!</v>
      </c>
      <c r="AA132" s="130">
        <v>8.6371546661289762E-89</v>
      </c>
      <c r="AG132" s="130" t="s">
        <v>14</v>
      </c>
      <c r="AH132" s="130">
        <v>1</v>
      </c>
      <c r="AI132" s="130">
        <v>1</v>
      </c>
      <c r="AJ132" s="130" t="e">
        <v>#DIV/0!</v>
      </c>
      <c r="AK132" s="130">
        <v>8.6371546661289762E-89</v>
      </c>
      <c r="AQ132" s="130" t="s">
        <v>14</v>
      </c>
      <c r="AR132" s="130">
        <v>1</v>
      </c>
      <c r="AS132" s="130">
        <v>1</v>
      </c>
      <c r="AT132" s="130" t="e">
        <v>#DIV/0!</v>
      </c>
      <c r="AU132" s="130">
        <v>8.6371546661289762E-89</v>
      </c>
      <c r="BA132" s="130" t="s">
        <v>14</v>
      </c>
      <c r="BB132" s="130">
        <v>1</v>
      </c>
      <c r="BC132" s="130">
        <v>1</v>
      </c>
      <c r="BD132" s="130" t="e">
        <v>#DIV/0!</v>
      </c>
      <c r="BE132" s="130">
        <v>8.6371546661289762E-89</v>
      </c>
      <c r="BK132" s="130" t="s">
        <v>14</v>
      </c>
      <c r="BL132" s="130">
        <v>1</v>
      </c>
      <c r="BM132" s="130">
        <v>1</v>
      </c>
      <c r="BN132" s="130" t="e">
        <v>#DIV/0!</v>
      </c>
      <c r="BO132" s="130">
        <v>8.6371546661289762E-89</v>
      </c>
    </row>
    <row r="133" spans="4:67" x14ac:dyDescent="0.3">
      <c r="D133" s="130" t="s">
        <v>199</v>
      </c>
      <c r="E133" s="130" t="s">
        <v>11</v>
      </c>
      <c r="F133" s="130" t="s">
        <v>12</v>
      </c>
      <c r="G133" s="130" t="s">
        <v>13</v>
      </c>
      <c r="H133" s="130" t="s">
        <v>14</v>
      </c>
      <c r="N133" s="130" t="s">
        <v>199</v>
      </c>
      <c r="O133" s="130" t="s">
        <v>11</v>
      </c>
      <c r="P133" s="130" t="s">
        <v>12</v>
      </c>
      <c r="Q133" s="130" t="s">
        <v>13</v>
      </c>
      <c r="R133" s="130" t="s">
        <v>14</v>
      </c>
      <c r="W133" s="130" t="s">
        <v>199</v>
      </c>
      <c r="X133" s="130" t="s">
        <v>11</v>
      </c>
      <c r="Y133" s="130" t="s">
        <v>12</v>
      </c>
      <c r="Z133" s="130" t="s">
        <v>13</v>
      </c>
      <c r="AA133" s="130" t="s">
        <v>14</v>
      </c>
      <c r="AG133" s="130" t="s">
        <v>199</v>
      </c>
      <c r="AH133" s="130" t="s">
        <v>11</v>
      </c>
      <c r="AI133" s="130" t="s">
        <v>12</v>
      </c>
      <c r="AJ133" s="130" t="s">
        <v>13</v>
      </c>
      <c r="AK133" s="130" t="s">
        <v>14</v>
      </c>
      <c r="AQ133" s="130" t="s">
        <v>199</v>
      </c>
      <c r="AR133" s="130" t="s">
        <v>11</v>
      </c>
      <c r="AS133" s="130" t="s">
        <v>12</v>
      </c>
      <c r="AT133" s="130" t="s">
        <v>13</v>
      </c>
      <c r="AU133" s="130" t="s">
        <v>14</v>
      </c>
      <c r="BA133" s="130" t="s">
        <v>199</v>
      </c>
      <c r="BB133" s="130" t="s">
        <v>11</v>
      </c>
      <c r="BC133" s="130" t="s">
        <v>12</v>
      </c>
      <c r="BD133" s="130" t="s">
        <v>13</v>
      </c>
      <c r="BE133" s="130" t="s">
        <v>14</v>
      </c>
      <c r="BK133" s="130" t="s">
        <v>199</v>
      </c>
      <c r="BL133" s="130" t="s">
        <v>11</v>
      </c>
      <c r="BM133" s="130" t="s">
        <v>12</v>
      </c>
      <c r="BN133" s="130" t="s">
        <v>13</v>
      </c>
      <c r="BO133" s="130" t="s">
        <v>14</v>
      </c>
    </row>
    <row r="134" spans="4:67" x14ac:dyDescent="0.3">
      <c r="D134" s="130" t="s">
        <v>11</v>
      </c>
      <c r="E134" s="130">
        <f t="shared" ref="E134:H137" si="169">E129*E122</f>
        <v>1.0791305306966036E-85</v>
      </c>
      <c r="F134" s="130" t="e">
        <f t="shared" si="169"/>
        <v>#DIV/0!</v>
      </c>
      <c r="G134" s="148">
        <f t="shared" si="169"/>
        <v>429.14821452279892</v>
      </c>
      <c r="H134" s="148">
        <f t="shared" si="169"/>
        <v>371.81545752157058</v>
      </c>
      <c r="N134" s="130" t="s">
        <v>11</v>
      </c>
      <c r="O134" s="130">
        <f t="shared" ref="O134:R137" si="170">O129*P122</f>
        <v>5.9116019436921179E-86</v>
      </c>
      <c r="P134" s="130" t="e">
        <f t="shared" si="170"/>
        <v>#DIV/0!</v>
      </c>
      <c r="Q134" s="148">
        <f t="shared" si="170"/>
        <v>869.2326955014064</v>
      </c>
      <c r="R134" s="148">
        <f t="shared" si="170"/>
        <v>630.35564794529569</v>
      </c>
      <c r="W134" s="130" t="s">
        <v>11</v>
      </c>
      <c r="X134" s="130">
        <f t="shared" ref="X134:AA137" si="171">X129*Z122</f>
        <v>5.4994437509189453E-86</v>
      </c>
      <c r="Y134" s="130" t="e">
        <f t="shared" si="171"/>
        <v>#DIV/0!</v>
      </c>
      <c r="Z134" s="148">
        <f t="shared" si="171"/>
        <v>863.05214600436273</v>
      </c>
      <c r="AA134" s="148">
        <f t="shared" si="171"/>
        <v>615.98963795629129</v>
      </c>
      <c r="AG134" s="130" t="s">
        <v>11</v>
      </c>
      <c r="AH134" s="130">
        <f t="shared" ref="AH134:AK137" si="172">AH129*AJ122</f>
        <v>6.4945102601290071E-86</v>
      </c>
      <c r="AI134" s="130" t="e">
        <f t="shared" si="172"/>
        <v>#DIV/0!</v>
      </c>
      <c r="AJ134" s="148">
        <f t="shared" si="172"/>
        <v>1014.6142013115212</v>
      </c>
      <c r="AK134" s="148">
        <f t="shared" si="172"/>
        <v>725.84278498832316</v>
      </c>
      <c r="AQ134" s="130" t="s">
        <v>11</v>
      </c>
      <c r="AR134" s="130">
        <f t="shared" ref="AR134:AU137" si="173">AR129*AT122</f>
        <v>6.1577846222176973E-86</v>
      </c>
      <c r="AS134" s="130" t="e">
        <f t="shared" si="173"/>
        <v>#DIV/0!</v>
      </c>
      <c r="AT134" s="148">
        <f t="shared" si="173"/>
        <v>1165.6343769061014</v>
      </c>
      <c r="AU134" s="148">
        <f t="shared" si="173"/>
        <v>784.36344780176046</v>
      </c>
      <c r="BA134" s="130" t="s">
        <v>11</v>
      </c>
      <c r="BB134" s="130">
        <f t="shared" ref="BB134:BE137" si="174">BB129*BD122</f>
        <v>7.4592353908869887E-86</v>
      </c>
      <c r="BC134" s="130" t="e">
        <f t="shared" si="174"/>
        <v>#DIV/0!</v>
      </c>
      <c r="BD134" s="148">
        <f t="shared" si="174"/>
        <v>1154.3137794128866</v>
      </c>
      <c r="BE134" s="148">
        <f t="shared" si="174"/>
        <v>828.59981731194807</v>
      </c>
      <c r="BK134" s="130" t="s">
        <v>11</v>
      </c>
      <c r="BL134" s="130">
        <f t="shared" ref="BL134:BO137" si="175">BL129*BN122</f>
        <v>7.9993012189931337E-86</v>
      </c>
      <c r="BM134" s="130" t="e">
        <f t="shared" si="175"/>
        <v>#DIV/0!</v>
      </c>
      <c r="BN134" s="148">
        <f t="shared" si="175"/>
        <v>1232.118360972114</v>
      </c>
      <c r="BO134" s="148">
        <f t="shared" si="175"/>
        <v>885.905169246068</v>
      </c>
    </row>
    <row r="135" spans="4:67" x14ac:dyDescent="0.3">
      <c r="D135" s="130" t="s">
        <v>12</v>
      </c>
      <c r="E135" s="130" t="e">
        <f t="shared" si="169"/>
        <v>#DIV/0!</v>
      </c>
      <c r="F135" s="130">
        <f t="shared" si="169"/>
        <v>7.5294597523662367E-86</v>
      </c>
      <c r="G135" s="148">
        <f t="shared" si="169"/>
        <v>588.28249957667413</v>
      </c>
      <c r="H135" s="148">
        <f t="shared" si="169"/>
        <v>588.81137856283499</v>
      </c>
      <c r="N135" s="130" t="s">
        <v>12</v>
      </c>
      <c r="O135" s="130" t="e">
        <f t="shared" si="170"/>
        <v>#DIV/0!</v>
      </c>
      <c r="P135" s="130">
        <f t="shared" si="170"/>
        <v>4.055239738097147E-86</v>
      </c>
      <c r="Q135" s="148">
        <f t="shared" si="170"/>
        <v>933.21136039029068</v>
      </c>
      <c r="R135" s="148">
        <f t="shared" si="170"/>
        <v>781.80734450645741</v>
      </c>
      <c r="W135" s="130" t="s">
        <v>12</v>
      </c>
      <c r="X135" s="130" t="e">
        <f t="shared" si="171"/>
        <v>#DIV/0!</v>
      </c>
      <c r="Y135" s="130">
        <f t="shared" si="171"/>
        <v>3.6328321233834522E-86</v>
      </c>
      <c r="Z135" s="148">
        <f t="shared" si="171"/>
        <v>920.55390804469505</v>
      </c>
      <c r="AA135" s="148">
        <f t="shared" si="171"/>
        <v>759.02438753333934</v>
      </c>
      <c r="AG135" s="130" t="s">
        <v>12</v>
      </c>
      <c r="AH135" s="130" t="e">
        <f t="shared" si="172"/>
        <v>#DIV/0!</v>
      </c>
      <c r="AI135" s="130">
        <f t="shared" si="172"/>
        <v>4.3415421243488438E-86</v>
      </c>
      <c r="AJ135" s="148">
        <f t="shared" si="172"/>
        <v>1089.4003118658798</v>
      </c>
      <c r="AK135" s="148">
        <f t="shared" si="172"/>
        <v>900.32489053100062</v>
      </c>
      <c r="AQ135" s="130" t="s">
        <v>12</v>
      </c>
      <c r="AR135" s="130" t="e">
        <f t="shared" si="173"/>
        <v>#DIV/0!</v>
      </c>
      <c r="AS135" s="130">
        <f t="shared" si="173"/>
        <v>3.9290661458393903E-86</v>
      </c>
      <c r="AT135" s="148">
        <f t="shared" si="173"/>
        <v>1242.3086953948102</v>
      </c>
      <c r="AU135" s="148">
        <f t="shared" si="173"/>
        <v>965.72763418298678</v>
      </c>
      <c r="BA135" s="130" t="s">
        <v>12</v>
      </c>
      <c r="BB135" s="130" t="e">
        <f t="shared" si="174"/>
        <v>#DIV/0!</v>
      </c>
      <c r="BC135" s="130">
        <f t="shared" si="174"/>
        <v>5.0186261369451973E-86</v>
      </c>
      <c r="BD135" s="148">
        <f t="shared" si="174"/>
        <v>1238.4700377430495</v>
      </c>
      <c r="BE135" s="148">
        <f t="shared" si="174"/>
        <v>1027.0145384633458</v>
      </c>
      <c r="BK135" s="130" t="s">
        <v>12</v>
      </c>
      <c r="BL135" s="130" t="e">
        <f t="shared" si="175"/>
        <v>#DIV/0!</v>
      </c>
      <c r="BM135" s="130">
        <f t="shared" si="175"/>
        <v>5.3981168515240379E-86</v>
      </c>
      <c r="BN135" s="148">
        <f t="shared" si="175"/>
        <v>1321.5081520575191</v>
      </c>
      <c r="BO135" s="148">
        <f t="shared" si="175"/>
        <v>1097.6775627015702</v>
      </c>
    </row>
    <row r="136" spans="4:67" x14ac:dyDescent="0.3">
      <c r="D136" s="130" t="s">
        <v>13</v>
      </c>
      <c r="E136" s="148">
        <f t="shared" si="169"/>
        <v>411.95933703631709</v>
      </c>
      <c r="F136" s="148">
        <f t="shared" si="169"/>
        <v>605.92972194435731</v>
      </c>
      <c r="G136" s="130">
        <f t="shared" si="169"/>
        <v>3.1585457835274142E-87</v>
      </c>
      <c r="H136" s="130" t="e">
        <f t="shared" si="169"/>
        <v>#DIV/0!</v>
      </c>
      <c r="N136" s="130" t="s">
        <v>13</v>
      </c>
      <c r="O136" s="148">
        <f t="shared" si="170"/>
        <v>351.49717671633698</v>
      </c>
      <c r="P136" s="148">
        <f t="shared" si="170"/>
        <v>649.00182249512102</v>
      </c>
      <c r="Q136" s="130">
        <f t="shared" si="170"/>
        <v>9.9644241820361096E-87</v>
      </c>
      <c r="R136" s="130" t="e">
        <f t="shared" si="170"/>
        <v>#DIV/0!</v>
      </c>
      <c r="W136" s="130" t="s">
        <v>13</v>
      </c>
      <c r="X136" s="148">
        <f t="shared" si="171"/>
        <v>383.10829419410703</v>
      </c>
      <c r="Y136" s="148">
        <f t="shared" si="171"/>
        <v>685.63442977051511</v>
      </c>
      <c r="Z136" s="130">
        <f t="shared" si="171"/>
        <v>1.1591491537193116E-86</v>
      </c>
      <c r="AA136" s="130" t="e">
        <f t="shared" si="171"/>
        <v>#DIV/0!</v>
      </c>
      <c r="AG136" s="130" t="s">
        <v>13</v>
      </c>
      <c r="AH136" s="148">
        <f t="shared" si="172"/>
        <v>395.33791117828957</v>
      </c>
      <c r="AI136" s="148">
        <f t="shared" si="172"/>
        <v>711.272806025161</v>
      </c>
      <c r="AJ136" s="130">
        <f t="shared" si="172"/>
        <v>1.1907552045842322E-86</v>
      </c>
      <c r="AK136" s="130" t="e">
        <f t="shared" si="172"/>
        <v>#DIV/0!</v>
      </c>
      <c r="AQ136" s="130" t="s">
        <v>13</v>
      </c>
      <c r="AR136" s="148">
        <f t="shared" si="173"/>
        <v>417.96721610222079</v>
      </c>
      <c r="AS136" s="148">
        <f t="shared" si="173"/>
        <v>723.09702411351645</v>
      </c>
      <c r="AT136" s="130">
        <f t="shared" si="173"/>
        <v>1.5253853344773604E-86</v>
      </c>
      <c r="AU136" s="130" t="e">
        <f t="shared" si="173"/>
        <v>#DIV/0!</v>
      </c>
      <c r="BA136" s="130" t="s">
        <v>13</v>
      </c>
      <c r="BB136" s="148">
        <f t="shared" si="174"/>
        <v>442.22310353382602</v>
      </c>
      <c r="BC136" s="148">
        <f t="shared" si="174"/>
        <v>801.35882443567743</v>
      </c>
      <c r="BD136" s="130">
        <f t="shared" si="174"/>
        <v>1.3193818073311967E-86</v>
      </c>
      <c r="BE136" s="130" t="e">
        <f t="shared" si="174"/>
        <v>#DIV/0!</v>
      </c>
      <c r="BK136" s="130" t="s">
        <v>13</v>
      </c>
      <c r="BL136" s="148">
        <f t="shared" si="175"/>
        <v>468.34406270421289</v>
      </c>
      <c r="BM136" s="148">
        <f t="shared" si="175"/>
        <v>851.51934838135992</v>
      </c>
      <c r="BN136" s="130">
        <f t="shared" si="175"/>
        <v>1.3908006766614903E-86</v>
      </c>
      <c r="BO136" s="130" t="e">
        <f t="shared" si="175"/>
        <v>#DIV/0!</v>
      </c>
    </row>
    <row r="137" spans="4:67" x14ac:dyDescent="0.3">
      <c r="D137" s="130" t="s">
        <v>14</v>
      </c>
      <c r="E137" s="148">
        <f t="shared" si="169"/>
        <v>388.63553776838347</v>
      </c>
      <c r="F137" s="148">
        <f t="shared" si="169"/>
        <v>572.31794254480849</v>
      </c>
      <c r="G137" s="130" t="e">
        <f t="shared" si="169"/>
        <v>#DIV/0!</v>
      </c>
      <c r="H137" s="130">
        <f t="shared" si="169"/>
        <v>1.2728848103757656E-86</v>
      </c>
      <c r="N137" s="130" t="s">
        <v>14</v>
      </c>
      <c r="O137" s="148">
        <f t="shared" si="170"/>
        <v>292.07664028391969</v>
      </c>
      <c r="P137" s="148">
        <f t="shared" si="170"/>
        <v>539.94291248161926</v>
      </c>
      <c r="Q137" s="130" t="e">
        <f t="shared" si="170"/>
        <v>#DIV/0!</v>
      </c>
      <c r="R137" s="130">
        <f t="shared" si="170"/>
        <v>2.9605365113147581E-86</v>
      </c>
      <c r="W137" s="130" t="s">
        <v>14</v>
      </c>
      <c r="X137" s="148">
        <f t="shared" si="171"/>
        <v>308.18473228024556</v>
      </c>
      <c r="Y137" s="148">
        <f t="shared" si="171"/>
        <v>552.21618116213335</v>
      </c>
      <c r="Z137" s="130" t="e">
        <f t="shared" si="171"/>
        <v>#DIV/0!</v>
      </c>
      <c r="AA137" s="130">
        <f t="shared" si="171"/>
        <v>3.281397884653524E-86</v>
      </c>
      <c r="AG137" s="130" t="s">
        <v>14</v>
      </c>
      <c r="AH137" s="148">
        <f t="shared" si="172"/>
        <v>326.77278871251457</v>
      </c>
      <c r="AI137" s="148">
        <f t="shared" si="172"/>
        <v>588.62753122976653</v>
      </c>
      <c r="AJ137" s="130" t="e">
        <f t="shared" si="172"/>
        <v>#DIV/0!</v>
      </c>
      <c r="AK137" s="130">
        <f t="shared" si="172"/>
        <v>3.4716439147148803E-86</v>
      </c>
      <c r="AQ137" s="130" t="s">
        <v>14</v>
      </c>
      <c r="AR137" s="148">
        <f t="shared" si="173"/>
        <v>338.16941432073969</v>
      </c>
      <c r="AS137" s="148">
        <f t="shared" si="173"/>
        <v>585.75448979946623</v>
      </c>
      <c r="AT137" s="130" t="e">
        <f t="shared" si="173"/>
        <v>#DIV/0!</v>
      </c>
      <c r="AU137" s="130">
        <f t="shared" si="173"/>
        <v>4.0946832262678637E-86</v>
      </c>
      <c r="BA137" s="130" t="s">
        <v>14</v>
      </c>
      <c r="BB137" s="148">
        <f t="shared" si="174"/>
        <v>367.80868158706903</v>
      </c>
      <c r="BC137" s="148">
        <f t="shared" si="174"/>
        <v>667.32057691979628</v>
      </c>
      <c r="BD137" s="130" t="e">
        <f t="shared" si="174"/>
        <v>#DIV/0!</v>
      </c>
      <c r="BE137" s="130">
        <f t="shared" si="174"/>
        <v>3.8838784403127037E-86</v>
      </c>
      <c r="BK137" s="130" t="s">
        <v>14</v>
      </c>
      <c r="BL137" s="148">
        <f t="shared" si="175"/>
        <v>390.72052519778396</v>
      </c>
      <c r="BM137" s="148">
        <f t="shared" si="175"/>
        <v>711.25064419867317</v>
      </c>
      <c r="BN137" s="130" t="e">
        <f t="shared" si="175"/>
        <v>#DIV/0!</v>
      </c>
      <c r="BO137" s="130">
        <f t="shared" si="175"/>
        <v>4.1133393764555667E-86</v>
      </c>
    </row>
    <row r="139" spans="4:67" x14ac:dyDescent="0.3">
      <c r="D139" s="130" t="s">
        <v>216</v>
      </c>
      <c r="E139" s="130" t="s">
        <v>11</v>
      </c>
      <c r="F139" s="130" t="s">
        <v>12</v>
      </c>
      <c r="G139" s="130" t="s">
        <v>13</v>
      </c>
      <c r="H139" s="130" t="s">
        <v>14</v>
      </c>
      <c r="N139" s="130" t="s">
        <v>216</v>
      </c>
      <c r="O139" s="130" t="s">
        <v>11</v>
      </c>
      <c r="P139" s="130" t="s">
        <v>12</v>
      </c>
      <c r="Q139" s="130" t="s">
        <v>13</v>
      </c>
      <c r="R139" s="130" t="s">
        <v>14</v>
      </c>
      <c r="W139" s="130" t="s">
        <v>216</v>
      </c>
      <c r="X139" s="130" t="s">
        <v>11</v>
      </c>
      <c r="Y139" s="130" t="s">
        <v>12</v>
      </c>
      <c r="Z139" s="130" t="s">
        <v>13</v>
      </c>
      <c r="AA139" s="130" t="s">
        <v>14</v>
      </c>
      <c r="AG139" s="130" t="s">
        <v>216</v>
      </c>
      <c r="AH139" s="130" t="s">
        <v>11</v>
      </c>
      <c r="AI139" s="130" t="s">
        <v>12</v>
      </c>
      <c r="AJ139" s="130" t="s">
        <v>13</v>
      </c>
      <c r="AK139" s="130" t="s">
        <v>14</v>
      </c>
      <c r="AQ139" s="130" t="s">
        <v>216</v>
      </c>
      <c r="AR139" s="130" t="s">
        <v>11</v>
      </c>
      <c r="AS139" s="130" t="s">
        <v>12</v>
      </c>
      <c r="AT139" s="130" t="s">
        <v>13</v>
      </c>
      <c r="AU139" s="130" t="s">
        <v>14</v>
      </c>
      <c r="BA139" s="130" t="s">
        <v>216</v>
      </c>
      <c r="BB139" s="130" t="s">
        <v>11</v>
      </c>
      <c r="BC139" s="130" t="s">
        <v>12</v>
      </c>
      <c r="BD139" s="130" t="s">
        <v>13</v>
      </c>
      <c r="BE139" s="130" t="s">
        <v>14</v>
      </c>
      <c r="BK139" s="130" t="s">
        <v>216</v>
      </c>
      <c r="BL139" s="130" t="s">
        <v>11</v>
      </c>
      <c r="BM139" s="130" t="s">
        <v>12</v>
      </c>
      <c r="BN139" s="130" t="s">
        <v>13</v>
      </c>
      <c r="BO139" s="130" t="s">
        <v>14</v>
      </c>
    </row>
    <row r="140" spans="4:67" x14ac:dyDescent="0.3">
      <c r="D140" s="130" t="s">
        <v>11</v>
      </c>
      <c r="E140" s="130">
        <f>'Mode Choice Q'!L38</f>
        <v>6.894201355417078E-8</v>
      </c>
      <c r="F140" s="130" t="e">
        <f>'Mode Choice Q'!M38</f>
        <v>#DIV/0!</v>
      </c>
      <c r="G140" s="130">
        <f>'Mode Choice Q'!N38</f>
        <v>1.5208635186509716E-70</v>
      </c>
      <c r="H140" s="130">
        <f>'Mode Choice Q'!O38</f>
        <v>1.6405595531559737E-66</v>
      </c>
      <c r="N140" s="130" t="s">
        <v>11</v>
      </c>
      <c r="O140" s="130">
        <v>6.894201355417078E-8</v>
      </c>
      <c r="P140" s="130" t="e">
        <v>#DIV/0!</v>
      </c>
      <c r="Q140" s="130">
        <v>3.0845417052342929E-87</v>
      </c>
      <c r="R140" s="130">
        <v>3.0845417052342929E-87</v>
      </c>
      <c r="W140" s="130" t="s">
        <v>11</v>
      </c>
      <c r="X140" s="130">
        <v>6.894201355417078E-8</v>
      </c>
      <c r="Y140" s="130" t="e">
        <v>#DIV/0!</v>
      </c>
      <c r="Z140" s="130">
        <v>3.0845417052342929E-87</v>
      </c>
      <c r="AA140" s="130">
        <v>3.0845417052342929E-87</v>
      </c>
      <c r="AG140" s="130" t="s">
        <v>11</v>
      </c>
      <c r="AH140" s="130">
        <v>6.894201355417078E-8</v>
      </c>
      <c r="AI140" s="130" t="e">
        <v>#DIV/0!</v>
      </c>
      <c r="AJ140" s="130">
        <v>3.0845417052342929E-87</v>
      </c>
      <c r="AK140" s="130">
        <v>3.0845417052342929E-87</v>
      </c>
      <c r="AQ140" s="130" t="s">
        <v>11</v>
      </c>
      <c r="AR140" s="130">
        <v>6.894201355417078E-8</v>
      </c>
      <c r="AS140" s="130" t="e">
        <v>#DIV/0!</v>
      </c>
      <c r="AT140" s="130">
        <v>3.0845417052342929E-87</v>
      </c>
      <c r="AU140" s="130">
        <v>3.0845417052342929E-87</v>
      </c>
      <c r="BA140" s="130" t="s">
        <v>11</v>
      </c>
      <c r="BB140" s="130">
        <v>6.894201355417078E-8</v>
      </c>
      <c r="BC140" s="130" t="e">
        <v>#DIV/0!</v>
      </c>
      <c r="BD140" s="130">
        <v>3.0845417052342929E-87</v>
      </c>
      <c r="BE140" s="130">
        <v>3.0845417052342929E-87</v>
      </c>
      <c r="BK140" s="130" t="s">
        <v>11</v>
      </c>
      <c r="BL140" s="130">
        <v>6.894201355417078E-8</v>
      </c>
      <c r="BM140" s="130" t="e">
        <v>#DIV/0!</v>
      </c>
      <c r="BN140" s="130">
        <v>3.0845417052342929E-87</v>
      </c>
      <c r="BO140" s="130">
        <v>3.0845417052342929E-87</v>
      </c>
    </row>
    <row r="141" spans="4:67" x14ac:dyDescent="0.3">
      <c r="D141" s="130" t="s">
        <v>12</v>
      </c>
      <c r="E141" s="130" t="e">
        <f>'Mode Choice Q'!L39</f>
        <v>#DIV/0!</v>
      </c>
      <c r="F141" s="130">
        <f>'Mode Choice Q'!M39</f>
        <v>6.894201355417078E-8</v>
      </c>
      <c r="G141" s="130">
        <f>'Mode Choice Q'!N39</f>
        <v>4.1689406477576957E-48</v>
      </c>
      <c r="H141" s="130">
        <f>'Mode Choice Q'!O39</f>
        <v>8.387630570166462E-45</v>
      </c>
      <c r="N141" s="130" t="s">
        <v>12</v>
      </c>
      <c r="O141" s="130" t="e">
        <v>#DIV/0!</v>
      </c>
      <c r="P141" s="130">
        <v>6.894201355417078E-8</v>
      </c>
      <c r="Q141" s="130">
        <v>8.3227121682720951E-88</v>
      </c>
      <c r="R141" s="130">
        <v>8.3227121682720951E-88</v>
      </c>
      <c r="W141" s="130" t="s">
        <v>12</v>
      </c>
      <c r="X141" s="130" t="e">
        <v>#DIV/0!</v>
      </c>
      <c r="Y141" s="130">
        <v>6.894201355417078E-8</v>
      </c>
      <c r="Z141" s="130">
        <v>8.3227121682720951E-88</v>
      </c>
      <c r="AA141" s="130">
        <v>8.3227121682720951E-88</v>
      </c>
      <c r="AG141" s="130" t="s">
        <v>12</v>
      </c>
      <c r="AH141" s="130" t="e">
        <v>#DIV/0!</v>
      </c>
      <c r="AI141" s="130">
        <v>6.894201355417078E-8</v>
      </c>
      <c r="AJ141" s="130">
        <v>8.3227121682720951E-88</v>
      </c>
      <c r="AK141" s="130">
        <v>8.3227121682720951E-88</v>
      </c>
      <c r="AQ141" s="130" t="s">
        <v>12</v>
      </c>
      <c r="AR141" s="130" t="e">
        <v>#DIV/0!</v>
      </c>
      <c r="AS141" s="130">
        <v>6.894201355417078E-8</v>
      </c>
      <c r="AT141" s="130">
        <v>8.3227121682720951E-88</v>
      </c>
      <c r="AU141" s="130">
        <v>8.3227121682720951E-88</v>
      </c>
      <c r="BA141" s="130" t="s">
        <v>12</v>
      </c>
      <c r="BB141" s="130" t="e">
        <v>#DIV/0!</v>
      </c>
      <c r="BC141" s="130">
        <v>6.894201355417078E-8</v>
      </c>
      <c r="BD141" s="130">
        <v>8.3227121682720951E-88</v>
      </c>
      <c r="BE141" s="130">
        <v>8.3227121682720951E-88</v>
      </c>
      <c r="BK141" s="130" t="s">
        <v>12</v>
      </c>
      <c r="BL141" s="130" t="e">
        <v>#DIV/0!</v>
      </c>
      <c r="BM141" s="130">
        <v>6.894201355417078E-8</v>
      </c>
      <c r="BN141" s="130">
        <v>8.3227121682720951E-88</v>
      </c>
      <c r="BO141" s="130">
        <v>8.3227121682720951E-88</v>
      </c>
    </row>
    <row r="142" spans="4:67" x14ac:dyDescent="0.3">
      <c r="D142" s="130" t="s">
        <v>13</v>
      </c>
      <c r="E142" s="130">
        <f>'Mode Choice Q'!L40</f>
        <v>1.2985059954023249E-63</v>
      </c>
      <c r="F142" s="130">
        <f>'Mode Choice Q'!M40</f>
        <v>2.1513255979248016E-45</v>
      </c>
      <c r="G142" s="130">
        <f>'Mode Choice Q'!N40</f>
        <v>6.894201355417078E-8</v>
      </c>
      <c r="H142" s="130" t="e">
        <f>'Mode Choice Q'!O40</f>
        <v>#DIV/0!</v>
      </c>
      <c r="N142" s="130" t="s">
        <v>13</v>
      </c>
      <c r="O142" s="130">
        <v>3.0845417052342929E-87</v>
      </c>
      <c r="P142" s="130">
        <v>8.3227121682720951E-88</v>
      </c>
      <c r="Q142" s="130">
        <v>6.894201355417078E-8</v>
      </c>
      <c r="R142" s="130" t="e">
        <v>#DIV/0!</v>
      </c>
      <c r="W142" s="130" t="s">
        <v>13</v>
      </c>
      <c r="X142" s="130">
        <v>3.0845417052342929E-87</v>
      </c>
      <c r="Y142" s="130">
        <v>8.3227121682720951E-88</v>
      </c>
      <c r="Z142" s="130">
        <v>6.894201355417078E-8</v>
      </c>
      <c r="AA142" s="130" t="e">
        <v>#DIV/0!</v>
      </c>
      <c r="AG142" s="130" t="s">
        <v>13</v>
      </c>
      <c r="AH142" s="130">
        <v>3.0845417052342929E-87</v>
      </c>
      <c r="AI142" s="130">
        <v>8.3227121682720951E-88</v>
      </c>
      <c r="AJ142" s="130">
        <v>6.894201355417078E-8</v>
      </c>
      <c r="AK142" s="130" t="e">
        <v>#DIV/0!</v>
      </c>
      <c r="AQ142" s="130" t="s">
        <v>13</v>
      </c>
      <c r="AR142" s="130">
        <v>3.0845417052342929E-87</v>
      </c>
      <c r="AS142" s="130">
        <v>8.3227121682720951E-88</v>
      </c>
      <c r="AT142" s="130">
        <v>6.894201355417078E-8</v>
      </c>
      <c r="AU142" s="130" t="e">
        <v>#DIV/0!</v>
      </c>
      <c r="BA142" s="130" t="s">
        <v>13</v>
      </c>
      <c r="BB142" s="130">
        <v>3.0845417052342929E-87</v>
      </c>
      <c r="BC142" s="130">
        <v>8.3227121682720951E-88</v>
      </c>
      <c r="BD142" s="130">
        <v>6.894201355417078E-8</v>
      </c>
      <c r="BE142" s="130" t="e">
        <v>#DIV/0!</v>
      </c>
      <c r="BK142" s="130" t="s">
        <v>13</v>
      </c>
      <c r="BL142" s="130">
        <v>3.0845417052342929E-87</v>
      </c>
      <c r="BM142" s="130">
        <v>8.3227121682720951E-88</v>
      </c>
      <c r="BN142" s="130">
        <v>6.894201355417078E-8</v>
      </c>
      <c r="BO142" s="130" t="e">
        <v>#DIV/0!</v>
      </c>
    </row>
    <row r="143" spans="4:67" x14ac:dyDescent="0.3">
      <c r="D143" s="130" t="s">
        <v>14</v>
      </c>
      <c r="E143" s="130">
        <f>'Mode Choice Q'!L41</f>
        <v>1.4007018969573934E-59</v>
      </c>
      <c r="F143" s="130">
        <f>'Mode Choice Q'!M41</f>
        <v>2.3206406875715781E-41</v>
      </c>
      <c r="G143" s="130" t="e">
        <f>'Mode Choice Q'!N41</f>
        <v>#DIV/0!</v>
      </c>
      <c r="H143" s="130">
        <f>'Mode Choice Q'!O41</f>
        <v>6.894201355417078E-8</v>
      </c>
      <c r="N143" s="130" t="s">
        <v>14</v>
      </c>
      <c r="O143" s="130">
        <v>3.0845417052342929E-87</v>
      </c>
      <c r="P143" s="130">
        <v>8.3227121682720951E-88</v>
      </c>
      <c r="Q143" s="130" t="e">
        <v>#DIV/0!</v>
      </c>
      <c r="R143" s="130">
        <v>6.894201355417078E-8</v>
      </c>
      <c r="W143" s="130" t="s">
        <v>14</v>
      </c>
      <c r="X143" s="130">
        <v>3.0845417052342929E-87</v>
      </c>
      <c r="Y143" s="130">
        <v>8.3227121682720951E-88</v>
      </c>
      <c r="Z143" s="130" t="e">
        <v>#DIV/0!</v>
      </c>
      <c r="AA143" s="130">
        <v>6.894201355417078E-8</v>
      </c>
      <c r="AG143" s="130" t="s">
        <v>14</v>
      </c>
      <c r="AH143" s="130">
        <v>3.0845417052342929E-87</v>
      </c>
      <c r="AI143" s="130">
        <v>8.3227121682720951E-88</v>
      </c>
      <c r="AJ143" s="130" t="e">
        <v>#DIV/0!</v>
      </c>
      <c r="AK143" s="130">
        <v>6.894201355417078E-8</v>
      </c>
      <c r="AQ143" s="130" t="s">
        <v>14</v>
      </c>
      <c r="AR143" s="130">
        <v>3.0845417052342929E-87</v>
      </c>
      <c r="AS143" s="130">
        <v>8.3227121682720951E-88</v>
      </c>
      <c r="AT143" s="130" t="e">
        <v>#DIV/0!</v>
      </c>
      <c r="AU143" s="130">
        <v>6.894201355417078E-8</v>
      </c>
      <c r="BA143" s="130" t="s">
        <v>14</v>
      </c>
      <c r="BB143" s="130">
        <v>3.0845417052342929E-87</v>
      </c>
      <c r="BC143" s="130">
        <v>8.3227121682720951E-88</v>
      </c>
      <c r="BD143" s="130" t="e">
        <v>#DIV/0!</v>
      </c>
      <c r="BE143" s="130">
        <v>6.894201355417078E-8</v>
      </c>
      <c r="BK143" s="130" t="s">
        <v>14</v>
      </c>
      <c r="BL143" s="130">
        <v>3.0845417052342929E-87</v>
      </c>
      <c r="BM143" s="130">
        <v>8.3227121682720951E-88</v>
      </c>
      <c r="BN143" s="130" t="e">
        <v>#DIV/0!</v>
      </c>
      <c r="BO143" s="130">
        <v>6.894201355417078E-8</v>
      </c>
    </row>
    <row r="144" spans="4:67" x14ac:dyDescent="0.3">
      <c r="D144" s="130" t="s">
        <v>199</v>
      </c>
      <c r="E144" s="130" t="s">
        <v>11</v>
      </c>
      <c r="F144" s="130" t="s">
        <v>12</v>
      </c>
      <c r="G144" s="130" t="s">
        <v>13</v>
      </c>
      <c r="H144" s="130" t="s">
        <v>14</v>
      </c>
      <c r="N144" s="130" t="s">
        <v>199</v>
      </c>
      <c r="O144" s="130" t="s">
        <v>11</v>
      </c>
      <c r="P144" s="130" t="s">
        <v>12</v>
      </c>
      <c r="Q144" s="130" t="s">
        <v>13</v>
      </c>
      <c r="R144" s="130" t="s">
        <v>14</v>
      </c>
      <c r="W144" s="130" t="s">
        <v>199</v>
      </c>
      <c r="X144" s="130" t="s">
        <v>11</v>
      </c>
      <c r="Y144" s="130" t="s">
        <v>12</v>
      </c>
      <c r="Z144" s="130" t="s">
        <v>13</v>
      </c>
      <c r="AA144" s="130" t="s">
        <v>14</v>
      </c>
      <c r="AG144" s="130" t="s">
        <v>199</v>
      </c>
      <c r="AH144" s="130" t="s">
        <v>11</v>
      </c>
      <c r="AI144" s="130" t="s">
        <v>12</v>
      </c>
      <c r="AJ144" s="130" t="s">
        <v>13</v>
      </c>
      <c r="AK144" s="130" t="s">
        <v>14</v>
      </c>
      <c r="AQ144" s="130" t="s">
        <v>199</v>
      </c>
      <c r="AR144" s="130" t="s">
        <v>11</v>
      </c>
      <c r="AS144" s="130" t="s">
        <v>12</v>
      </c>
      <c r="AT144" s="130" t="s">
        <v>13</v>
      </c>
      <c r="AU144" s="130" t="s">
        <v>14</v>
      </c>
      <c r="BA144" s="130" t="s">
        <v>199</v>
      </c>
      <c r="BB144" s="130" t="s">
        <v>11</v>
      </c>
      <c r="BC144" s="130" t="s">
        <v>12</v>
      </c>
      <c r="BD144" s="130" t="s">
        <v>13</v>
      </c>
      <c r="BE144" s="130" t="s">
        <v>14</v>
      </c>
      <c r="BK144" s="130" t="s">
        <v>199</v>
      </c>
      <c r="BL144" s="130" t="s">
        <v>11</v>
      </c>
      <c r="BM144" s="130" t="s">
        <v>12</v>
      </c>
      <c r="BN144" s="130" t="s">
        <v>13</v>
      </c>
      <c r="BO144" s="130" t="s">
        <v>14</v>
      </c>
    </row>
    <row r="145" spans="4:67" x14ac:dyDescent="0.3">
      <c r="D145" s="130" t="s">
        <v>11</v>
      </c>
      <c r="E145" s="130">
        <f t="shared" ref="E145:H148" si="176">E140*E122</f>
        <v>8.6136505075864761E-5</v>
      </c>
      <c r="F145" s="130" t="e">
        <f t="shared" si="176"/>
        <v>#DIV/0!</v>
      </c>
      <c r="G145" s="217">
        <f t="shared" si="176"/>
        <v>6.5267586356192594E-68</v>
      </c>
      <c r="H145" s="130">
        <f t="shared" si="176"/>
        <v>6.0998540084807176E-64</v>
      </c>
      <c r="N145" s="130" t="s">
        <v>11</v>
      </c>
      <c r="O145" s="130">
        <f t="shared" ref="O145:R148" si="177">O140*P122</f>
        <v>4.7186574408252976E-5</v>
      </c>
      <c r="P145" s="130" t="e">
        <f t="shared" si="177"/>
        <v>#DIV/0!</v>
      </c>
      <c r="Q145" s="149">
        <f t="shared" si="177"/>
        <v>2.6811845008273092E-84</v>
      </c>
      <c r="R145" s="130">
        <f t="shared" si="177"/>
        <v>1.9443582852172499E-84</v>
      </c>
      <c r="W145" s="130" t="s">
        <v>11</v>
      </c>
      <c r="X145" s="130">
        <f t="shared" ref="X145:AA148" si="178">X140*Z122</f>
        <v>4.3896716021895551E-5</v>
      </c>
      <c r="Y145" s="130" t="e">
        <f t="shared" si="178"/>
        <v>#DIV/0!</v>
      </c>
      <c r="Z145" s="149">
        <f t="shared" si="178"/>
        <v>2.6621203381424132E-84</v>
      </c>
      <c r="AA145" s="130">
        <f t="shared" si="178"/>
        <v>1.9000457282683535E-84</v>
      </c>
      <c r="AG145" s="130" t="s">
        <v>11</v>
      </c>
      <c r="AH145" s="130">
        <f t="shared" ref="AH145:AK148" si="179">AH140*AJ122</f>
        <v>5.1839365125342446E-5</v>
      </c>
      <c r="AI145" s="130" t="e">
        <f t="shared" si="179"/>
        <v>#DIV/0!</v>
      </c>
      <c r="AJ145" s="149">
        <f t="shared" si="179"/>
        <v>3.1296198186683697E-84</v>
      </c>
      <c r="AK145" s="130">
        <f t="shared" si="179"/>
        <v>2.2388923417398904E-84</v>
      </c>
      <c r="AQ145" s="130" t="s">
        <v>11</v>
      </c>
      <c r="AR145" s="130">
        <f t="shared" ref="AR145:AU148" si="180">AR140*AT122</f>
        <v>4.9151611531678626E-5</v>
      </c>
      <c r="AS145" s="130" t="e">
        <f t="shared" si="180"/>
        <v>#DIV/0!</v>
      </c>
      <c r="AT145" s="149">
        <f t="shared" si="180"/>
        <v>3.5954478486216583E-84</v>
      </c>
      <c r="AU145" s="130">
        <f t="shared" si="180"/>
        <v>2.4194017668058916E-84</v>
      </c>
      <c r="BA145" s="130" t="s">
        <v>11</v>
      </c>
      <c r="BB145" s="130">
        <f t="shared" ref="BB145:BE148" si="181">BB140*BD122</f>
        <v>5.9539828485294597E-5</v>
      </c>
      <c r="BC145" s="130" t="e">
        <f t="shared" si="181"/>
        <v>#DIV/0!</v>
      </c>
      <c r="BD145" s="149">
        <f t="shared" si="181"/>
        <v>3.5605289935256665E-84</v>
      </c>
      <c r="BE145" s="130">
        <f t="shared" si="181"/>
        <v>2.5558506934482201E-84</v>
      </c>
      <c r="BK145" s="130" t="s">
        <v>11</v>
      </c>
      <c r="BL145" s="130">
        <f t="shared" ref="BL145:BO148" si="182">BL140*BN122</f>
        <v>6.385064924522035E-5</v>
      </c>
      <c r="BM145" s="130" t="e">
        <f t="shared" si="182"/>
        <v>#DIV/0!</v>
      </c>
      <c r="BN145" s="149">
        <f t="shared" si="182"/>
        <v>3.8005204702034069E-84</v>
      </c>
      <c r="BO145" s="130">
        <f t="shared" si="182"/>
        <v>2.7326114414221415E-84</v>
      </c>
    </row>
    <row r="146" spans="4:67" x14ac:dyDescent="0.3">
      <c r="D146" s="130" t="s">
        <v>12</v>
      </c>
      <c r="E146" s="130" t="e">
        <f t="shared" si="176"/>
        <v>#DIV/0!</v>
      </c>
      <c r="F146" s="130">
        <f t="shared" si="176"/>
        <v>6.0100361330667979E-5</v>
      </c>
      <c r="G146" s="130">
        <f t="shared" si="176"/>
        <v>2.4525148248496963E-45</v>
      </c>
      <c r="H146" s="130">
        <f t="shared" si="176"/>
        <v>4.9387323188954922E-42</v>
      </c>
      <c r="N146" s="130" t="s">
        <v>12</v>
      </c>
      <c r="O146" s="130" t="e">
        <f t="shared" si="177"/>
        <v>#DIV/0!</v>
      </c>
      <c r="P146" s="130">
        <f t="shared" si="177"/>
        <v>3.2369038623990136E-5</v>
      </c>
      <c r="Q146" s="130">
        <f t="shared" si="177"/>
        <v>7.766849544690028E-85</v>
      </c>
      <c r="R146" s="130">
        <f t="shared" si="177"/>
        <v>6.5067574993683869E-85</v>
      </c>
      <c r="W146" s="130" t="s">
        <v>12</v>
      </c>
      <c r="X146" s="130" t="e">
        <f t="shared" si="178"/>
        <v>#DIV/0!</v>
      </c>
      <c r="Y146" s="130">
        <f t="shared" si="178"/>
        <v>2.8997369060959338E-5</v>
      </c>
      <c r="Z146" s="130">
        <f t="shared" si="178"/>
        <v>7.6615052120340149E-85</v>
      </c>
      <c r="AA146" s="130">
        <f t="shared" si="178"/>
        <v>6.3171415061389976E-85</v>
      </c>
      <c r="AG146" s="130" t="s">
        <v>12</v>
      </c>
      <c r="AH146" s="130" t="e">
        <f t="shared" si="179"/>
        <v>#DIV/0!</v>
      </c>
      <c r="AI146" s="130">
        <f t="shared" si="179"/>
        <v>3.465431239255659E-5</v>
      </c>
      <c r="AJ146" s="130">
        <f t="shared" si="179"/>
        <v>9.066765231685573E-85</v>
      </c>
      <c r="AK146" s="130">
        <f t="shared" si="179"/>
        <v>7.4931449218206011E-85</v>
      </c>
      <c r="AQ146" s="130" t="s">
        <v>12</v>
      </c>
      <c r="AR146" s="130" t="e">
        <f t="shared" si="180"/>
        <v>#DIV/0!</v>
      </c>
      <c r="AS146" s="130">
        <f t="shared" si="180"/>
        <v>3.1361917431437582E-5</v>
      </c>
      <c r="AT146" s="130">
        <f t="shared" si="180"/>
        <v>1.033937769591262E-84</v>
      </c>
      <c r="AU146" s="130">
        <f t="shared" si="180"/>
        <v>8.037473132251367E-85</v>
      </c>
      <c r="BA146" s="130" t="s">
        <v>12</v>
      </c>
      <c r="BB146" s="130" t="e">
        <f t="shared" si="181"/>
        <v>#DIV/0!</v>
      </c>
      <c r="BC146" s="130">
        <f t="shared" si="181"/>
        <v>4.0058816187861574E-5</v>
      </c>
      <c r="BD146" s="130">
        <f t="shared" si="181"/>
        <v>1.0307429653164479E-84</v>
      </c>
      <c r="BE146" s="130">
        <f t="shared" si="181"/>
        <v>8.5475463962612382E-85</v>
      </c>
      <c r="BK146" s="130" t="s">
        <v>12</v>
      </c>
      <c r="BL146" s="130" t="e">
        <f t="shared" si="182"/>
        <v>#DIV/0!</v>
      </c>
      <c r="BM146" s="130">
        <f t="shared" si="182"/>
        <v>4.3087921836597409E-5</v>
      </c>
      <c r="BN146" s="130">
        <f t="shared" si="182"/>
        <v>1.0998531977599884E-84</v>
      </c>
      <c r="BO146" s="130">
        <f t="shared" si="182"/>
        <v>9.1356544079356143E-85</v>
      </c>
    </row>
    <row r="147" spans="4:67" x14ac:dyDescent="0.3">
      <c r="D147" s="130" t="s">
        <v>13</v>
      </c>
      <c r="E147" s="130">
        <f t="shared" si="176"/>
        <v>5.3493166900362476E-61</v>
      </c>
      <c r="F147" s="130">
        <f t="shared" si="176"/>
        <v>1.3035521213623533E-42</v>
      </c>
      <c r="G147" s="130">
        <f t="shared" si="176"/>
        <v>2.5211602042204795E-6</v>
      </c>
      <c r="H147" s="130" t="e">
        <f t="shared" si="176"/>
        <v>#DIV/0!</v>
      </c>
      <c r="N147" s="130" t="s">
        <v>13</v>
      </c>
      <c r="O147" s="130">
        <f t="shared" si="177"/>
        <v>1.0842077008536496E-84</v>
      </c>
      <c r="P147" s="130">
        <f t="shared" si="177"/>
        <v>5.4014553653109105E-85</v>
      </c>
      <c r="Q147" s="130">
        <f t="shared" si="177"/>
        <v>7.9536316480636503E-6</v>
      </c>
      <c r="R147" s="130" t="e">
        <f t="shared" si="177"/>
        <v>#DIV/0!</v>
      </c>
      <c r="W147" s="130" t="s">
        <v>13</v>
      </c>
      <c r="X147" s="130">
        <f t="shared" si="178"/>
        <v>1.1817135110628921E-84</v>
      </c>
      <c r="Y147" s="130">
        <f t="shared" si="178"/>
        <v>5.7063380116373649E-85</v>
      </c>
      <c r="Z147" s="130">
        <f t="shared" si="178"/>
        <v>9.2523614264324029E-6</v>
      </c>
      <c r="AA147" s="130" t="e">
        <f t="shared" si="178"/>
        <v>#DIV/0!</v>
      </c>
      <c r="AG147" s="130" t="s">
        <v>13</v>
      </c>
      <c r="AH147" s="130">
        <f t="shared" si="179"/>
        <v>1.2194362746896448E-84</v>
      </c>
      <c r="AI147" s="130">
        <f t="shared" si="179"/>
        <v>5.9197188376666447E-85</v>
      </c>
      <c r="AJ147" s="130">
        <f t="shared" si="179"/>
        <v>9.5046418210012473E-6</v>
      </c>
      <c r="AK147" s="130" t="e">
        <f t="shared" si="179"/>
        <v>#DIV/0!</v>
      </c>
      <c r="AQ147" s="130" t="s">
        <v>13</v>
      </c>
      <c r="AR147" s="130">
        <f t="shared" si="180"/>
        <v>1.2892373094879743E-84</v>
      </c>
      <c r="AS147" s="130">
        <f t="shared" si="180"/>
        <v>6.0181284014309034E-85</v>
      </c>
      <c r="AT147" s="130">
        <f t="shared" si="180"/>
        <v>1.2175669010220911E-5</v>
      </c>
      <c r="AU147" s="130" t="e">
        <f t="shared" si="180"/>
        <v>#DIV/0!</v>
      </c>
      <c r="BA147" s="130" t="s">
        <v>13</v>
      </c>
      <c r="BB147" s="130">
        <f t="shared" si="181"/>
        <v>1.3640556058682291E-84</v>
      </c>
      <c r="BC147" s="130">
        <f t="shared" si="181"/>
        <v>6.6694788392830341E-85</v>
      </c>
      <c r="BD147" s="130">
        <f t="shared" si="181"/>
        <v>1.0531343012862913E-5</v>
      </c>
      <c r="BE147" s="130" t="e">
        <f t="shared" si="181"/>
        <v>#DIV/0!</v>
      </c>
      <c r="BK147" s="130" t="s">
        <v>13</v>
      </c>
      <c r="BL147" s="130">
        <f t="shared" si="182"/>
        <v>1.4446267938100095E-84</v>
      </c>
      <c r="BM147" s="130">
        <f t="shared" si="182"/>
        <v>7.0869504422926691E-85</v>
      </c>
      <c r="BN147" s="130">
        <f t="shared" si="182"/>
        <v>1.1101410453787807E-5</v>
      </c>
      <c r="BO147" s="130" t="e">
        <f t="shared" si="182"/>
        <v>#DIV/0!</v>
      </c>
    </row>
    <row r="148" spans="4:67" x14ac:dyDescent="0.3">
      <c r="D148" s="130" t="s">
        <v>14</v>
      </c>
      <c r="E148" s="130">
        <f t="shared" si="176"/>
        <v>5.4436253497723147E-57</v>
      </c>
      <c r="F148" s="130">
        <f t="shared" si="176"/>
        <v>1.3281443036967352E-38</v>
      </c>
      <c r="G148" s="130" t="e">
        <f t="shared" si="176"/>
        <v>#DIV/0!</v>
      </c>
      <c r="H148" s="130">
        <f t="shared" si="176"/>
        <v>1.0160202664189934E-5</v>
      </c>
      <c r="N148" s="130" t="s">
        <v>14</v>
      </c>
      <c r="O148" s="130">
        <f t="shared" si="177"/>
        <v>9.0092257808046478E-85</v>
      </c>
      <c r="P148" s="130">
        <f t="shared" si="177"/>
        <v>4.4937894478830473E-85</v>
      </c>
      <c r="Q148" s="130" t="e">
        <f t="shared" si="177"/>
        <v>#DIV/0!</v>
      </c>
      <c r="R148" s="130">
        <f t="shared" si="177"/>
        <v>2.3631086414498124E-5</v>
      </c>
      <c r="W148" s="130" t="s">
        <v>14</v>
      </c>
      <c r="X148" s="130">
        <f t="shared" si="178"/>
        <v>9.5060865963488262E-85</v>
      </c>
      <c r="Y148" s="130">
        <f t="shared" si="178"/>
        <v>4.5959363304748349E-85</v>
      </c>
      <c r="Z148" s="130" t="e">
        <f t="shared" si="178"/>
        <v>#DIV/0!</v>
      </c>
      <c r="AA148" s="130">
        <f t="shared" si="178"/>
        <v>2.6192210998324203E-5</v>
      </c>
      <c r="AG148" s="130" t="s">
        <v>14</v>
      </c>
      <c r="AH148" s="130">
        <f t="shared" si="179"/>
        <v>1.007944294919465E-84</v>
      </c>
      <c r="AI148" s="130">
        <f t="shared" si="179"/>
        <v>4.8989775167459407E-85</v>
      </c>
      <c r="AJ148" s="130" t="e">
        <f t="shared" si="179"/>
        <v>#DIV/0!</v>
      </c>
      <c r="AK148" s="130">
        <f t="shared" si="179"/>
        <v>2.7710760206960242E-5</v>
      </c>
      <c r="AQ148" s="130" t="s">
        <v>14</v>
      </c>
      <c r="AR148" s="130">
        <f t="shared" si="180"/>
        <v>1.0430976619069765E-84</v>
      </c>
      <c r="AS148" s="130">
        <f t="shared" si="180"/>
        <v>4.8750660198740304E-85</v>
      </c>
      <c r="AT148" s="130" t="e">
        <f t="shared" si="180"/>
        <v>#DIV/0!</v>
      </c>
      <c r="AU148" s="130">
        <f t="shared" si="180"/>
        <v>3.2683877665457494E-5</v>
      </c>
      <c r="BA148" s="130" t="s">
        <v>14</v>
      </c>
      <c r="BB148" s="130">
        <f t="shared" si="181"/>
        <v>1.1345212179025551E-84</v>
      </c>
      <c r="BC148" s="130">
        <f t="shared" si="181"/>
        <v>5.5539170856687435E-85</v>
      </c>
      <c r="BD148" s="130" t="e">
        <f t="shared" si="181"/>
        <v>#DIV/0!</v>
      </c>
      <c r="BE148" s="130">
        <f t="shared" si="181"/>
        <v>3.1001227884089356E-5</v>
      </c>
      <c r="BK148" s="130" t="s">
        <v>14</v>
      </c>
      <c r="BL148" s="130">
        <f t="shared" si="182"/>
        <v>1.205193755063611E-84</v>
      </c>
      <c r="BM148" s="130">
        <f t="shared" si="182"/>
        <v>5.9195343911636632E-85</v>
      </c>
      <c r="BN148" s="130" t="e">
        <f t="shared" si="182"/>
        <v>#DIV/0!</v>
      </c>
      <c r="BO148" s="130">
        <f t="shared" si="182"/>
        <v>3.2832791585472504E-5</v>
      </c>
    </row>
    <row r="150" spans="4:67" x14ac:dyDescent="0.3">
      <c r="D150" s="130" t="s">
        <v>215</v>
      </c>
      <c r="E150" s="130" t="s">
        <v>11</v>
      </c>
      <c r="F150" s="130" t="s">
        <v>12</v>
      </c>
      <c r="G150" s="130" t="s">
        <v>13</v>
      </c>
      <c r="H150" s="130" t="s">
        <v>14</v>
      </c>
      <c r="N150" s="130" t="s">
        <v>215</v>
      </c>
      <c r="O150" s="130" t="s">
        <v>11</v>
      </c>
      <c r="P150" s="130" t="s">
        <v>12</v>
      </c>
      <c r="Q150" s="130" t="s">
        <v>13</v>
      </c>
      <c r="R150" s="130" t="s">
        <v>14</v>
      </c>
      <c r="W150" s="130" t="s">
        <v>215</v>
      </c>
      <c r="X150" s="130" t="s">
        <v>11</v>
      </c>
      <c r="Y150" s="130" t="s">
        <v>12</v>
      </c>
      <c r="Z150" s="130" t="s">
        <v>13</v>
      </c>
      <c r="AA150" s="130" t="s">
        <v>14</v>
      </c>
      <c r="AG150" s="130" t="s">
        <v>215</v>
      </c>
      <c r="AH150" s="130" t="s">
        <v>11</v>
      </c>
      <c r="AI150" s="130" t="s">
        <v>12</v>
      </c>
      <c r="AJ150" s="130" t="s">
        <v>13</v>
      </c>
      <c r="AK150" s="130" t="s">
        <v>14</v>
      </c>
      <c r="AQ150" s="130" t="s">
        <v>215</v>
      </c>
      <c r="AR150" s="130" t="s">
        <v>11</v>
      </c>
      <c r="AS150" s="130" t="s">
        <v>12</v>
      </c>
      <c r="AT150" s="130" t="s">
        <v>13</v>
      </c>
      <c r="AU150" s="130" t="s">
        <v>14</v>
      </c>
      <c r="BA150" s="130" t="s">
        <v>215</v>
      </c>
      <c r="BB150" s="130" t="s">
        <v>11</v>
      </c>
      <c r="BC150" s="130" t="s">
        <v>12</v>
      </c>
      <c r="BD150" s="130" t="s">
        <v>13</v>
      </c>
      <c r="BE150" s="130" t="s">
        <v>14</v>
      </c>
      <c r="BK150" s="130" t="s">
        <v>215</v>
      </c>
      <c r="BL150" s="130" t="s">
        <v>11</v>
      </c>
      <c r="BM150" s="130" t="s">
        <v>12</v>
      </c>
      <c r="BN150" s="130" t="s">
        <v>13</v>
      </c>
      <c r="BO150" s="130" t="s">
        <v>14</v>
      </c>
    </row>
    <row r="151" spans="4:67" x14ac:dyDescent="0.3">
      <c r="D151" s="130" t="s">
        <v>11</v>
      </c>
      <c r="E151" s="130">
        <f>'Mode Choice Q'!Q38</f>
        <v>0.99999993105798646</v>
      </c>
      <c r="F151" s="130" t="e">
        <f>'Mode Choice Q'!R38</f>
        <v>#DIV/0!</v>
      </c>
      <c r="G151" s="130">
        <f>'Mode Choice Q'!S38</f>
        <v>6.1959925039510885E-46</v>
      </c>
      <c r="H151" s="130">
        <f>'Mode Choice Q'!T38</f>
        <v>6.6836337179395101E-42</v>
      </c>
      <c r="N151" s="130" t="s">
        <v>11</v>
      </c>
      <c r="O151" s="130">
        <v>0.99999993105798646</v>
      </c>
      <c r="P151" s="130" t="e">
        <v>#DIV/0!</v>
      </c>
      <c r="Q151" s="130">
        <v>1.2566411811040502E-62</v>
      </c>
      <c r="R151" s="130">
        <v>1.2566411811040502E-62</v>
      </c>
      <c r="W151" s="130" t="s">
        <v>11</v>
      </c>
      <c r="X151" s="130">
        <v>0.99999993105798646</v>
      </c>
      <c r="Y151" s="130" t="e">
        <v>#DIV/0!</v>
      </c>
      <c r="Z151" s="130">
        <v>1.2566411811040502E-62</v>
      </c>
      <c r="AA151" s="130">
        <v>1.2566411811040502E-62</v>
      </c>
      <c r="AG151" s="130" t="s">
        <v>11</v>
      </c>
      <c r="AH151" s="130">
        <v>0.99999993105798646</v>
      </c>
      <c r="AI151" s="130" t="e">
        <v>#DIV/0!</v>
      </c>
      <c r="AJ151" s="130">
        <v>1.2566411811040502E-62</v>
      </c>
      <c r="AK151" s="130">
        <v>1.2566411811040502E-62</v>
      </c>
      <c r="AQ151" s="130" t="s">
        <v>11</v>
      </c>
      <c r="AR151" s="130">
        <v>0.99999993105798646</v>
      </c>
      <c r="AS151" s="130" t="e">
        <v>#DIV/0!</v>
      </c>
      <c r="AT151" s="130">
        <v>1.2566411811040502E-62</v>
      </c>
      <c r="AU151" s="130">
        <v>1.2566411811040502E-62</v>
      </c>
      <c r="BA151" s="130" t="s">
        <v>11</v>
      </c>
      <c r="BB151" s="130">
        <v>0.99999993105798646</v>
      </c>
      <c r="BC151" s="130" t="e">
        <v>#DIV/0!</v>
      </c>
      <c r="BD151" s="130">
        <v>1.2566411811040502E-62</v>
      </c>
      <c r="BE151" s="130">
        <v>1.2566411811040502E-62</v>
      </c>
      <c r="BK151" s="130" t="s">
        <v>11</v>
      </c>
      <c r="BL151" s="130">
        <v>0.99999993105798646</v>
      </c>
      <c r="BM151" s="130" t="e">
        <v>#DIV/0!</v>
      </c>
      <c r="BN151" s="130">
        <v>1.2566411811040502E-62</v>
      </c>
      <c r="BO151" s="130">
        <v>1.2566411811040502E-62</v>
      </c>
    </row>
    <row r="152" spans="4:67" x14ac:dyDescent="0.3">
      <c r="D152" s="130" t="s">
        <v>12</v>
      </c>
      <c r="E152" s="130" t="e">
        <f>'Mode Choice Q'!Q39</f>
        <v>#DIV/0!</v>
      </c>
      <c r="F152" s="130">
        <f>'Mode Choice Q'!R39</f>
        <v>0.99999993105798646</v>
      </c>
      <c r="G152" s="130">
        <f>'Mode Choice Q'!S39</f>
        <v>2.4289439709256079E-26</v>
      </c>
      <c r="H152" s="130">
        <f>'Mode Choice Q'!T39</f>
        <v>4.886873291111737E-23</v>
      </c>
      <c r="N152" s="130" t="s">
        <v>12</v>
      </c>
      <c r="O152" s="130" t="e">
        <v>#DIV/0!</v>
      </c>
      <c r="P152" s="130">
        <v>0.99999993105798646</v>
      </c>
      <c r="Q152" s="130">
        <v>4.8490499747811821E-66</v>
      </c>
      <c r="R152" s="130">
        <v>4.8490499747811821E-66</v>
      </c>
      <c r="W152" s="130" t="s">
        <v>12</v>
      </c>
      <c r="X152" s="130" t="e">
        <v>#DIV/0!</v>
      </c>
      <c r="Y152" s="130">
        <v>0.99999993105798646</v>
      </c>
      <c r="Z152" s="130">
        <v>4.8490499747811821E-66</v>
      </c>
      <c r="AA152" s="130">
        <v>4.8490499747811821E-66</v>
      </c>
      <c r="AG152" s="130" t="s">
        <v>12</v>
      </c>
      <c r="AH152" s="130" t="e">
        <v>#DIV/0!</v>
      </c>
      <c r="AI152" s="130">
        <v>0.99999993105798646</v>
      </c>
      <c r="AJ152" s="130">
        <v>4.8490499747811821E-66</v>
      </c>
      <c r="AK152" s="130">
        <v>4.8490499747811821E-66</v>
      </c>
      <c r="AQ152" s="130" t="s">
        <v>12</v>
      </c>
      <c r="AR152" s="130" t="e">
        <v>#DIV/0!</v>
      </c>
      <c r="AS152" s="130">
        <v>0.99999993105798646</v>
      </c>
      <c r="AT152" s="130">
        <v>4.8490499747811821E-66</v>
      </c>
      <c r="AU152" s="130">
        <v>4.8490499747811821E-66</v>
      </c>
      <c r="BA152" s="130" t="s">
        <v>12</v>
      </c>
      <c r="BB152" s="130" t="e">
        <v>#DIV/0!</v>
      </c>
      <c r="BC152" s="130">
        <v>0.99999993105798646</v>
      </c>
      <c r="BD152" s="130">
        <v>4.8490499747811821E-66</v>
      </c>
      <c r="BE152" s="130">
        <v>4.8490499747811821E-66</v>
      </c>
      <c r="BK152" s="130" t="s">
        <v>12</v>
      </c>
      <c r="BL152" s="130" t="e">
        <v>#DIV/0!</v>
      </c>
      <c r="BM152" s="130">
        <v>0.99999993105798646</v>
      </c>
      <c r="BN152" s="130">
        <v>4.8490499747811821E-66</v>
      </c>
      <c r="BO152" s="130">
        <v>4.8490499747811821E-66</v>
      </c>
    </row>
    <row r="153" spans="4:67" x14ac:dyDescent="0.3">
      <c r="D153" s="130" t="s">
        <v>13</v>
      </c>
      <c r="E153" s="130">
        <f>'Mode Choice Q'!Q40</f>
        <v>5.2901087541272986E-39</v>
      </c>
      <c r="F153" s="130">
        <f>'Mode Choice Q'!R40</f>
        <v>1.2534237788652455E-23</v>
      </c>
      <c r="G153" s="130">
        <f>'Mode Choice Q'!S40</f>
        <v>0.99999993105798646</v>
      </c>
      <c r="H153" s="130" t="e">
        <f>'Mode Choice Q'!T40</f>
        <v>#DIV/0!</v>
      </c>
      <c r="N153" s="130" t="s">
        <v>13</v>
      </c>
      <c r="O153" s="130">
        <v>1.2566411811040502E-62</v>
      </c>
      <c r="P153" s="130">
        <v>4.8490499747811821E-66</v>
      </c>
      <c r="Q153" s="130">
        <v>0.99999993105798646</v>
      </c>
      <c r="R153" s="130" t="e">
        <v>#DIV/0!</v>
      </c>
      <c r="W153" s="130" t="s">
        <v>13</v>
      </c>
      <c r="X153" s="130">
        <v>1.2566411811040502E-62</v>
      </c>
      <c r="Y153" s="130">
        <v>4.8490499747811821E-66</v>
      </c>
      <c r="Z153" s="130">
        <v>0.99999993105798646</v>
      </c>
      <c r="AA153" s="130" t="e">
        <v>#DIV/0!</v>
      </c>
      <c r="AG153" s="130" t="s">
        <v>13</v>
      </c>
      <c r="AH153" s="130">
        <v>1.2566411811040502E-62</v>
      </c>
      <c r="AI153" s="130">
        <v>4.8490499747811821E-66</v>
      </c>
      <c r="AJ153" s="130">
        <v>0.99999993105798646</v>
      </c>
      <c r="AK153" s="130" t="e">
        <v>#DIV/0!</v>
      </c>
      <c r="AQ153" s="130" t="s">
        <v>13</v>
      </c>
      <c r="AR153" s="130">
        <v>1.2566411811040502E-62</v>
      </c>
      <c r="AS153" s="130">
        <v>4.8490499747811821E-66</v>
      </c>
      <c r="AT153" s="130">
        <v>0.99999993105798646</v>
      </c>
      <c r="AU153" s="130" t="e">
        <v>#DIV/0!</v>
      </c>
      <c r="BA153" s="130" t="s">
        <v>13</v>
      </c>
      <c r="BB153" s="130">
        <v>1.2566411811040502E-62</v>
      </c>
      <c r="BC153" s="130">
        <v>4.8490499747811821E-66</v>
      </c>
      <c r="BD153" s="130">
        <v>0.99999993105798646</v>
      </c>
      <c r="BE153" s="130" t="e">
        <v>#DIV/0!</v>
      </c>
      <c r="BK153" s="130" t="s">
        <v>13</v>
      </c>
      <c r="BL153" s="130">
        <v>1.2566411811040502E-62</v>
      </c>
      <c r="BM153" s="130">
        <v>4.8490499747811821E-66</v>
      </c>
      <c r="BN153" s="130">
        <v>0.99999993105798646</v>
      </c>
      <c r="BO153" s="130" t="e">
        <v>#DIV/0!</v>
      </c>
    </row>
    <row r="154" spans="4:67" x14ac:dyDescent="0.3">
      <c r="D154" s="130" t="s">
        <v>14</v>
      </c>
      <c r="E154" s="130">
        <f>'Mode Choice Q'!Q41</f>
        <v>5.7064544894312733E-35</v>
      </c>
      <c r="F154" s="130">
        <f>'Mode Choice Q'!R41</f>
        <v>1.3520715891681975E-19</v>
      </c>
      <c r="G154" s="130" t="e">
        <f>'Mode Choice Q'!S41</f>
        <v>#DIV/0!</v>
      </c>
      <c r="H154" s="130">
        <f>'Mode Choice Q'!T41</f>
        <v>0.99999993105798646</v>
      </c>
      <c r="N154" s="130" t="s">
        <v>14</v>
      </c>
      <c r="O154" s="130">
        <v>1.2566411811040502E-62</v>
      </c>
      <c r="P154" s="130">
        <v>4.8490499747811821E-66</v>
      </c>
      <c r="Q154" s="130" t="e">
        <v>#DIV/0!</v>
      </c>
      <c r="R154" s="130">
        <v>0.99999993105798646</v>
      </c>
      <c r="W154" s="130" t="s">
        <v>14</v>
      </c>
      <c r="X154" s="130">
        <v>1.2566411811040502E-62</v>
      </c>
      <c r="Y154" s="130">
        <v>4.8490499747811821E-66</v>
      </c>
      <c r="Z154" s="130" t="e">
        <v>#DIV/0!</v>
      </c>
      <c r="AA154" s="130">
        <v>0.99999993105798646</v>
      </c>
      <c r="AG154" s="130" t="s">
        <v>14</v>
      </c>
      <c r="AH154" s="130">
        <v>1.2566411811040502E-62</v>
      </c>
      <c r="AI154" s="130">
        <v>4.8490499747811821E-66</v>
      </c>
      <c r="AJ154" s="130" t="e">
        <v>#DIV/0!</v>
      </c>
      <c r="AK154" s="130">
        <v>0.99999993105798646</v>
      </c>
      <c r="AQ154" s="130" t="s">
        <v>14</v>
      </c>
      <c r="AR154" s="130">
        <v>1.2566411811040502E-62</v>
      </c>
      <c r="AS154" s="130">
        <v>4.8490499747811821E-66</v>
      </c>
      <c r="AT154" s="130" t="e">
        <v>#DIV/0!</v>
      </c>
      <c r="AU154" s="130">
        <v>0.99999993105798646</v>
      </c>
      <c r="BA154" s="130" t="s">
        <v>14</v>
      </c>
      <c r="BB154" s="130">
        <v>1.2566411811040502E-62</v>
      </c>
      <c r="BC154" s="130">
        <v>4.8490499747811821E-66</v>
      </c>
      <c r="BD154" s="130" t="e">
        <v>#DIV/0!</v>
      </c>
      <c r="BE154" s="130">
        <v>0.99999993105798646</v>
      </c>
      <c r="BK154" s="130" t="s">
        <v>14</v>
      </c>
      <c r="BL154" s="130">
        <v>1.2566411811040502E-62</v>
      </c>
      <c r="BM154" s="130">
        <v>4.8490499747811821E-66</v>
      </c>
      <c r="BN154" s="130" t="e">
        <v>#DIV/0!</v>
      </c>
      <c r="BO154" s="130">
        <v>0.99999993105798646</v>
      </c>
    </row>
    <row r="155" spans="4:67" x14ac:dyDescent="0.3">
      <c r="D155" s="130" t="s">
        <v>199</v>
      </c>
      <c r="E155" s="130" t="s">
        <v>11</v>
      </c>
      <c r="F155" s="130" t="s">
        <v>12</v>
      </c>
      <c r="G155" s="130" t="s">
        <v>13</v>
      </c>
      <c r="H155" s="130" t="s">
        <v>14</v>
      </c>
      <c r="N155" s="130" t="s">
        <v>199</v>
      </c>
      <c r="O155" s="130" t="s">
        <v>11</v>
      </c>
      <c r="P155" s="130" t="s">
        <v>12</v>
      </c>
      <c r="Q155" s="130" t="s">
        <v>13</v>
      </c>
      <c r="R155" s="130" t="s">
        <v>14</v>
      </c>
      <c r="W155" s="130" t="s">
        <v>199</v>
      </c>
      <c r="X155" s="130" t="s">
        <v>11</v>
      </c>
      <c r="Y155" s="130" t="s">
        <v>12</v>
      </c>
      <c r="Z155" s="130" t="s">
        <v>13</v>
      </c>
      <c r="AA155" s="130" t="s">
        <v>14</v>
      </c>
      <c r="AG155" s="130" t="s">
        <v>199</v>
      </c>
      <c r="AH155" s="130" t="s">
        <v>11</v>
      </c>
      <c r="AI155" s="130" t="s">
        <v>12</v>
      </c>
      <c r="AJ155" s="130" t="s">
        <v>13</v>
      </c>
      <c r="AK155" s="130" t="s">
        <v>14</v>
      </c>
      <c r="AQ155" s="130" t="s">
        <v>199</v>
      </c>
      <c r="AR155" s="130" t="s">
        <v>11</v>
      </c>
      <c r="AS155" s="130" t="s">
        <v>12</v>
      </c>
      <c r="AT155" s="130" t="s">
        <v>13</v>
      </c>
      <c r="AU155" s="130" t="s">
        <v>14</v>
      </c>
      <c r="BA155" s="130" t="s">
        <v>199</v>
      </c>
      <c r="BB155" s="130" t="s">
        <v>11</v>
      </c>
      <c r="BC155" s="130" t="s">
        <v>12</v>
      </c>
      <c r="BD155" s="130" t="s">
        <v>13</v>
      </c>
      <c r="BE155" s="130" t="s">
        <v>14</v>
      </c>
      <c r="BK155" s="130" t="s">
        <v>199</v>
      </c>
      <c r="BL155" s="130" t="s">
        <v>11</v>
      </c>
      <c r="BM155" s="130" t="s">
        <v>12</v>
      </c>
      <c r="BN155" s="130" t="s">
        <v>13</v>
      </c>
      <c r="BO155" s="130" t="s">
        <v>14</v>
      </c>
    </row>
    <row r="156" spans="4:67" x14ac:dyDescent="0.3">
      <c r="D156" s="130" t="s">
        <v>11</v>
      </c>
      <c r="E156" s="148">
        <f t="shared" ref="E156:H159" si="183">E151*E122</f>
        <v>1249.405039058794</v>
      </c>
      <c r="F156" s="130" t="e">
        <f t="shared" si="183"/>
        <v>#DIV/0!</v>
      </c>
      <c r="G156" s="130">
        <f t="shared" si="183"/>
        <v>2.658999120267256E-43</v>
      </c>
      <c r="H156" s="130">
        <f t="shared" si="183"/>
        <v>2.4850783287422747E-39</v>
      </c>
      <c r="N156" s="130" t="s">
        <v>11</v>
      </c>
      <c r="O156" s="148">
        <f t="shared" ref="O156:R159" si="184">O151*P122</f>
        <v>684.43854077512481</v>
      </c>
      <c r="P156" s="130" t="e">
        <f t="shared" si="184"/>
        <v>#DIV/0!</v>
      </c>
      <c r="Q156" s="130">
        <f t="shared" si="184"/>
        <v>1.0923136011291446E-59</v>
      </c>
      <c r="R156" s="130">
        <f t="shared" si="184"/>
        <v>7.9213086594958517E-60</v>
      </c>
      <c r="W156" s="130" t="s">
        <v>11</v>
      </c>
      <c r="X156" s="148">
        <f t="shared" ref="X156:AA159" si="185">X151*Z122</f>
        <v>636.71933459088746</v>
      </c>
      <c r="Y156" s="130" t="e">
        <f t="shared" si="185"/>
        <v>#DIV/0!</v>
      </c>
      <c r="Z156" s="130">
        <f t="shared" si="185"/>
        <v>1.0845468681093075E-59</v>
      </c>
      <c r="AA156" s="130">
        <f t="shared" si="185"/>
        <v>7.7407794618925019E-60</v>
      </c>
      <c r="AG156" s="130" t="s">
        <v>11</v>
      </c>
      <c r="AH156" s="148">
        <f t="shared" ref="AH156:AK159" si="186">AH151*AJ122</f>
        <v>751.92700182305759</v>
      </c>
      <c r="AI156" s="130" t="e">
        <f t="shared" si="186"/>
        <v>#DIV/0!</v>
      </c>
      <c r="AJ156" s="130">
        <f t="shared" si="186"/>
        <v>1.2750059883010526E-59</v>
      </c>
      <c r="AK156" s="130">
        <f t="shared" si="186"/>
        <v>9.1212393462357953E-60</v>
      </c>
      <c r="AQ156" s="130" t="s">
        <v>11</v>
      </c>
      <c r="AR156" s="148">
        <f t="shared" ref="AR156:AU159" si="187">AR151*AT122</f>
        <v>712.94129093643278</v>
      </c>
      <c r="AS156" s="130" t="e">
        <f t="shared" si="187"/>
        <v>#DIV/0!</v>
      </c>
      <c r="AT156" s="130">
        <f t="shared" si="187"/>
        <v>1.4647841601307667E-59</v>
      </c>
      <c r="AU156" s="130">
        <f t="shared" si="187"/>
        <v>9.8566340946044929E-60</v>
      </c>
      <c r="BA156" s="130" t="s">
        <v>11</v>
      </c>
      <c r="BB156" s="148">
        <f t="shared" ref="BB156:BE159" si="188">BB151*BD122</f>
        <v>863.62177881149159</v>
      </c>
      <c r="BC156" s="130" t="e">
        <f t="shared" si="188"/>
        <v>#DIV/0!</v>
      </c>
      <c r="BD156" s="130">
        <f t="shared" si="188"/>
        <v>1.4505582311260898E-59</v>
      </c>
      <c r="BE156" s="130">
        <f t="shared" si="188"/>
        <v>1.0412526530894867E-59</v>
      </c>
      <c r="BK156" s="130" t="s">
        <v>11</v>
      </c>
      <c r="BL156" s="148">
        <f t="shared" ref="BL156:BO159" si="189">BL151*BN122</f>
        <v>926.14998535048232</v>
      </c>
      <c r="BM156" s="130" t="e">
        <f t="shared" si="189"/>
        <v>#DIV/0!</v>
      </c>
      <c r="BN156" s="130">
        <f t="shared" si="189"/>
        <v>1.5483306723919838E-59</v>
      </c>
      <c r="BO156" s="130">
        <f t="shared" si="189"/>
        <v>1.1132649182275622E-59</v>
      </c>
    </row>
    <row r="157" spans="4:67" x14ac:dyDescent="0.3">
      <c r="D157" s="130" t="s">
        <v>12</v>
      </c>
      <c r="E157" s="130" t="e">
        <f t="shared" si="183"/>
        <v>#DIV/0!</v>
      </c>
      <c r="F157" s="148">
        <f t="shared" si="183"/>
        <v>871.75227541047309</v>
      </c>
      <c r="G157" s="130">
        <f t="shared" si="183"/>
        <v>1.428905230547809E-23</v>
      </c>
      <c r="H157" s="130">
        <f t="shared" si="183"/>
        <v>2.8774465994014001E-20</v>
      </c>
      <c r="N157" s="130" t="s">
        <v>12</v>
      </c>
      <c r="O157" s="130" t="e">
        <f t="shared" si="184"/>
        <v>#DIV/0!</v>
      </c>
      <c r="P157" s="148">
        <f t="shared" si="184"/>
        <v>469.51103867846359</v>
      </c>
      <c r="Q157" s="130">
        <f t="shared" si="184"/>
        <v>4.5251885235660517E-63</v>
      </c>
      <c r="R157" s="130">
        <f t="shared" si="184"/>
        <v>3.79102288416278E-63</v>
      </c>
      <c r="W157" s="130" t="s">
        <v>12</v>
      </c>
      <c r="X157" s="130" t="e">
        <f t="shared" si="185"/>
        <v>#DIV/0!</v>
      </c>
      <c r="Y157" s="148">
        <f t="shared" si="185"/>
        <v>420.60516609422524</v>
      </c>
      <c r="Z157" s="130">
        <f t="shared" si="185"/>
        <v>4.4638119045888469E-63</v>
      </c>
      <c r="AA157" s="130">
        <f t="shared" si="185"/>
        <v>3.6805471872268411E-63</v>
      </c>
      <c r="AG157" s="130" t="s">
        <v>12</v>
      </c>
      <c r="AH157" s="130" t="e">
        <f t="shared" si="186"/>
        <v>#DIV/0!</v>
      </c>
      <c r="AI157" s="148">
        <f t="shared" si="186"/>
        <v>502.65880291107391</v>
      </c>
      <c r="AJ157" s="130">
        <f t="shared" si="186"/>
        <v>5.2825565547798566E-63</v>
      </c>
      <c r="AK157" s="130">
        <f t="shared" si="186"/>
        <v>4.3657203877242191E-63</v>
      </c>
      <c r="AQ157" s="130" t="s">
        <v>12</v>
      </c>
      <c r="AR157" s="130" t="e">
        <f t="shared" si="187"/>
        <v>#DIV/0!</v>
      </c>
      <c r="AS157" s="148">
        <f t="shared" si="187"/>
        <v>454.9028038561915</v>
      </c>
      <c r="AT157" s="130">
        <f t="shared" si="187"/>
        <v>6.0240169480746475E-63</v>
      </c>
      <c r="AU157" s="130">
        <f t="shared" si="187"/>
        <v>4.6828615601805026E-63</v>
      </c>
      <c r="BA157" s="130" t="s">
        <v>12</v>
      </c>
      <c r="BB157" s="130" t="e">
        <f t="shared" si="188"/>
        <v>#DIV/0!</v>
      </c>
      <c r="BC157" s="148">
        <f t="shared" si="188"/>
        <v>581.05081881094395</v>
      </c>
      <c r="BD157" s="130">
        <f t="shared" si="188"/>
        <v>6.0054031052851835E-63</v>
      </c>
      <c r="BE157" s="130">
        <f t="shared" si="188"/>
        <v>4.9800448218355948E-63</v>
      </c>
      <c r="BK157" s="130" t="s">
        <v>12</v>
      </c>
      <c r="BL157" s="130" t="e">
        <f t="shared" si="189"/>
        <v>#DIV/0!</v>
      </c>
      <c r="BM157" s="148">
        <f t="shared" si="189"/>
        <v>624.98782157230198</v>
      </c>
      <c r="BN157" s="130">
        <f t="shared" si="189"/>
        <v>6.4080590714076389E-63</v>
      </c>
      <c r="BO157" s="130">
        <f t="shared" si="189"/>
        <v>5.3226933577359183E-63</v>
      </c>
    </row>
    <row r="158" spans="4:67" x14ac:dyDescent="0.3">
      <c r="D158" s="130" t="s">
        <v>13</v>
      </c>
      <c r="E158" s="130">
        <f t="shared" si="183"/>
        <v>2.1793096952002995E-36</v>
      </c>
      <c r="F158" s="130">
        <f t="shared" si="183"/>
        <v>7.5948672180626381E-21</v>
      </c>
      <c r="G158" s="148">
        <f t="shared" si="183"/>
        <v>36.569283379366802</v>
      </c>
      <c r="H158" s="130" t="e">
        <f t="shared" si="183"/>
        <v>#DIV/0!</v>
      </c>
      <c r="N158" s="130" t="s">
        <v>13</v>
      </c>
      <c r="O158" s="130">
        <f t="shared" si="184"/>
        <v>4.4170582730355675E-60</v>
      </c>
      <c r="P158" s="130">
        <f t="shared" si="184"/>
        <v>3.147042271002908E-63</v>
      </c>
      <c r="Q158" s="148">
        <f t="shared" si="184"/>
        <v>115.36696840852713</v>
      </c>
      <c r="R158" s="130" t="e">
        <f t="shared" si="184"/>
        <v>#DIV/0!</v>
      </c>
      <c r="W158" s="130" t="s">
        <v>13</v>
      </c>
      <c r="X158" s="130">
        <f t="shared" si="185"/>
        <v>4.8142965930684056E-60</v>
      </c>
      <c r="Y158" s="130">
        <f t="shared" si="185"/>
        <v>3.3246756143878265E-63</v>
      </c>
      <c r="Z158" s="148">
        <f t="shared" si="185"/>
        <v>134.20496895243693</v>
      </c>
      <c r="AA158" s="130" t="e">
        <f t="shared" si="185"/>
        <v>#DIV/0!</v>
      </c>
      <c r="AG158" s="130" t="s">
        <v>13</v>
      </c>
      <c r="AH158" s="130">
        <f t="shared" si="186"/>
        <v>4.967978996382939E-60</v>
      </c>
      <c r="AI158" s="130">
        <f t="shared" si="186"/>
        <v>3.4489973821188477E-63</v>
      </c>
      <c r="AJ158" s="148">
        <f t="shared" si="186"/>
        <v>137.86428152789426</v>
      </c>
      <c r="AK158" s="130" t="e">
        <f t="shared" si="186"/>
        <v>#DIV/0!</v>
      </c>
      <c r="AQ158" s="130" t="s">
        <v>13</v>
      </c>
      <c r="AR158" s="130">
        <f t="shared" si="187"/>
        <v>5.2523481610546653E-60</v>
      </c>
      <c r="AS158" s="130">
        <f t="shared" si="187"/>
        <v>3.5063336065419946E-63</v>
      </c>
      <c r="AT158" s="148">
        <f t="shared" si="187"/>
        <v>176.60737688258573</v>
      </c>
      <c r="AU158" s="130" t="e">
        <f t="shared" si="187"/>
        <v>#DIV/0!</v>
      </c>
      <c r="BA158" s="130" t="s">
        <v>13</v>
      </c>
      <c r="BB158" s="130">
        <f t="shared" si="188"/>
        <v>5.5571576313624574E-60</v>
      </c>
      <c r="BC158" s="130">
        <f t="shared" si="188"/>
        <v>3.8858289874204994E-63</v>
      </c>
      <c r="BD158" s="148">
        <f t="shared" si="188"/>
        <v>152.75652311106319</v>
      </c>
      <c r="BE158" s="130" t="e">
        <f t="shared" si="188"/>
        <v>#DIV/0!</v>
      </c>
      <c r="BK158" s="130" t="s">
        <v>13</v>
      </c>
      <c r="BL158" s="130">
        <f t="shared" si="189"/>
        <v>5.8854043611969142E-60</v>
      </c>
      <c r="BM158" s="130">
        <f t="shared" si="189"/>
        <v>4.1290598747943218E-63</v>
      </c>
      <c r="BN158" s="148">
        <f t="shared" si="189"/>
        <v>161.02531846870633</v>
      </c>
      <c r="BO158" s="130" t="e">
        <f t="shared" si="189"/>
        <v>#DIV/0!</v>
      </c>
    </row>
    <row r="159" spans="4:67" x14ac:dyDescent="0.3">
      <c r="D159" s="130" t="s">
        <v>14</v>
      </c>
      <c r="E159" s="130">
        <f t="shared" si="183"/>
        <v>2.2177310092509289E-32</v>
      </c>
      <c r="F159" s="130">
        <f t="shared" si="183"/>
        <v>7.7381483008603232E-17</v>
      </c>
      <c r="G159" s="130" t="e">
        <f t="shared" si="183"/>
        <v>#DIV/0!</v>
      </c>
      <c r="H159" s="148">
        <f t="shared" si="183"/>
        <v>147.37315375539163</v>
      </c>
      <c r="N159" s="130" t="s">
        <v>14</v>
      </c>
      <c r="O159" s="130">
        <f t="shared" si="184"/>
        <v>3.6703553421928766E-60</v>
      </c>
      <c r="P159" s="130">
        <f t="shared" si="184"/>
        <v>2.6182101661522739E-63</v>
      </c>
      <c r="Q159" s="130" t="e">
        <f t="shared" si="184"/>
        <v>#DIV/0!</v>
      </c>
      <c r="R159" s="148">
        <f t="shared" si="184"/>
        <v>342.76754575430925</v>
      </c>
      <c r="W159" s="130" t="s">
        <v>14</v>
      </c>
      <c r="X159" s="130">
        <f t="shared" si="185"/>
        <v>3.8727762597088327E-60</v>
      </c>
      <c r="Y159" s="130">
        <f t="shared" si="185"/>
        <v>2.6777238593380034E-63</v>
      </c>
      <c r="Z159" s="130" t="e">
        <f t="shared" si="185"/>
        <v>#DIV/0!</v>
      </c>
      <c r="AA159" s="148">
        <f t="shared" si="185"/>
        <v>379.91651015530698</v>
      </c>
      <c r="AG159" s="130" t="s">
        <v>14</v>
      </c>
      <c r="AH159" s="130">
        <f t="shared" si="186"/>
        <v>4.1063614316035854E-60</v>
      </c>
      <c r="AI159" s="130">
        <f t="shared" si="186"/>
        <v>2.8542843154652089E-63</v>
      </c>
      <c r="AJ159" s="130" t="e">
        <f t="shared" si="186"/>
        <v>#DIV/0!</v>
      </c>
      <c r="AK159" s="148">
        <f t="shared" si="186"/>
        <v>401.94297885934344</v>
      </c>
      <c r="AQ159" s="130" t="s">
        <v>14</v>
      </c>
      <c r="AR159" s="130">
        <f t="shared" si="187"/>
        <v>4.2495761222527921E-60</v>
      </c>
      <c r="AS159" s="130">
        <f t="shared" si="187"/>
        <v>2.8403527939900656E-63</v>
      </c>
      <c r="AT159" s="130" t="e">
        <f t="shared" si="187"/>
        <v>#DIV/0!</v>
      </c>
      <c r="AU159" s="148">
        <f t="shared" si="187"/>
        <v>474.07776081973577</v>
      </c>
      <c r="BA159" s="130" t="s">
        <v>14</v>
      </c>
      <c r="BB159" s="130">
        <f t="shared" si="188"/>
        <v>4.6220353604989795E-60</v>
      </c>
      <c r="BC159" s="130">
        <f t="shared" si="188"/>
        <v>3.2358708266839019E-63</v>
      </c>
      <c r="BD159" s="130" t="e">
        <f t="shared" si="188"/>
        <v>#DIV/0!</v>
      </c>
      <c r="BE159" s="148">
        <f t="shared" si="188"/>
        <v>449.67102277108938</v>
      </c>
      <c r="BK159" s="130" t="s">
        <v>14</v>
      </c>
      <c r="BL159" s="130">
        <f t="shared" si="189"/>
        <v>4.9099550226613804E-60</v>
      </c>
      <c r="BM159" s="130">
        <f t="shared" si="189"/>
        <v>3.4488899183146754E-63</v>
      </c>
      <c r="BN159" s="130" t="e">
        <f t="shared" si="189"/>
        <v>#DIV/0!</v>
      </c>
      <c r="BO159" s="148">
        <f t="shared" si="189"/>
        <v>476.23774864242358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608DB-259A-422B-A8BE-51960906DA7E}">
  <dimension ref="A1:X60"/>
  <sheetViews>
    <sheetView topLeftCell="A24" zoomScale="62" zoomScaleNormal="62" workbookViewId="0">
      <selection activeCell="I55" sqref="I55"/>
    </sheetView>
  </sheetViews>
  <sheetFormatPr defaultColWidth="11.44140625" defaultRowHeight="14.4" x14ac:dyDescent="0.3"/>
  <cols>
    <col min="1" max="3" width="11" bestFit="1" customWidth="1"/>
    <col min="4" max="4" width="11" customWidth="1"/>
    <col min="5" max="5" width="11" bestFit="1" customWidth="1"/>
    <col min="6" max="6" width="16.6640625" customWidth="1"/>
    <col min="7" max="7" width="12" bestFit="1" customWidth="1"/>
    <col min="8" max="8" width="11" bestFit="1" customWidth="1"/>
    <col min="9" max="9" width="11" customWidth="1"/>
    <col min="10" max="10" width="15" customWidth="1"/>
    <col min="11" max="11" width="18.5546875" style="199" customWidth="1"/>
    <col min="12" max="12" width="12" style="199" bestFit="1" customWidth="1"/>
    <col min="13" max="13" width="12" style="199" customWidth="1"/>
    <col min="14" max="14" width="12.33203125" style="199" bestFit="1" customWidth="1"/>
    <col min="15" max="15" width="11.44140625" style="199"/>
    <col min="16" max="16" width="15.5546875" style="199" customWidth="1"/>
    <col min="17" max="17" width="12" bestFit="1" customWidth="1"/>
  </cols>
  <sheetData>
    <row r="1" spans="1:24" x14ac:dyDescent="0.3">
      <c r="A1" s="250" t="s">
        <v>193</v>
      </c>
      <c r="B1" s="171" t="s">
        <v>4</v>
      </c>
      <c r="C1" s="171" t="s">
        <v>225</v>
      </c>
      <c r="D1" s="171" t="s">
        <v>28</v>
      </c>
      <c r="E1" s="251" t="s">
        <v>4</v>
      </c>
      <c r="F1" s="252"/>
      <c r="G1" s="252" t="s">
        <v>225</v>
      </c>
      <c r="H1" s="252"/>
      <c r="I1" s="174" t="s">
        <v>28</v>
      </c>
      <c r="J1" s="253" t="s">
        <v>226</v>
      </c>
      <c r="K1" s="254"/>
      <c r="L1" s="255"/>
      <c r="M1" s="253" t="s">
        <v>227</v>
      </c>
      <c r="N1" s="254"/>
      <c r="O1" s="255"/>
      <c r="P1" s="250" t="s">
        <v>228</v>
      </c>
      <c r="Q1" s="256"/>
      <c r="R1" s="251"/>
      <c r="S1" s="248" t="s">
        <v>229</v>
      </c>
    </row>
    <row r="2" spans="1:24" x14ac:dyDescent="0.3">
      <c r="A2" s="250"/>
      <c r="B2" s="175" t="s">
        <v>230</v>
      </c>
      <c r="C2" s="175" t="s">
        <v>231</v>
      </c>
      <c r="D2" s="175" t="s">
        <v>232</v>
      </c>
      <c r="E2" s="172" t="s">
        <v>2</v>
      </c>
      <c r="F2" s="173"/>
      <c r="G2" s="173" t="s">
        <v>2</v>
      </c>
      <c r="H2" s="173" t="s">
        <v>3</v>
      </c>
      <c r="I2" s="176" t="s">
        <v>2</v>
      </c>
      <c r="J2" s="177" t="s">
        <v>4</v>
      </c>
      <c r="K2" s="177" t="s">
        <v>225</v>
      </c>
      <c r="L2" s="176" t="s">
        <v>28</v>
      </c>
      <c r="M2" s="176" t="s">
        <v>4</v>
      </c>
      <c r="N2" s="176" t="s">
        <v>225</v>
      </c>
      <c r="O2" s="176" t="s">
        <v>28</v>
      </c>
      <c r="P2" s="176" t="s">
        <v>4</v>
      </c>
      <c r="Q2" s="176" t="s">
        <v>225</v>
      </c>
      <c r="R2" s="176" t="s">
        <v>28</v>
      </c>
      <c r="S2" s="249"/>
    </row>
    <row r="3" spans="1:24" x14ac:dyDescent="0.3">
      <c r="A3" s="178">
        <v>1</v>
      </c>
      <c r="B3" s="179">
        <v>1</v>
      </c>
      <c r="C3" s="180">
        <v>0</v>
      </c>
      <c r="D3" s="181">
        <v>0</v>
      </c>
      <c r="E3" s="180">
        <v>10</v>
      </c>
      <c r="F3" s="179"/>
      <c r="G3" s="182">
        <v>30</v>
      </c>
      <c r="H3" s="181">
        <v>5</v>
      </c>
      <c r="I3" s="180">
        <v>45</v>
      </c>
      <c r="J3" s="183">
        <f>$V$7+$V$8*E3</f>
        <v>-205.6267510133481</v>
      </c>
      <c r="K3" s="184">
        <f t="shared" ref="K3:K17" si="0">$V$9+$V$10*G3+$V$11*H3</f>
        <v>-382.57637263548469</v>
      </c>
      <c r="L3" s="185">
        <f t="shared" ref="L3:L17" si="1">$V$12*I3</f>
        <v>-334.36480226082915</v>
      </c>
      <c r="M3" s="183">
        <f>EXP(J3)</f>
        <v>4.9823783438385513E-90</v>
      </c>
      <c r="N3" s="183">
        <f t="shared" ref="N3:O17" si="2">EXP(K3)</f>
        <v>7.0663062865344927E-167</v>
      </c>
      <c r="O3" s="183">
        <f t="shared" si="2"/>
        <v>6.1264858594058562E-146</v>
      </c>
      <c r="P3" s="30">
        <f t="shared" ref="P3:R17" si="3">IF(M3=0,0.001,M3/($M3+$N3+$O3))</f>
        <v>1</v>
      </c>
      <c r="Q3" s="30">
        <f t="shared" si="3"/>
        <v>1.4182596741720802E-77</v>
      </c>
      <c r="R3" s="36">
        <f t="shared" si="3"/>
        <v>1.2296307981071255E-56</v>
      </c>
      <c r="S3" s="30">
        <f>B3*LN(P3)+C3*LN(Q3)+D3*LN(R3)</f>
        <v>0</v>
      </c>
      <c r="U3" t="s">
        <v>15</v>
      </c>
    </row>
    <row r="4" spans="1:24" x14ac:dyDescent="0.3">
      <c r="A4" s="186">
        <v>2</v>
      </c>
      <c r="B4" s="179">
        <v>1</v>
      </c>
      <c r="C4" s="180">
        <v>0</v>
      </c>
      <c r="D4" s="181">
        <v>0</v>
      </c>
      <c r="E4" s="180">
        <v>10</v>
      </c>
      <c r="F4" s="179"/>
      <c r="G4" s="182">
        <v>30</v>
      </c>
      <c r="H4" s="181">
        <v>5</v>
      </c>
      <c r="I4" s="180">
        <v>45</v>
      </c>
      <c r="J4" s="183">
        <f t="shared" ref="J4:J17" si="4">$V$7+$V$8*E4</f>
        <v>-205.6267510133481</v>
      </c>
      <c r="K4" s="187">
        <f t="shared" si="0"/>
        <v>-382.57637263548469</v>
      </c>
      <c r="L4" s="188">
        <f t="shared" si="1"/>
        <v>-334.36480226082915</v>
      </c>
      <c r="M4" s="189">
        <f t="shared" ref="M4:M17" si="5">EXP(J4)</f>
        <v>4.9823783438385513E-90</v>
      </c>
      <c r="N4" s="189">
        <f t="shared" si="2"/>
        <v>7.0663062865344927E-167</v>
      </c>
      <c r="O4" s="189">
        <f t="shared" si="2"/>
        <v>6.1264858594058562E-146</v>
      </c>
      <c r="P4" s="34">
        <f t="shared" si="3"/>
        <v>1</v>
      </c>
      <c r="Q4" s="34">
        <f>IF(N4=0,0.001,N4/($M4+$N4+$O4))</f>
        <v>1.4182596741720802E-77</v>
      </c>
      <c r="R4" s="46">
        <f t="shared" si="3"/>
        <v>1.2296307981071255E-56</v>
      </c>
      <c r="S4" s="34">
        <f t="shared" ref="S4:S17" si="6">B4*LN(P4)+C4*LN(Q4)+D4*LN(R4)</f>
        <v>0</v>
      </c>
      <c r="U4" t="s">
        <v>16</v>
      </c>
      <c r="X4" s="190"/>
    </row>
    <row r="5" spans="1:24" x14ac:dyDescent="0.3">
      <c r="A5" s="186">
        <v>3</v>
      </c>
      <c r="B5" s="179">
        <v>1</v>
      </c>
      <c r="C5" s="180">
        <v>0</v>
      </c>
      <c r="D5" s="181">
        <v>0</v>
      </c>
      <c r="E5" s="180">
        <v>10</v>
      </c>
      <c r="F5" s="179"/>
      <c r="G5" s="182">
        <v>20</v>
      </c>
      <c r="H5" s="181">
        <v>10</v>
      </c>
      <c r="I5" s="180">
        <v>30</v>
      </c>
      <c r="J5" s="183">
        <f t="shared" si="4"/>
        <v>-205.6267510133481</v>
      </c>
      <c r="K5" s="187">
        <f t="shared" si="0"/>
        <v>-423.80490223945844</v>
      </c>
      <c r="L5" s="188">
        <f t="shared" si="1"/>
        <v>-222.90986817388608</v>
      </c>
      <c r="M5" s="189">
        <f t="shared" si="5"/>
        <v>4.9823783438385513E-90</v>
      </c>
      <c r="N5" s="189">
        <f t="shared" si="2"/>
        <v>8.7875853033411264E-185</v>
      </c>
      <c r="O5" s="189">
        <f t="shared" si="2"/>
        <v>1.5540832882261282E-97</v>
      </c>
      <c r="P5" s="34">
        <f t="shared" si="3"/>
        <v>0.99999996880840558</v>
      </c>
      <c r="Q5" s="34">
        <f t="shared" si="3"/>
        <v>1.7637329850932496E-95</v>
      </c>
      <c r="R5" s="46">
        <f t="shared" si="3"/>
        <v>3.119159430502998E-8</v>
      </c>
      <c r="S5" s="34">
        <f t="shared" si="6"/>
        <v>-3.119159490490267E-8</v>
      </c>
      <c r="U5" t="s">
        <v>17</v>
      </c>
    </row>
    <row r="6" spans="1:24" x14ac:dyDescent="0.3">
      <c r="A6" s="186">
        <v>4</v>
      </c>
      <c r="B6" s="179">
        <v>0</v>
      </c>
      <c r="C6" s="180">
        <v>0</v>
      </c>
      <c r="D6" s="181">
        <v>1</v>
      </c>
      <c r="E6" s="180">
        <v>10</v>
      </c>
      <c r="F6" s="179"/>
      <c r="G6" s="182">
        <v>15</v>
      </c>
      <c r="H6" s="181">
        <v>15</v>
      </c>
      <c r="I6" s="180">
        <v>20</v>
      </c>
      <c r="J6" s="183">
        <f t="shared" si="4"/>
        <v>-205.6267510133481</v>
      </c>
      <c r="K6" s="187">
        <f t="shared" si="0"/>
        <v>-507.71453095708739</v>
      </c>
      <c r="L6" s="188">
        <f t="shared" si="1"/>
        <v>-148.60657878259073</v>
      </c>
      <c r="M6" s="189">
        <f t="shared" si="5"/>
        <v>4.9823783438385513E-90</v>
      </c>
      <c r="N6" s="189">
        <f t="shared" si="2"/>
        <v>3.1796610230868547E-221</v>
      </c>
      <c r="O6" s="189">
        <f t="shared" si="2"/>
        <v>2.8905658014837384E-65</v>
      </c>
      <c r="P6" s="34">
        <f t="shared" si="3"/>
        <v>1.7236688890739237E-25</v>
      </c>
      <c r="Q6" s="34">
        <f t="shared" si="3"/>
        <v>1.100013368128386E-156</v>
      </c>
      <c r="R6" s="46">
        <f t="shared" si="3"/>
        <v>1</v>
      </c>
      <c r="S6" s="34">
        <f t="shared" si="6"/>
        <v>0</v>
      </c>
    </row>
    <row r="7" spans="1:24" x14ac:dyDescent="0.3">
      <c r="A7" s="186">
        <v>5</v>
      </c>
      <c r="B7" s="179">
        <v>1</v>
      </c>
      <c r="C7" s="180">
        <v>0</v>
      </c>
      <c r="D7" s="181">
        <v>0</v>
      </c>
      <c r="E7" s="180">
        <v>5</v>
      </c>
      <c r="F7" s="179"/>
      <c r="G7" s="182">
        <v>15</v>
      </c>
      <c r="H7" s="181">
        <v>15</v>
      </c>
      <c r="I7" s="180">
        <v>15</v>
      </c>
      <c r="J7" s="183">
        <f t="shared" si="4"/>
        <v>-97.032753040789203</v>
      </c>
      <c r="K7" s="187">
        <f t="shared" si="0"/>
        <v>-507.71453095708739</v>
      </c>
      <c r="L7" s="188">
        <f t="shared" si="1"/>
        <v>-111.45493408694304</v>
      </c>
      <c r="M7" s="189">
        <f t="shared" si="5"/>
        <v>7.2312069452288814E-43</v>
      </c>
      <c r="N7" s="189">
        <f t="shared" si="2"/>
        <v>3.1796610230868547E-221</v>
      </c>
      <c r="O7" s="189">
        <f t="shared" si="2"/>
        <v>3.942186307401171E-49</v>
      </c>
      <c r="P7" s="34">
        <f t="shared" si="3"/>
        <v>0.99999945483732</v>
      </c>
      <c r="Q7" s="34">
        <f t="shared" si="3"/>
        <v>4.3971349647962364E-179</v>
      </c>
      <c r="R7" s="46">
        <f t="shared" si="3"/>
        <v>5.4516268005154442E-7</v>
      </c>
      <c r="S7" s="34">
        <f t="shared" si="6"/>
        <v>-5.451628286002728E-7</v>
      </c>
      <c r="U7" s="16" t="s">
        <v>20</v>
      </c>
      <c r="V7">
        <v>11.5612449317697</v>
      </c>
    </row>
    <row r="8" spans="1:24" x14ac:dyDescent="0.3">
      <c r="A8" s="186">
        <v>6</v>
      </c>
      <c r="B8" s="179">
        <v>1</v>
      </c>
      <c r="C8" s="180">
        <v>0</v>
      </c>
      <c r="D8" s="181">
        <v>0</v>
      </c>
      <c r="E8" s="180">
        <v>5</v>
      </c>
      <c r="F8" s="179"/>
      <c r="G8" s="182">
        <v>20</v>
      </c>
      <c r="H8" s="181">
        <v>10</v>
      </c>
      <c r="I8" s="180">
        <v>25</v>
      </c>
      <c r="J8" s="183">
        <f t="shared" si="4"/>
        <v>-97.032753040789203</v>
      </c>
      <c r="K8" s="187">
        <f t="shared" si="0"/>
        <v>-423.80490223945844</v>
      </c>
      <c r="L8" s="188">
        <f t="shared" si="1"/>
        <v>-185.75822347823839</v>
      </c>
      <c r="M8" s="189">
        <f t="shared" si="5"/>
        <v>7.2312069452288814E-43</v>
      </c>
      <c r="N8" s="189">
        <f t="shared" si="2"/>
        <v>8.7875853033411264E-185</v>
      </c>
      <c r="O8" s="189">
        <f t="shared" si="2"/>
        <v>2.1194763517444514E-81</v>
      </c>
      <c r="P8" s="34">
        <f t="shared" si="3"/>
        <v>1</v>
      </c>
      <c r="Q8" s="34">
        <f t="shared" si="3"/>
        <v>1.2152307864925836E-142</v>
      </c>
      <c r="R8" s="46">
        <f t="shared" si="3"/>
        <v>2.9310132703958537E-39</v>
      </c>
      <c r="S8" s="34">
        <f t="shared" si="6"/>
        <v>0</v>
      </c>
      <c r="U8" s="17" t="s">
        <v>24</v>
      </c>
      <c r="V8">
        <v>-21.718799594511779</v>
      </c>
    </row>
    <row r="9" spans="1:24" x14ac:dyDescent="0.3">
      <c r="A9" s="186">
        <v>7</v>
      </c>
      <c r="B9" s="179">
        <v>1</v>
      </c>
      <c r="C9" s="180">
        <v>0</v>
      </c>
      <c r="D9" s="181">
        <v>0</v>
      </c>
      <c r="E9" s="180">
        <v>5</v>
      </c>
      <c r="F9" s="179"/>
      <c r="G9" s="182">
        <v>30</v>
      </c>
      <c r="H9" s="181">
        <v>5</v>
      </c>
      <c r="I9" s="180">
        <v>40</v>
      </c>
      <c r="J9" s="183">
        <f t="shared" si="4"/>
        <v>-97.032753040789203</v>
      </c>
      <c r="K9" s="187">
        <f t="shared" si="0"/>
        <v>-382.57637263548469</v>
      </c>
      <c r="L9" s="188">
        <f t="shared" si="1"/>
        <v>-297.21315756518146</v>
      </c>
      <c r="M9" s="189">
        <f t="shared" si="5"/>
        <v>7.2312069452288814E-43</v>
      </c>
      <c r="N9" s="189">
        <f t="shared" si="2"/>
        <v>7.0663062865344927E-167</v>
      </c>
      <c r="O9" s="189">
        <f t="shared" si="2"/>
        <v>8.3553706527073274E-130</v>
      </c>
      <c r="P9" s="34">
        <f t="shared" si="3"/>
        <v>1</v>
      </c>
      <c r="Q9" s="34">
        <f t="shared" si="3"/>
        <v>9.7719597019648442E-125</v>
      </c>
      <c r="R9" s="46">
        <f t="shared" si="3"/>
        <v>1.1554600381365333E-87</v>
      </c>
      <c r="S9" s="34">
        <f t="shared" si="6"/>
        <v>0</v>
      </c>
      <c r="U9" s="16" t="s">
        <v>25</v>
      </c>
      <c r="V9">
        <v>0.1009498777310828</v>
      </c>
    </row>
    <row r="10" spans="1:24" x14ac:dyDescent="0.3">
      <c r="A10" s="186">
        <v>8</v>
      </c>
      <c r="B10" s="179">
        <v>0</v>
      </c>
      <c r="C10" s="180">
        <v>0</v>
      </c>
      <c r="D10" s="181">
        <v>1</v>
      </c>
      <c r="E10" s="180">
        <v>15</v>
      </c>
      <c r="F10" s="179"/>
      <c r="G10" s="182">
        <v>20</v>
      </c>
      <c r="H10" s="181">
        <v>5</v>
      </c>
      <c r="I10" s="180">
        <v>40</v>
      </c>
      <c r="J10" s="183">
        <f t="shared" si="4"/>
        <v>-314.22074898590699</v>
      </c>
      <c r="K10" s="187">
        <f t="shared" si="0"/>
        <v>-297.21417440817419</v>
      </c>
      <c r="L10" s="188">
        <f t="shared" si="1"/>
        <v>-297.21315756518146</v>
      </c>
      <c r="M10" s="189">
        <f t="shared" si="5"/>
        <v>3.4329115663783089E-137</v>
      </c>
      <c r="N10" s="189">
        <f t="shared" si="2"/>
        <v>8.3468788707436722E-130</v>
      </c>
      <c r="O10" s="189">
        <f t="shared" si="2"/>
        <v>8.3553706527073274E-130</v>
      </c>
      <c r="P10" s="34">
        <f t="shared" si="3"/>
        <v>2.0553587652966377E-8</v>
      </c>
      <c r="Q10" s="34">
        <f>IF(N10=0,0.001,N10/($M10+$N10+$O10))</f>
        <v>0.49974577900215345</v>
      </c>
      <c r="R10" s="46">
        <f t="shared" si="3"/>
        <v>0.50025420044425895</v>
      </c>
      <c r="S10" s="34">
        <f t="shared" si="6"/>
        <v>-0.69263890886337343</v>
      </c>
      <c r="U10" s="17" t="s">
        <v>26</v>
      </c>
      <c r="V10">
        <v>-8.5362198227310522</v>
      </c>
    </row>
    <row r="11" spans="1:24" x14ac:dyDescent="0.3">
      <c r="A11" s="186">
        <v>9</v>
      </c>
      <c r="B11" s="179">
        <v>0</v>
      </c>
      <c r="C11" s="180">
        <v>1</v>
      </c>
      <c r="D11" s="181">
        <v>0</v>
      </c>
      <c r="E11" s="180">
        <v>15</v>
      </c>
      <c r="F11" s="179"/>
      <c r="G11" s="182">
        <v>30</v>
      </c>
      <c r="H11" s="181">
        <v>0</v>
      </c>
      <c r="I11" s="180">
        <v>40</v>
      </c>
      <c r="J11" s="183">
        <f t="shared" si="4"/>
        <v>-314.22074898590699</v>
      </c>
      <c r="K11" s="187">
        <f t="shared" si="0"/>
        <v>-255.98564480420046</v>
      </c>
      <c r="L11" s="188">
        <f t="shared" si="1"/>
        <v>-297.21315756518146</v>
      </c>
      <c r="M11" s="189">
        <f t="shared" si="5"/>
        <v>3.4329115663783089E-137</v>
      </c>
      <c r="N11" s="189">
        <f t="shared" si="2"/>
        <v>6.7119237653204768E-112</v>
      </c>
      <c r="O11" s="189">
        <f t="shared" si="2"/>
        <v>8.3553706527073274E-130</v>
      </c>
      <c r="P11" s="34">
        <f t="shared" si="3"/>
        <v>5.1146462421335269E-26</v>
      </c>
      <c r="Q11" s="34">
        <f t="shared" si="3"/>
        <v>1</v>
      </c>
      <c r="R11" s="46">
        <f t="shared" si="3"/>
        <v>1.2448548202943392E-18</v>
      </c>
      <c r="S11" s="34">
        <f t="shared" si="6"/>
        <v>0</v>
      </c>
      <c r="U11" s="18" t="s">
        <v>27</v>
      </c>
      <c r="V11">
        <v>-25.318145566256845</v>
      </c>
    </row>
    <row r="12" spans="1:24" x14ac:dyDescent="0.3">
      <c r="A12" s="186">
        <v>10</v>
      </c>
      <c r="B12" s="179">
        <v>1</v>
      </c>
      <c r="C12" s="180">
        <v>0</v>
      </c>
      <c r="D12" s="181">
        <v>0</v>
      </c>
      <c r="E12" s="180">
        <v>15</v>
      </c>
      <c r="F12" s="179"/>
      <c r="G12" s="182">
        <v>20</v>
      </c>
      <c r="H12" s="181">
        <v>10</v>
      </c>
      <c r="I12" s="180">
        <v>45</v>
      </c>
      <c r="J12" s="183">
        <f t="shared" si="4"/>
        <v>-314.22074898590699</v>
      </c>
      <c r="K12" s="187">
        <f t="shared" si="0"/>
        <v>-423.80490223945844</v>
      </c>
      <c r="L12" s="188">
        <f t="shared" si="1"/>
        <v>-334.36480226082915</v>
      </c>
      <c r="M12" s="189">
        <f t="shared" si="5"/>
        <v>3.4329115663783089E-137</v>
      </c>
      <c r="N12" s="189">
        <f t="shared" si="2"/>
        <v>8.7875853033411264E-185</v>
      </c>
      <c r="O12" s="189">
        <f t="shared" si="2"/>
        <v>6.1264858594058562E-146</v>
      </c>
      <c r="P12" s="34">
        <f t="shared" si="3"/>
        <v>0.99999999821536745</v>
      </c>
      <c r="Q12" s="34">
        <f t="shared" si="3"/>
        <v>2.5598053191126444E-48</v>
      </c>
      <c r="R12" s="46">
        <f t="shared" si="3"/>
        <v>1.7846325866575462E-9</v>
      </c>
      <c r="S12" s="34">
        <f t="shared" si="6"/>
        <v>-1.7846325544405655E-9</v>
      </c>
      <c r="U12" s="18" t="s">
        <v>30</v>
      </c>
      <c r="V12">
        <v>-7.4303289391295362</v>
      </c>
    </row>
    <row r="13" spans="1:24" x14ac:dyDescent="0.3">
      <c r="A13" s="186">
        <v>11</v>
      </c>
      <c r="B13" s="179">
        <v>0</v>
      </c>
      <c r="C13" s="180">
        <v>1</v>
      </c>
      <c r="D13" s="181">
        <v>0</v>
      </c>
      <c r="E13" s="180">
        <v>15</v>
      </c>
      <c r="F13" s="179"/>
      <c r="G13" s="182">
        <v>20</v>
      </c>
      <c r="H13" s="181">
        <v>0</v>
      </c>
      <c r="I13" s="180">
        <v>45</v>
      </c>
      <c r="J13" s="183">
        <f t="shared" si="4"/>
        <v>-314.22074898590699</v>
      </c>
      <c r="K13" s="187">
        <f t="shared" si="0"/>
        <v>-170.62344657688996</v>
      </c>
      <c r="L13" s="188">
        <f t="shared" si="1"/>
        <v>-334.36480226082915</v>
      </c>
      <c r="M13" s="189">
        <f t="shared" si="5"/>
        <v>3.4329115663783089E-137</v>
      </c>
      <c r="N13" s="189">
        <f t="shared" si="2"/>
        <v>7.9282743185862224E-75</v>
      </c>
      <c r="O13" s="189">
        <f t="shared" si="2"/>
        <v>6.1264858594058562E-146</v>
      </c>
      <c r="P13" s="34">
        <f t="shared" si="3"/>
        <v>4.329960630058609E-63</v>
      </c>
      <c r="Q13" s="34">
        <f t="shared" si="3"/>
        <v>1</v>
      </c>
      <c r="R13" s="46">
        <f t="shared" si="3"/>
        <v>7.7273888531373834E-72</v>
      </c>
      <c r="S13" s="34">
        <f t="shared" si="6"/>
        <v>0</v>
      </c>
    </row>
    <row r="14" spans="1:24" x14ac:dyDescent="0.3">
      <c r="A14" s="186">
        <v>12</v>
      </c>
      <c r="B14" s="179">
        <v>0</v>
      </c>
      <c r="C14" s="180">
        <v>1</v>
      </c>
      <c r="D14" s="181">
        <v>0</v>
      </c>
      <c r="E14" s="180">
        <v>15</v>
      </c>
      <c r="F14" s="179"/>
      <c r="G14" s="182">
        <v>20</v>
      </c>
      <c r="H14" s="181">
        <v>5</v>
      </c>
      <c r="I14" s="180">
        <v>40</v>
      </c>
      <c r="J14" s="183">
        <f t="shared" si="4"/>
        <v>-314.22074898590699</v>
      </c>
      <c r="K14" s="187">
        <f t="shared" si="0"/>
        <v>-297.21417440817419</v>
      </c>
      <c r="L14" s="188">
        <f t="shared" si="1"/>
        <v>-297.21315756518146</v>
      </c>
      <c r="M14" s="189">
        <f t="shared" si="5"/>
        <v>3.4329115663783089E-137</v>
      </c>
      <c r="N14" s="189">
        <f t="shared" si="2"/>
        <v>8.3468788707436722E-130</v>
      </c>
      <c r="O14" s="189">
        <f t="shared" si="2"/>
        <v>8.3553706527073274E-130</v>
      </c>
      <c r="P14" s="34">
        <f t="shared" si="3"/>
        <v>2.0553587652966377E-8</v>
      </c>
      <c r="Q14" s="34">
        <f t="shared" si="3"/>
        <v>0.49974577900215345</v>
      </c>
      <c r="R14" s="46">
        <f t="shared" si="3"/>
        <v>0.50025420044425895</v>
      </c>
      <c r="S14" s="34">
        <f t="shared" si="6"/>
        <v>-0.69365575185609962</v>
      </c>
    </row>
    <row r="15" spans="1:24" x14ac:dyDescent="0.3">
      <c r="A15" s="186">
        <v>13</v>
      </c>
      <c r="B15" s="179">
        <v>1</v>
      </c>
      <c r="C15" s="180">
        <v>0</v>
      </c>
      <c r="D15" s="181">
        <v>0</v>
      </c>
      <c r="E15" s="180">
        <v>10</v>
      </c>
      <c r="F15" s="179"/>
      <c r="G15" s="182">
        <v>30</v>
      </c>
      <c r="H15" s="181">
        <v>0</v>
      </c>
      <c r="I15" s="180">
        <v>40</v>
      </c>
      <c r="J15" s="183">
        <f t="shared" si="4"/>
        <v>-205.6267510133481</v>
      </c>
      <c r="K15" s="187">
        <f t="shared" si="0"/>
        <v>-255.98564480420046</v>
      </c>
      <c r="L15" s="188">
        <f t="shared" si="1"/>
        <v>-297.21315756518146</v>
      </c>
      <c r="M15" s="189">
        <f t="shared" si="5"/>
        <v>4.9823783438385513E-90</v>
      </c>
      <c r="N15" s="189">
        <f t="shared" si="2"/>
        <v>6.7119237653204768E-112</v>
      </c>
      <c r="O15" s="189">
        <f t="shared" si="2"/>
        <v>8.3553706527073274E-130</v>
      </c>
      <c r="P15" s="34">
        <f t="shared" si="3"/>
        <v>1</v>
      </c>
      <c r="Q15" s="34">
        <f t="shared" si="3"/>
        <v>1.3471324941873925E-22</v>
      </c>
      <c r="R15" s="46">
        <f t="shared" si="3"/>
        <v>1.6769843789643114E-40</v>
      </c>
      <c r="S15" s="34">
        <f t="shared" si="6"/>
        <v>0</v>
      </c>
    </row>
    <row r="16" spans="1:24" x14ac:dyDescent="0.3">
      <c r="A16" s="186">
        <v>14</v>
      </c>
      <c r="B16" s="179">
        <v>1</v>
      </c>
      <c r="C16" s="180">
        <v>0</v>
      </c>
      <c r="D16" s="181">
        <v>0</v>
      </c>
      <c r="E16" s="180">
        <v>10</v>
      </c>
      <c r="F16" s="179"/>
      <c r="G16" s="182">
        <v>30</v>
      </c>
      <c r="H16" s="181">
        <v>0</v>
      </c>
      <c r="I16" s="180">
        <v>40</v>
      </c>
      <c r="J16" s="183">
        <f t="shared" si="4"/>
        <v>-205.6267510133481</v>
      </c>
      <c r="K16" s="187">
        <f t="shared" si="0"/>
        <v>-255.98564480420046</v>
      </c>
      <c r="L16" s="188">
        <f t="shared" si="1"/>
        <v>-297.21315756518146</v>
      </c>
      <c r="M16" s="189">
        <f t="shared" si="5"/>
        <v>4.9823783438385513E-90</v>
      </c>
      <c r="N16" s="189">
        <f t="shared" si="2"/>
        <v>6.7119237653204768E-112</v>
      </c>
      <c r="O16" s="189">
        <f t="shared" si="2"/>
        <v>8.3553706527073274E-130</v>
      </c>
      <c r="P16" s="34">
        <f t="shared" si="3"/>
        <v>1</v>
      </c>
      <c r="Q16" s="34">
        <f t="shared" si="3"/>
        <v>1.3471324941873925E-22</v>
      </c>
      <c r="R16" s="46">
        <f t="shared" si="3"/>
        <v>1.6769843789643114E-40</v>
      </c>
      <c r="S16" s="34">
        <f t="shared" si="6"/>
        <v>0</v>
      </c>
    </row>
    <row r="17" spans="1:23" x14ac:dyDescent="0.3">
      <c r="A17" s="191">
        <v>15</v>
      </c>
      <c r="B17" s="192">
        <v>1</v>
      </c>
      <c r="C17" s="193">
        <v>0</v>
      </c>
      <c r="D17" s="194">
        <v>0</v>
      </c>
      <c r="E17" s="193">
        <v>10</v>
      </c>
      <c r="F17" s="192"/>
      <c r="G17" s="195">
        <v>30</v>
      </c>
      <c r="H17" s="194">
        <v>0</v>
      </c>
      <c r="I17" s="193">
        <v>50</v>
      </c>
      <c r="J17" s="183">
        <f t="shared" si="4"/>
        <v>-205.6267510133481</v>
      </c>
      <c r="K17" s="196">
        <f t="shared" si="0"/>
        <v>-255.98564480420046</v>
      </c>
      <c r="L17" s="197">
        <f t="shared" si="1"/>
        <v>-371.51644695647678</v>
      </c>
      <c r="M17" s="198">
        <f t="shared" si="5"/>
        <v>4.9823783438385513E-90</v>
      </c>
      <c r="N17" s="198">
        <f t="shared" si="2"/>
        <v>6.7119237653204768E-112</v>
      </c>
      <c r="O17" s="198">
        <f t="shared" si="2"/>
        <v>4.4921800056039701E-162</v>
      </c>
      <c r="P17" s="52">
        <f t="shared" si="3"/>
        <v>1</v>
      </c>
      <c r="Q17" s="52">
        <f t="shared" si="3"/>
        <v>1.3471324941873925E-22</v>
      </c>
      <c r="R17" s="54">
        <f t="shared" si="3"/>
        <v>9.0161358604153699E-73</v>
      </c>
      <c r="S17" s="52">
        <f t="shared" si="6"/>
        <v>0</v>
      </c>
    </row>
    <row r="18" spans="1:23" x14ac:dyDescent="0.3">
      <c r="J18" s="199"/>
      <c r="L18" s="200"/>
      <c r="M18" s="201"/>
      <c r="P18"/>
      <c r="R18" s="202" t="s">
        <v>233</v>
      </c>
      <c r="S18" s="202">
        <f>SUM(S3:S17)</f>
        <v>-1.386295238858529</v>
      </c>
    </row>
    <row r="19" spans="1:23" x14ac:dyDescent="0.3">
      <c r="M19" s="200"/>
    </row>
    <row r="20" spans="1:23" x14ac:dyDescent="0.3">
      <c r="M20" s="200"/>
    </row>
    <row r="21" spans="1:23" x14ac:dyDescent="0.3">
      <c r="M21" s="200"/>
      <c r="U21" s="203"/>
      <c r="V21" s="203"/>
    </row>
    <row r="22" spans="1:23" ht="42" x14ac:dyDescent="0.9">
      <c r="M22" s="200"/>
      <c r="O22" s="204"/>
      <c r="P22" s="205" t="s">
        <v>234</v>
      </c>
      <c r="Q22" s="205"/>
      <c r="R22" s="205"/>
      <c r="S22" s="203"/>
      <c r="T22" s="203"/>
      <c r="U22" s="203"/>
      <c r="V22" s="203"/>
      <c r="W22" s="203"/>
    </row>
    <row r="23" spans="1:23" ht="42" x14ac:dyDescent="0.9">
      <c r="O23" s="204"/>
      <c r="P23" s="205" t="s">
        <v>235</v>
      </c>
      <c r="Q23" s="205"/>
      <c r="R23" s="205"/>
      <c r="S23" s="203"/>
      <c r="T23" s="203"/>
      <c r="U23" s="203"/>
      <c r="V23" s="203"/>
      <c r="W23" s="203"/>
    </row>
    <row r="24" spans="1:23" ht="42" x14ac:dyDescent="0.9">
      <c r="O24" s="204"/>
      <c r="P24" s="205" t="s">
        <v>236</v>
      </c>
      <c r="Q24" s="205"/>
      <c r="R24" s="205"/>
      <c r="S24" s="203"/>
      <c r="T24" s="203"/>
      <c r="W24" s="203"/>
    </row>
    <row r="27" spans="1:23" x14ac:dyDescent="0.3">
      <c r="F27" s="4" t="s">
        <v>237</v>
      </c>
      <c r="G27" s="4" t="s">
        <v>11</v>
      </c>
      <c r="H27" s="4" t="s">
        <v>12</v>
      </c>
      <c r="I27" s="4" t="s">
        <v>13</v>
      </c>
      <c r="J27" s="4" t="s">
        <v>14</v>
      </c>
      <c r="K27" s="4" t="s">
        <v>238</v>
      </c>
      <c r="L27" s="4" t="s">
        <v>11</v>
      </c>
      <c r="M27" s="4" t="s">
        <v>12</v>
      </c>
      <c r="N27" s="4" t="s">
        <v>13</v>
      </c>
      <c r="O27" s="4" t="s">
        <v>14</v>
      </c>
      <c r="P27" s="4" t="s">
        <v>239</v>
      </c>
      <c r="Q27" s="4" t="s">
        <v>11</v>
      </c>
      <c r="R27" s="4" t="s">
        <v>12</v>
      </c>
      <c r="S27" s="4" t="s">
        <v>13</v>
      </c>
      <c r="T27" s="4" t="s">
        <v>14</v>
      </c>
    </row>
    <row r="28" spans="1:23" x14ac:dyDescent="0.3">
      <c r="F28" s="4" t="s">
        <v>11</v>
      </c>
      <c r="G28" s="206">
        <f>11.561-21.719*G46</f>
        <v>-314.22400000000005</v>
      </c>
      <c r="H28" s="206">
        <f t="shared" ref="H28:J28" si="7">11.561-21.719*H46</f>
        <v>-2171866.7199999997</v>
      </c>
      <c r="I28" s="206">
        <f t="shared" si="7"/>
        <v>-298.36332176834037</v>
      </c>
      <c r="J28" s="206">
        <f t="shared" si="7"/>
        <v>-307.6494212369854</v>
      </c>
      <c r="K28" s="4" t="s">
        <v>11</v>
      </c>
      <c r="L28" s="206">
        <f>0.1-8.536*L46-25.318*L53</f>
        <v>-127.94</v>
      </c>
      <c r="M28" s="206">
        <f>0.1-8.536*M46-25.318*M53</f>
        <v>-853844.54399999999</v>
      </c>
      <c r="N28" s="206">
        <f t="shared" ref="N28:O28" si="8">0.1-8.536*N46-25.318*N53</f>
        <v>-459.12499999999994</v>
      </c>
      <c r="O28" s="206">
        <f t="shared" si="8"/>
        <v>-459.12499999999994</v>
      </c>
      <c r="P28" s="4" t="s">
        <v>11</v>
      </c>
      <c r="Q28" s="206">
        <f>-7.43*Q46</f>
        <v>-111.44999999999999</v>
      </c>
      <c r="R28" s="206">
        <f t="shared" ref="R28:T28" si="9">-7.43*R46</f>
        <v>-742992.57</v>
      </c>
      <c r="S28" s="206">
        <f t="shared" si="9"/>
        <v>-402.45833333333326</v>
      </c>
      <c r="T28" s="206">
        <f t="shared" si="9"/>
        <v>-402.45833333333326</v>
      </c>
    </row>
    <row r="29" spans="1:23" x14ac:dyDescent="0.3">
      <c r="F29" s="4" t="s">
        <v>12</v>
      </c>
      <c r="G29" s="206">
        <f t="shared" ref="G29:J31" si="10">11.561-21.719*G47</f>
        <v>-2171866.7199999997</v>
      </c>
      <c r="H29" s="206">
        <f t="shared" si="10"/>
        <v>-314.22400000000005</v>
      </c>
      <c r="I29" s="206">
        <f t="shared" si="10"/>
        <v>-297.04107749851738</v>
      </c>
      <c r="J29" s="206">
        <f t="shared" si="10"/>
        <v>-304.64792888467747</v>
      </c>
      <c r="K29" s="4" t="s">
        <v>12</v>
      </c>
      <c r="L29" s="206">
        <f t="shared" ref="L29:O31" si="11">0.1-8.536*L47-25.318*L54</f>
        <v>-853844.54399999999</v>
      </c>
      <c r="M29" s="206">
        <f t="shared" si="11"/>
        <v>-127.94</v>
      </c>
      <c r="N29" s="206">
        <f t="shared" si="11"/>
        <v>-406.13749999999993</v>
      </c>
      <c r="O29" s="206">
        <f t="shared" si="11"/>
        <v>-406.13749999999993</v>
      </c>
      <c r="P29" s="4" t="s">
        <v>12</v>
      </c>
      <c r="Q29" s="206">
        <f t="shared" ref="Q29:T31" si="12">-7.43*Q47</f>
        <v>-742992.57</v>
      </c>
      <c r="R29" s="206">
        <f t="shared" si="12"/>
        <v>-111.44999999999999</v>
      </c>
      <c r="S29" s="206">
        <f t="shared" si="12"/>
        <v>-356.02083333333331</v>
      </c>
      <c r="T29" s="206">
        <f t="shared" si="12"/>
        <v>-356.02083333333331</v>
      </c>
    </row>
    <row r="30" spans="1:23" x14ac:dyDescent="0.3">
      <c r="F30" s="4" t="s">
        <v>13</v>
      </c>
      <c r="G30" s="206">
        <f t="shared" si="10"/>
        <v>-314.32335351066052</v>
      </c>
      <c r="H30" s="206">
        <f t="shared" si="10"/>
        <v>-303.28725502458849</v>
      </c>
      <c r="I30" s="206">
        <f t="shared" si="10"/>
        <v>-314.22400000000005</v>
      </c>
      <c r="J30" s="206">
        <f t="shared" si="10"/>
        <v>-2171866.7199999997</v>
      </c>
      <c r="K30" s="4" t="s">
        <v>13</v>
      </c>
      <c r="L30" s="206">
        <f t="shared" si="11"/>
        <v>-459.12499999999994</v>
      </c>
      <c r="M30" s="206">
        <f t="shared" si="11"/>
        <v>-406.13749999999993</v>
      </c>
      <c r="N30" s="206">
        <f t="shared" si="11"/>
        <v>-127.94</v>
      </c>
      <c r="O30" s="206">
        <f t="shared" si="11"/>
        <v>-853717.95399999991</v>
      </c>
      <c r="P30" s="4" t="s">
        <v>13</v>
      </c>
      <c r="Q30" s="206">
        <f t="shared" si="12"/>
        <v>-402.45833333333326</v>
      </c>
      <c r="R30" s="206">
        <f t="shared" si="12"/>
        <v>-356.02083333333331</v>
      </c>
      <c r="S30" s="206">
        <f t="shared" si="12"/>
        <v>-111.44999999999999</v>
      </c>
      <c r="T30" s="206">
        <f t="shared" si="12"/>
        <v>-742992.57</v>
      </c>
    </row>
    <row r="31" spans="1:23" x14ac:dyDescent="0.3">
      <c r="F31" s="4" t="s">
        <v>14</v>
      </c>
      <c r="G31" s="206">
        <f t="shared" si="10"/>
        <v>-323.60945297930562</v>
      </c>
      <c r="H31" s="206">
        <f t="shared" si="10"/>
        <v>-312.57335449323358</v>
      </c>
      <c r="I31" s="206">
        <f t="shared" si="10"/>
        <v>-2171866.7199999997</v>
      </c>
      <c r="J31" s="206">
        <f t="shared" si="10"/>
        <v>-314.22400000000005</v>
      </c>
      <c r="K31" s="4" t="s">
        <v>14</v>
      </c>
      <c r="L31" s="206">
        <f t="shared" si="11"/>
        <v>-459.12499999999994</v>
      </c>
      <c r="M31" s="206">
        <f t="shared" si="11"/>
        <v>-406.13749999999993</v>
      </c>
      <c r="N31" s="206">
        <f t="shared" si="11"/>
        <v>-853717.95399999991</v>
      </c>
      <c r="O31" s="206">
        <f t="shared" si="11"/>
        <v>-127.94</v>
      </c>
      <c r="P31" s="4" t="s">
        <v>14</v>
      </c>
      <c r="Q31" s="206">
        <f t="shared" si="12"/>
        <v>-402.45833333333326</v>
      </c>
      <c r="R31" s="206">
        <f t="shared" si="12"/>
        <v>-356.02083333333331</v>
      </c>
      <c r="S31" s="206">
        <f t="shared" si="12"/>
        <v>-742992.57</v>
      </c>
      <c r="T31" s="206">
        <f t="shared" si="12"/>
        <v>-111.44999999999999</v>
      </c>
    </row>
    <row r="32" spans="1:23" x14ac:dyDescent="0.3">
      <c r="F32" s="4" t="s">
        <v>240</v>
      </c>
      <c r="G32" s="4" t="s">
        <v>11</v>
      </c>
      <c r="H32" s="4" t="s">
        <v>12</v>
      </c>
      <c r="I32" s="4" t="s">
        <v>13</v>
      </c>
      <c r="J32" s="4" t="s">
        <v>14</v>
      </c>
      <c r="K32" s="4" t="s">
        <v>241</v>
      </c>
      <c r="L32" s="4" t="s">
        <v>11</v>
      </c>
      <c r="M32" s="4" t="s">
        <v>12</v>
      </c>
      <c r="N32" s="4" t="s">
        <v>13</v>
      </c>
      <c r="O32" s="4" t="s">
        <v>14</v>
      </c>
      <c r="P32" s="4" t="s">
        <v>242</v>
      </c>
      <c r="Q32" s="4" t="s">
        <v>11</v>
      </c>
      <c r="R32" s="4" t="s">
        <v>12</v>
      </c>
      <c r="S32" s="4" t="s">
        <v>13</v>
      </c>
      <c r="T32" s="4" t="s">
        <v>14</v>
      </c>
    </row>
    <row r="33" spans="6:20" x14ac:dyDescent="0.3">
      <c r="F33" s="4" t="s">
        <v>11</v>
      </c>
      <c r="G33" s="206">
        <f>EXP(G28)</f>
        <v>3.4217692442326566E-137</v>
      </c>
      <c r="H33" s="206">
        <f t="shared" ref="H33:J33" si="13">EXP(H28)</f>
        <v>0</v>
      </c>
      <c r="I33" s="206">
        <f t="shared" si="13"/>
        <v>2.6451831873399842E-130</v>
      </c>
      <c r="J33" s="206">
        <f t="shared" si="13"/>
        <v>2.4521893167701445E-134</v>
      </c>
      <c r="K33" s="4" t="s">
        <v>11</v>
      </c>
      <c r="L33" s="206">
        <f>EXP(L28)</f>
        <v>2.7312659172382339E-56</v>
      </c>
      <c r="M33" s="206">
        <f t="shared" ref="M33:O33" si="14">EXP(M28)</f>
        <v>0</v>
      </c>
      <c r="N33" s="206">
        <f t="shared" si="14"/>
        <v>4.0229626097742808E-200</v>
      </c>
      <c r="O33" s="206">
        <f t="shared" si="14"/>
        <v>4.0229626097742808E-200</v>
      </c>
      <c r="P33" s="4" t="s">
        <v>11</v>
      </c>
      <c r="Q33" s="206">
        <f>EXP(Q28)</f>
        <v>3.9616854630931054E-49</v>
      </c>
      <c r="R33" s="206">
        <f t="shared" ref="R33:T33" si="15">EXP(R28)</f>
        <v>0</v>
      </c>
      <c r="S33" s="206">
        <f t="shared" si="15"/>
        <v>1.6389535200335989E-175</v>
      </c>
      <c r="T33" s="206">
        <f t="shared" si="15"/>
        <v>1.6389535200335989E-175</v>
      </c>
    </row>
    <row r="34" spans="6:20" x14ac:dyDescent="0.3">
      <c r="F34" s="4" t="s">
        <v>12</v>
      </c>
      <c r="G34" s="206">
        <f t="shared" ref="G34:J36" si="16">EXP(G29)</f>
        <v>0</v>
      </c>
      <c r="H34" s="206">
        <f t="shared" si="16"/>
        <v>3.4217692442326566E-137</v>
      </c>
      <c r="I34" s="206">
        <f t="shared" si="16"/>
        <v>9.9242830849366851E-130</v>
      </c>
      <c r="J34" s="206">
        <f t="shared" si="16"/>
        <v>4.9327097571281776E-133</v>
      </c>
      <c r="K34" s="4" t="s">
        <v>12</v>
      </c>
      <c r="L34" s="206">
        <f t="shared" ref="L34:O36" si="17">EXP(L29)</f>
        <v>0</v>
      </c>
      <c r="M34" s="206">
        <f t="shared" si="17"/>
        <v>2.7312659172382339E-56</v>
      </c>
      <c r="N34" s="206">
        <f t="shared" si="17"/>
        <v>4.1373747152646684E-177</v>
      </c>
      <c r="O34" s="206">
        <f t="shared" si="17"/>
        <v>4.1373747152646684E-177</v>
      </c>
      <c r="P34" s="4" t="s">
        <v>12</v>
      </c>
      <c r="Q34" s="206">
        <f t="shared" ref="Q34:T36" si="18">EXP(Q29)</f>
        <v>0</v>
      </c>
      <c r="R34" s="206">
        <f t="shared" si="18"/>
        <v>3.9616854630931054E-49</v>
      </c>
      <c r="S34" s="206">
        <f t="shared" si="18"/>
        <v>2.4105527564915954E-155</v>
      </c>
      <c r="T34" s="206">
        <f t="shared" si="18"/>
        <v>2.4105527564915954E-155</v>
      </c>
    </row>
    <row r="35" spans="6:20" x14ac:dyDescent="0.3">
      <c r="F35" s="4" t="s">
        <v>13</v>
      </c>
      <c r="G35" s="206">
        <f t="shared" si="16"/>
        <v>3.0981471198581713E-137</v>
      </c>
      <c r="H35" s="206">
        <f t="shared" si="16"/>
        <v>1.9231745855930119E-132</v>
      </c>
      <c r="I35" s="206">
        <f t="shared" si="16"/>
        <v>3.4217692442326566E-137</v>
      </c>
      <c r="J35" s="206">
        <f t="shared" si="16"/>
        <v>0</v>
      </c>
      <c r="K35" s="4" t="s">
        <v>13</v>
      </c>
      <c r="L35" s="206">
        <f t="shared" si="17"/>
        <v>4.0229626097742808E-200</v>
      </c>
      <c r="M35" s="206">
        <f t="shared" si="17"/>
        <v>4.1373747152646684E-177</v>
      </c>
      <c r="N35" s="206">
        <f t="shared" si="17"/>
        <v>2.7312659172382339E-56</v>
      </c>
      <c r="O35" s="206">
        <f t="shared" si="17"/>
        <v>0</v>
      </c>
      <c r="P35" s="4" t="s">
        <v>13</v>
      </c>
      <c r="Q35" s="206">
        <f t="shared" si="18"/>
        <v>1.6389535200335989E-175</v>
      </c>
      <c r="R35" s="206">
        <f t="shared" si="18"/>
        <v>2.4105527564915954E-155</v>
      </c>
      <c r="S35" s="206">
        <f t="shared" si="18"/>
        <v>3.9616854630931054E-49</v>
      </c>
      <c r="T35" s="206">
        <f t="shared" si="18"/>
        <v>0</v>
      </c>
    </row>
    <row r="36" spans="6:20" x14ac:dyDescent="0.3">
      <c r="F36" s="4" t="s">
        <v>14</v>
      </c>
      <c r="G36" s="206">
        <f t="shared" si="16"/>
        <v>2.8721047772641455E-141</v>
      </c>
      <c r="H36" s="206">
        <f t="shared" si="16"/>
        <v>1.7828588188696294E-136</v>
      </c>
      <c r="I36" s="206">
        <f t="shared" si="16"/>
        <v>0</v>
      </c>
      <c r="J36" s="206">
        <f t="shared" si="16"/>
        <v>3.4217692442326566E-137</v>
      </c>
      <c r="K36" s="4" t="s">
        <v>14</v>
      </c>
      <c r="L36" s="206">
        <f t="shared" si="17"/>
        <v>4.0229626097742808E-200</v>
      </c>
      <c r="M36" s="206">
        <f t="shared" si="17"/>
        <v>4.1373747152646684E-177</v>
      </c>
      <c r="N36" s="206">
        <f t="shared" si="17"/>
        <v>0</v>
      </c>
      <c r="O36" s="206">
        <f t="shared" si="17"/>
        <v>2.7312659172382339E-56</v>
      </c>
      <c r="P36" s="4" t="s">
        <v>14</v>
      </c>
      <c r="Q36" s="206">
        <f t="shared" si="18"/>
        <v>1.6389535200335989E-175</v>
      </c>
      <c r="R36" s="206">
        <f t="shared" si="18"/>
        <v>2.4105527564915954E-155</v>
      </c>
      <c r="S36" s="206">
        <f t="shared" si="18"/>
        <v>0</v>
      </c>
      <c r="T36" s="206">
        <f t="shared" si="18"/>
        <v>3.9616854630931054E-49</v>
      </c>
    </row>
    <row r="37" spans="6:20" x14ac:dyDescent="0.3">
      <c r="F37" s="4" t="s">
        <v>217</v>
      </c>
      <c r="G37" s="4" t="s">
        <v>11</v>
      </c>
      <c r="H37" s="4" t="s">
        <v>12</v>
      </c>
      <c r="I37" s="4" t="s">
        <v>13</v>
      </c>
      <c r="J37" s="4" t="s">
        <v>14</v>
      </c>
      <c r="K37" s="4" t="s">
        <v>216</v>
      </c>
      <c r="L37" s="4" t="s">
        <v>11</v>
      </c>
      <c r="M37" s="4" t="s">
        <v>12</v>
      </c>
      <c r="N37" s="4" t="s">
        <v>13</v>
      </c>
      <c r="O37" s="4" t="s">
        <v>14</v>
      </c>
      <c r="P37" s="4" t="s">
        <v>215</v>
      </c>
      <c r="Q37" s="4" t="s">
        <v>11</v>
      </c>
      <c r="R37" s="4" t="s">
        <v>12</v>
      </c>
      <c r="S37" s="4" t="s">
        <v>13</v>
      </c>
      <c r="T37" s="4" t="s">
        <v>14</v>
      </c>
    </row>
    <row r="38" spans="6:20" x14ac:dyDescent="0.3">
      <c r="F38" s="4" t="s">
        <v>11</v>
      </c>
      <c r="G38" s="206">
        <f>G33/(G33+L33+Q33)</f>
        <v>8.6371546661289762E-89</v>
      </c>
      <c r="H38" s="206" t="e">
        <f t="shared" ref="H38:J41" si="19">H33/(H33+M33+R33)</f>
        <v>#DIV/0!</v>
      </c>
      <c r="I38" s="206">
        <f>I33/(I33+N33+S33)</f>
        <v>1</v>
      </c>
      <c r="J38" s="206">
        <f t="shared" si="19"/>
        <v>1</v>
      </c>
      <c r="K38" s="4" t="s">
        <v>11</v>
      </c>
      <c r="L38" s="206">
        <f>L33/(G33+L33+Q33)</f>
        <v>6.894201355417078E-8</v>
      </c>
      <c r="M38" s="206" t="e">
        <f t="shared" ref="M38:O41" si="20">M33/(H33+M33+R33)</f>
        <v>#DIV/0!</v>
      </c>
      <c r="N38" s="206">
        <f t="shared" si="20"/>
        <v>1.5208635186509716E-70</v>
      </c>
      <c r="O38" s="206">
        <f t="shared" si="20"/>
        <v>1.6405595531559737E-66</v>
      </c>
      <c r="P38" s="4" t="s">
        <v>11</v>
      </c>
      <c r="Q38" s="206">
        <f>Q33/(G33+L33+Q33)</f>
        <v>0.99999993105798646</v>
      </c>
      <c r="R38" s="206" t="e">
        <f t="shared" ref="R38:T41" si="21">R33/(H33+M33+R33)</f>
        <v>#DIV/0!</v>
      </c>
      <c r="S38" s="206">
        <f t="shared" si="21"/>
        <v>6.1959925039510885E-46</v>
      </c>
      <c r="T38" s="206">
        <f t="shared" si="21"/>
        <v>6.6836337179395101E-42</v>
      </c>
    </row>
    <row r="39" spans="6:20" x14ac:dyDescent="0.3">
      <c r="F39" s="4" t="s">
        <v>12</v>
      </c>
      <c r="G39" s="206" t="e">
        <f t="shared" ref="G39:G41" si="22">G34/(G34+L34+Q34)</f>
        <v>#DIV/0!</v>
      </c>
      <c r="H39" s="206">
        <f t="shared" si="19"/>
        <v>8.6371546661289762E-89</v>
      </c>
      <c r="I39" s="206">
        <f t="shared" si="19"/>
        <v>1</v>
      </c>
      <c r="J39" s="206">
        <f t="shared" si="19"/>
        <v>1</v>
      </c>
      <c r="K39" s="4" t="s">
        <v>12</v>
      </c>
      <c r="L39" s="206" t="e">
        <f t="shared" ref="L39:L41" si="23">L34/(G34+L34+Q34)</f>
        <v>#DIV/0!</v>
      </c>
      <c r="M39" s="206">
        <f t="shared" si="20"/>
        <v>6.894201355417078E-8</v>
      </c>
      <c r="N39" s="206">
        <f t="shared" si="20"/>
        <v>4.1689406477576957E-48</v>
      </c>
      <c r="O39" s="206">
        <f t="shared" si="20"/>
        <v>8.387630570166462E-45</v>
      </c>
      <c r="P39" s="4" t="s">
        <v>12</v>
      </c>
      <c r="Q39" s="206" t="e">
        <f t="shared" ref="Q39:Q41" si="24">Q34/(G34+L34+Q34)</f>
        <v>#DIV/0!</v>
      </c>
      <c r="R39" s="206">
        <f t="shared" si="21"/>
        <v>0.99999993105798646</v>
      </c>
      <c r="S39" s="206">
        <f t="shared" si="21"/>
        <v>2.4289439709256079E-26</v>
      </c>
      <c r="T39" s="206">
        <f t="shared" si="21"/>
        <v>4.886873291111737E-23</v>
      </c>
    </row>
    <row r="40" spans="6:20" x14ac:dyDescent="0.3">
      <c r="F40" s="4" t="s">
        <v>13</v>
      </c>
      <c r="G40" s="206">
        <f t="shared" si="22"/>
        <v>1</v>
      </c>
      <c r="H40" s="206">
        <f t="shared" si="19"/>
        <v>1</v>
      </c>
      <c r="I40" s="206">
        <f t="shared" si="19"/>
        <v>8.6371546661289762E-89</v>
      </c>
      <c r="J40" s="206" t="e">
        <f t="shared" si="19"/>
        <v>#DIV/0!</v>
      </c>
      <c r="K40" s="4" t="s">
        <v>13</v>
      </c>
      <c r="L40" s="206">
        <f t="shared" si="23"/>
        <v>1.2985059954023249E-63</v>
      </c>
      <c r="M40" s="206">
        <f t="shared" si="20"/>
        <v>2.1513255979248016E-45</v>
      </c>
      <c r="N40" s="206">
        <f t="shared" si="20"/>
        <v>6.894201355417078E-8</v>
      </c>
      <c r="O40" s="206" t="e">
        <f t="shared" si="20"/>
        <v>#DIV/0!</v>
      </c>
      <c r="P40" s="4" t="s">
        <v>13</v>
      </c>
      <c r="Q40" s="206">
        <f t="shared" si="24"/>
        <v>5.2901087541272986E-39</v>
      </c>
      <c r="R40" s="206">
        <f t="shared" si="21"/>
        <v>1.2534237788652455E-23</v>
      </c>
      <c r="S40" s="206">
        <f t="shared" si="21"/>
        <v>0.99999993105798646</v>
      </c>
      <c r="T40" s="206" t="e">
        <f t="shared" si="21"/>
        <v>#DIV/0!</v>
      </c>
    </row>
    <row r="41" spans="6:20" x14ac:dyDescent="0.3">
      <c r="F41" s="4" t="s">
        <v>14</v>
      </c>
      <c r="G41" s="206">
        <f t="shared" si="22"/>
        <v>1</v>
      </c>
      <c r="H41" s="206">
        <f t="shared" si="19"/>
        <v>1</v>
      </c>
      <c r="I41" s="206" t="e">
        <f t="shared" si="19"/>
        <v>#DIV/0!</v>
      </c>
      <c r="J41" s="206">
        <f t="shared" si="19"/>
        <v>8.6371546661289762E-89</v>
      </c>
      <c r="K41" s="4" t="s">
        <v>14</v>
      </c>
      <c r="L41" s="206">
        <f t="shared" si="23"/>
        <v>1.4007018969573934E-59</v>
      </c>
      <c r="M41" s="206">
        <f t="shared" si="20"/>
        <v>2.3206406875715781E-41</v>
      </c>
      <c r="N41" s="206" t="e">
        <f t="shared" si="20"/>
        <v>#DIV/0!</v>
      </c>
      <c r="O41" s="206">
        <f t="shared" si="20"/>
        <v>6.894201355417078E-8</v>
      </c>
      <c r="P41" s="4" t="s">
        <v>14</v>
      </c>
      <c r="Q41" s="206">
        <f t="shared" si="24"/>
        <v>5.7064544894312733E-35</v>
      </c>
      <c r="R41" s="206">
        <f t="shared" si="21"/>
        <v>1.3520715891681975E-19</v>
      </c>
      <c r="S41" s="206" t="e">
        <f t="shared" si="21"/>
        <v>#DIV/0!</v>
      </c>
      <c r="T41" s="206">
        <f t="shared" si="21"/>
        <v>0.99999993105798646</v>
      </c>
    </row>
    <row r="44" spans="6:20" x14ac:dyDescent="0.3">
      <c r="F44" t="s">
        <v>2</v>
      </c>
      <c r="K44" s="199" t="s">
        <v>2</v>
      </c>
      <c r="P44" t="s">
        <v>2</v>
      </c>
    </row>
    <row r="45" spans="6:20" x14ac:dyDescent="0.3">
      <c r="F45" t="s">
        <v>10</v>
      </c>
      <c r="G45" t="s">
        <v>11</v>
      </c>
      <c r="H45" t="s">
        <v>12</v>
      </c>
      <c r="I45" t="s">
        <v>13</v>
      </c>
      <c r="J45" t="s">
        <v>14</v>
      </c>
      <c r="K45" s="199" t="s">
        <v>10</v>
      </c>
      <c r="L45" s="199" t="s">
        <v>11</v>
      </c>
      <c r="M45" s="199" t="s">
        <v>12</v>
      </c>
      <c r="N45" s="199" t="s">
        <v>13</v>
      </c>
      <c r="O45" s="199" t="s">
        <v>14</v>
      </c>
      <c r="P45" t="s">
        <v>10</v>
      </c>
      <c r="Q45" t="s">
        <v>11</v>
      </c>
      <c r="R45" t="s">
        <v>12</v>
      </c>
      <c r="S45" t="s">
        <v>13</v>
      </c>
      <c r="T45" t="s">
        <v>14</v>
      </c>
    </row>
    <row r="46" spans="6:20" x14ac:dyDescent="0.3">
      <c r="F46" t="s">
        <v>11</v>
      </c>
      <c r="G46">
        <f>'Trip Length Frequency'!I28</f>
        <v>15</v>
      </c>
      <c r="H46">
        <f>'Trip Length Frequency'!J28</f>
        <v>99999</v>
      </c>
      <c r="I46">
        <f>'Trip Length Frequency'!K28</f>
        <v>14.269732573706907</v>
      </c>
      <c r="J46">
        <f>'Trip Length Frequency'!L28</f>
        <v>14.697289066576978</v>
      </c>
      <c r="K46" s="199" t="s">
        <v>11</v>
      </c>
      <c r="L46" s="199">
        <v>15</v>
      </c>
      <c r="M46" s="199">
        <v>99999</v>
      </c>
      <c r="N46" s="199">
        <v>21.666666666666664</v>
      </c>
      <c r="O46" s="199">
        <v>21.666666666666664</v>
      </c>
      <c r="P46" t="s">
        <v>11</v>
      </c>
      <c r="Q46">
        <v>15</v>
      </c>
      <c r="R46">
        <v>99999</v>
      </c>
      <c r="S46">
        <v>54.166666666666657</v>
      </c>
      <c r="T46">
        <v>54.166666666666657</v>
      </c>
    </row>
    <row r="47" spans="6:20" x14ac:dyDescent="0.3">
      <c r="F47" t="s">
        <v>12</v>
      </c>
      <c r="G47">
        <f>'Trip Length Frequency'!I29</f>
        <v>99999</v>
      </c>
      <c r="H47">
        <f>'Trip Length Frequency'!J29</f>
        <v>15</v>
      </c>
      <c r="I47">
        <f>'Trip Length Frequency'!K29</f>
        <v>14.208852962775328</v>
      </c>
      <c r="J47">
        <f>'Trip Length Frequency'!L29</f>
        <v>14.559092448302289</v>
      </c>
      <c r="K47" s="199" t="s">
        <v>12</v>
      </c>
      <c r="L47" s="199">
        <v>99999</v>
      </c>
      <c r="M47" s="199">
        <v>15</v>
      </c>
      <c r="N47" s="199">
        <v>19.166666666666664</v>
      </c>
      <c r="O47" s="199">
        <v>19.166666666666664</v>
      </c>
      <c r="P47" t="s">
        <v>12</v>
      </c>
      <c r="Q47">
        <v>99999</v>
      </c>
      <c r="R47">
        <v>15</v>
      </c>
      <c r="S47">
        <v>47.916666666666664</v>
      </c>
      <c r="T47">
        <v>47.916666666666664</v>
      </c>
    </row>
    <row r="48" spans="6:20" x14ac:dyDescent="0.3">
      <c r="F48" t="s">
        <v>13</v>
      </c>
      <c r="G48">
        <f>'Trip Length Frequency'!I30</f>
        <v>15.004574497475044</v>
      </c>
      <c r="H48">
        <f>'Trip Length Frequency'!J30</f>
        <v>14.496443437754429</v>
      </c>
      <c r="I48">
        <f>'Trip Length Frequency'!K30</f>
        <v>15</v>
      </c>
      <c r="J48">
        <f>'Trip Length Frequency'!L30</f>
        <v>99999</v>
      </c>
      <c r="K48" s="199" t="s">
        <v>13</v>
      </c>
      <c r="L48" s="199">
        <v>21.666666666666664</v>
      </c>
      <c r="M48" s="199">
        <v>19.166666666666664</v>
      </c>
      <c r="N48" s="199">
        <v>15</v>
      </c>
      <c r="O48" s="199">
        <v>99999</v>
      </c>
      <c r="P48" t="s">
        <v>13</v>
      </c>
      <c r="Q48">
        <v>54.166666666666657</v>
      </c>
      <c r="R48">
        <v>47.916666666666664</v>
      </c>
      <c r="S48">
        <v>15</v>
      </c>
      <c r="T48">
        <v>99999</v>
      </c>
    </row>
    <row r="49" spans="6:20" x14ac:dyDescent="0.3">
      <c r="F49" t="s">
        <v>14</v>
      </c>
      <c r="G49">
        <f>'Trip Length Frequency'!I31</f>
        <v>15.432130990345117</v>
      </c>
      <c r="H49">
        <f>'Trip Length Frequency'!J31</f>
        <v>14.923999930624502</v>
      </c>
      <c r="I49">
        <f>'Trip Length Frequency'!K31</f>
        <v>99999</v>
      </c>
      <c r="J49">
        <f>'Trip Length Frequency'!L31</f>
        <v>15</v>
      </c>
      <c r="K49" s="199" t="s">
        <v>14</v>
      </c>
      <c r="L49" s="199">
        <v>21.666666666666664</v>
      </c>
      <c r="M49" s="199">
        <v>19.166666666666664</v>
      </c>
      <c r="N49" s="199">
        <v>99999</v>
      </c>
      <c r="O49" s="199">
        <v>15</v>
      </c>
      <c r="P49" t="s">
        <v>14</v>
      </c>
      <c r="Q49">
        <v>54.166666666666657</v>
      </c>
      <c r="R49">
        <v>47.916666666666664</v>
      </c>
      <c r="S49">
        <v>99999</v>
      </c>
      <c r="T49">
        <v>15</v>
      </c>
    </row>
    <row r="51" spans="6:20" x14ac:dyDescent="0.3">
      <c r="F51" s="199"/>
      <c r="G51" s="199"/>
      <c r="H51" s="199"/>
      <c r="I51" s="199"/>
      <c r="J51" s="199"/>
      <c r="K51" t="s">
        <v>3</v>
      </c>
      <c r="M51"/>
      <c r="N51"/>
      <c r="O51"/>
      <c r="P51"/>
    </row>
    <row r="52" spans="6:20" x14ac:dyDescent="0.3">
      <c r="F52" s="199"/>
      <c r="G52" s="199"/>
      <c r="H52" s="199"/>
      <c r="I52" s="199"/>
      <c r="J52" s="199"/>
      <c r="K52" t="s">
        <v>243</v>
      </c>
      <c r="L52" t="s">
        <v>11</v>
      </c>
      <c r="M52" t="s">
        <v>12</v>
      </c>
      <c r="N52" t="s">
        <v>13</v>
      </c>
      <c r="O52" t="s">
        <v>14</v>
      </c>
      <c r="P52"/>
    </row>
    <row r="53" spans="6:20" x14ac:dyDescent="0.3">
      <c r="F53" s="199"/>
      <c r="G53" s="199"/>
      <c r="H53" s="199"/>
      <c r="I53" s="199"/>
      <c r="J53" s="199"/>
      <c r="K53" t="s">
        <v>11</v>
      </c>
      <c r="L53">
        <v>0</v>
      </c>
      <c r="M53">
        <v>10</v>
      </c>
      <c r="N53">
        <v>10.833333333333332</v>
      </c>
      <c r="O53">
        <v>10.833333333333332</v>
      </c>
      <c r="P53"/>
    </row>
    <row r="54" spans="6:20" x14ac:dyDescent="0.3">
      <c r="F54" s="199"/>
      <c r="G54" s="199"/>
      <c r="H54" s="199"/>
      <c r="I54" s="199"/>
      <c r="J54" s="199"/>
      <c r="K54" t="s">
        <v>12</v>
      </c>
      <c r="L54">
        <v>10</v>
      </c>
      <c r="M54">
        <v>0</v>
      </c>
      <c r="N54">
        <v>9.5833333333333321</v>
      </c>
      <c r="O54">
        <v>9.5833333333333321</v>
      </c>
      <c r="P54"/>
    </row>
    <row r="55" spans="6:20" x14ac:dyDescent="0.3">
      <c r="F55" s="199"/>
      <c r="G55" s="199"/>
      <c r="H55" s="199"/>
      <c r="I55" s="199"/>
      <c r="J55" s="199"/>
      <c r="K55" t="s">
        <v>13</v>
      </c>
      <c r="L55">
        <v>10.833333333333332</v>
      </c>
      <c r="M55">
        <v>9.5833333333333321</v>
      </c>
      <c r="N55">
        <v>0</v>
      </c>
      <c r="O55">
        <v>5</v>
      </c>
      <c r="P55"/>
    </row>
    <row r="56" spans="6:20" x14ac:dyDescent="0.3">
      <c r="F56" s="199"/>
      <c r="G56" s="199"/>
      <c r="H56" s="199"/>
      <c r="I56" s="199"/>
      <c r="J56" s="199"/>
      <c r="K56" t="s">
        <v>14</v>
      </c>
      <c r="L56">
        <v>10.833333333333332</v>
      </c>
      <c r="M56">
        <v>9.5833333333333321</v>
      </c>
      <c r="N56">
        <v>5</v>
      </c>
      <c r="O56">
        <v>0</v>
      </c>
      <c r="P56"/>
    </row>
    <row r="60" spans="6:20" ht="15.6" x14ac:dyDescent="0.3">
      <c r="F60" s="164"/>
    </row>
  </sheetData>
  <mergeCells count="7">
    <mergeCell ref="S1:S2"/>
    <mergeCell ref="A1:A2"/>
    <mergeCell ref="E1:F1"/>
    <mergeCell ref="G1:H1"/>
    <mergeCell ref="J1:L1"/>
    <mergeCell ref="M1:O1"/>
    <mergeCell ref="P1:R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CE2B1-B7E1-4122-A320-58E9AEDC9117}">
  <dimension ref="A2:AS115"/>
  <sheetViews>
    <sheetView tabSelected="1" topLeftCell="H88" zoomScale="76" zoomScaleNormal="76" workbookViewId="0">
      <selection activeCell="R114" sqref="R114"/>
    </sheetView>
  </sheetViews>
  <sheetFormatPr defaultRowHeight="14.4" x14ac:dyDescent="0.3"/>
  <cols>
    <col min="2" max="2" width="10.5546875" customWidth="1"/>
    <col min="3" max="3" width="13.6640625" customWidth="1"/>
    <col min="4" max="4" width="8.88671875" customWidth="1"/>
    <col min="5" max="5" width="15.77734375" customWidth="1"/>
    <col min="6" max="6" width="11.33203125" customWidth="1"/>
    <col min="7" max="7" width="17.44140625" customWidth="1"/>
    <col min="8" max="8" width="14.33203125" customWidth="1"/>
    <col min="9" max="9" width="12.88671875" customWidth="1"/>
    <col min="10" max="10" width="9.77734375" bestFit="1" customWidth="1"/>
    <col min="11" max="11" width="10.77734375" customWidth="1"/>
    <col min="12" max="12" width="12.5546875" customWidth="1"/>
    <col min="13" max="13" width="12.88671875" customWidth="1"/>
    <col min="14" max="14" width="11.21875" customWidth="1"/>
    <col min="16" max="16" width="12.44140625" bestFit="1" customWidth="1"/>
    <col min="17" max="17" width="8.5546875" customWidth="1"/>
    <col min="18" max="18" width="13.77734375" customWidth="1"/>
    <col min="19" max="19" width="8.77734375" customWidth="1"/>
    <col min="20" max="20" width="13.88671875" customWidth="1"/>
    <col min="21" max="21" width="16.77734375" customWidth="1"/>
    <col min="22" max="22" width="14" customWidth="1"/>
    <col min="23" max="23" width="11.109375" customWidth="1"/>
    <col min="24" max="24" width="18.33203125" customWidth="1"/>
    <col min="25" max="25" width="17.109375" customWidth="1"/>
    <col min="26" max="26" width="15.33203125" bestFit="1" customWidth="1"/>
    <col min="27" max="27" width="17.109375" bestFit="1" customWidth="1"/>
    <col min="28" max="28" width="13.21875" customWidth="1"/>
    <col min="29" max="39" width="15.33203125" bestFit="1" customWidth="1"/>
    <col min="40" max="40" width="16.33203125" bestFit="1" customWidth="1"/>
  </cols>
  <sheetData>
    <row r="2" spans="2:45" x14ac:dyDescent="0.3">
      <c r="B2" s="1"/>
    </row>
    <row r="3" spans="2:45" x14ac:dyDescent="0.3">
      <c r="B3" s="1"/>
      <c r="T3" t="s">
        <v>0</v>
      </c>
    </row>
    <row r="4" spans="2:45" x14ac:dyDescent="0.3">
      <c r="B4" s="1" t="s">
        <v>1</v>
      </c>
      <c r="Z4" s="2" t="s">
        <v>2</v>
      </c>
      <c r="AF4" s="2" t="s">
        <v>3</v>
      </c>
    </row>
    <row r="5" spans="2:45" x14ac:dyDescent="0.3">
      <c r="S5" t="s">
        <v>4</v>
      </c>
      <c r="T5" s="3" t="s">
        <v>5</v>
      </c>
      <c r="U5" s="3" t="s">
        <v>6</v>
      </c>
      <c r="V5" s="3" t="s">
        <v>7</v>
      </c>
      <c r="W5" s="3" t="s">
        <v>8</v>
      </c>
      <c r="X5" s="3" t="s">
        <v>9</v>
      </c>
      <c r="Z5" s="4" t="s">
        <v>10</v>
      </c>
      <c r="AA5" s="4" t="s">
        <v>11</v>
      </c>
      <c r="AB5" s="4" t="s">
        <v>12</v>
      </c>
      <c r="AC5" s="4" t="s">
        <v>13</v>
      </c>
      <c r="AD5" s="4" t="s">
        <v>14</v>
      </c>
      <c r="AF5" s="4" t="str">
        <f>'[2](Normal UE)Network Transit'!AF5</f>
        <v>Dij</v>
      </c>
      <c r="AG5" s="4" t="str">
        <f>'[2](Normal UE)Network Transit'!AG5</f>
        <v>A</v>
      </c>
      <c r="AH5" s="4" t="str">
        <f>'[2](Normal UE)Network Transit'!AH5</f>
        <v>B</v>
      </c>
      <c r="AI5" s="4" t="str">
        <f>'[2](Normal UE)Network Transit'!AI5</f>
        <v>C</v>
      </c>
      <c r="AJ5" s="4" t="str">
        <f>'[2](Normal UE)Network Transit'!AJ5</f>
        <v>D</v>
      </c>
    </row>
    <row r="6" spans="2:45" x14ac:dyDescent="0.3">
      <c r="T6" s="5">
        <v>1</v>
      </c>
      <c r="U6" s="6">
        <v>60</v>
      </c>
      <c r="V6" s="7">
        <f t="shared" ref="V6:V24" si="0">W6/60*U6</f>
        <v>2.5</v>
      </c>
      <c r="W6" s="6">
        <v>2.5</v>
      </c>
      <c r="X6" s="8">
        <v>3000</v>
      </c>
      <c r="Z6" s="4" t="s">
        <v>11</v>
      </c>
      <c r="AA6" s="4">
        <v>15</v>
      </c>
      <c r="AB6" s="4">
        <v>99999</v>
      </c>
      <c r="AC6" s="4">
        <v>12.5</v>
      </c>
      <c r="AD6" s="4">
        <v>12.5</v>
      </c>
      <c r="AF6" s="4" t="str">
        <f>'[2](Normal UE)Network Transit'!AF6</f>
        <v>A</v>
      </c>
      <c r="AG6" s="9">
        <f>'[2](Normal UE)Network Transit'!AG6</f>
        <v>0</v>
      </c>
      <c r="AH6" s="9">
        <f>'[2](Normal UE)Network Transit'!AH6</f>
        <v>10</v>
      </c>
      <c r="AI6" s="10">
        <f>'[2](Normal UE)Network Transit'!AI6</f>
        <v>10.833333333333332</v>
      </c>
      <c r="AJ6" s="9">
        <f>'[2](Normal UE)Network Transit'!AJ6</f>
        <v>10.833333333333332</v>
      </c>
    </row>
    <row r="7" spans="2:45" x14ac:dyDescent="0.3">
      <c r="T7" s="5">
        <v>2</v>
      </c>
      <c r="U7" s="6">
        <v>60</v>
      </c>
      <c r="V7" s="7">
        <f t="shared" si="0"/>
        <v>2.5</v>
      </c>
      <c r="W7" s="6">
        <v>2.5</v>
      </c>
      <c r="X7" s="8">
        <v>1500</v>
      </c>
      <c r="Z7" s="4" t="s">
        <v>12</v>
      </c>
      <c r="AA7" s="4">
        <v>99999</v>
      </c>
      <c r="AB7" s="4">
        <v>15</v>
      </c>
      <c r="AC7" s="4">
        <v>10</v>
      </c>
      <c r="AD7" s="4">
        <v>10</v>
      </c>
      <c r="AF7" s="4" t="str">
        <f>'[2](Normal UE)Network Transit'!AF7</f>
        <v>B</v>
      </c>
      <c r="AG7" s="9">
        <f>'[2](Normal UE)Network Transit'!AG7</f>
        <v>10</v>
      </c>
      <c r="AH7" s="9">
        <f>'[2](Normal UE)Network Transit'!AH7</f>
        <v>0</v>
      </c>
      <c r="AI7" s="10">
        <f>'[2](Normal UE)Network Transit'!AI7</f>
        <v>9.5833333333333321</v>
      </c>
      <c r="AJ7" s="9">
        <f>'[2](Normal UE)Network Transit'!AJ7</f>
        <v>9.5833333333333321</v>
      </c>
    </row>
    <row r="8" spans="2:45" x14ac:dyDescent="0.3">
      <c r="T8" s="5">
        <v>3</v>
      </c>
      <c r="U8" s="6">
        <v>40</v>
      </c>
      <c r="V8" s="7">
        <f t="shared" si="0"/>
        <v>1.6666666666666665</v>
      </c>
      <c r="W8" s="6">
        <v>2.5</v>
      </c>
      <c r="X8" s="8">
        <v>2000</v>
      </c>
      <c r="Z8" s="4" t="s">
        <v>13</v>
      </c>
      <c r="AA8" s="4">
        <v>12.5</v>
      </c>
      <c r="AB8" s="4">
        <v>10</v>
      </c>
      <c r="AC8" s="4">
        <v>15</v>
      </c>
      <c r="AD8" s="4">
        <v>99999</v>
      </c>
      <c r="AF8" s="4" t="str">
        <f>'[2](Normal UE)Network Transit'!AF8</f>
        <v>C</v>
      </c>
      <c r="AG8" s="10">
        <f>'[2](Normal UE)Network Transit'!AG8</f>
        <v>10.833333333333332</v>
      </c>
      <c r="AH8" s="10">
        <f>'[2](Normal UE)Network Transit'!AH8</f>
        <v>9.5833333333333321</v>
      </c>
      <c r="AI8" s="9">
        <f>'[2](Normal UE)Network Transit'!AI8</f>
        <v>0</v>
      </c>
      <c r="AJ8" s="9">
        <f>'[2](Normal UE)Network Transit'!AJ8</f>
        <v>5</v>
      </c>
    </row>
    <row r="9" spans="2:45" x14ac:dyDescent="0.3">
      <c r="T9" s="5">
        <v>4</v>
      </c>
      <c r="U9" s="6">
        <v>40</v>
      </c>
      <c r="V9" s="7">
        <f t="shared" si="0"/>
        <v>2.5</v>
      </c>
      <c r="W9" s="6">
        <v>3.75</v>
      </c>
      <c r="X9" s="8">
        <v>3000</v>
      </c>
      <c r="Z9" s="4" t="s">
        <v>14</v>
      </c>
      <c r="AA9" s="4">
        <v>12.5</v>
      </c>
      <c r="AB9" s="4">
        <v>10</v>
      </c>
      <c r="AC9" s="4">
        <v>99999</v>
      </c>
      <c r="AD9" s="4">
        <v>15</v>
      </c>
      <c r="AF9" s="4" t="str">
        <f>'[2](Normal UE)Network Transit'!AF9</f>
        <v>D</v>
      </c>
      <c r="AG9" s="10">
        <f>'[2](Normal UE)Network Transit'!AG9</f>
        <v>10.833333333333332</v>
      </c>
      <c r="AH9" s="9">
        <f>'[2](Normal UE)Network Transit'!AH9</f>
        <v>9.5833333333333321</v>
      </c>
      <c r="AI9" s="9">
        <f>'[2](Normal UE)Network Transit'!AI9</f>
        <v>5</v>
      </c>
      <c r="AJ9" s="9">
        <f>'[2](Normal UE)Network Transit'!AJ9</f>
        <v>0</v>
      </c>
    </row>
    <row r="10" spans="2:45" x14ac:dyDescent="0.3">
      <c r="T10" s="5">
        <v>5</v>
      </c>
      <c r="U10" s="6">
        <v>60</v>
      </c>
      <c r="V10" s="7">
        <f t="shared" si="0"/>
        <v>2.5</v>
      </c>
      <c r="W10" s="6">
        <v>2.5</v>
      </c>
      <c r="X10" s="8">
        <v>2000</v>
      </c>
    </row>
    <row r="11" spans="2:45" x14ac:dyDescent="0.3">
      <c r="T11" s="5">
        <v>6</v>
      </c>
      <c r="U11" s="6">
        <v>40</v>
      </c>
      <c r="V11" s="7">
        <f t="shared" si="0"/>
        <v>1.6666666666666665</v>
      </c>
      <c r="W11" s="6">
        <v>2.5</v>
      </c>
      <c r="X11" s="8">
        <v>1500</v>
      </c>
    </row>
    <row r="12" spans="2:45" x14ac:dyDescent="0.3">
      <c r="T12" s="5">
        <v>7</v>
      </c>
      <c r="U12" s="6">
        <v>40</v>
      </c>
      <c r="V12" s="7">
        <f t="shared" si="0"/>
        <v>1.6666666666666665</v>
      </c>
      <c r="W12" s="6">
        <v>2.5</v>
      </c>
      <c r="X12" s="8">
        <v>3000</v>
      </c>
      <c r="AF12" s="11"/>
    </row>
    <row r="13" spans="2:45" x14ac:dyDescent="0.3">
      <c r="T13" s="5">
        <v>8</v>
      </c>
      <c r="U13" s="6">
        <v>60</v>
      </c>
      <c r="V13" s="7">
        <f t="shared" si="0"/>
        <v>2.5</v>
      </c>
      <c r="W13" s="6">
        <v>2.5</v>
      </c>
      <c r="X13" s="8">
        <v>1000</v>
      </c>
      <c r="AF13" s="6"/>
      <c r="AG13" s="6"/>
      <c r="AH13" s="6"/>
      <c r="AI13" s="6"/>
      <c r="AJ13" s="6"/>
    </row>
    <row r="14" spans="2:45" x14ac:dyDescent="0.3">
      <c r="T14" s="5">
        <v>9</v>
      </c>
      <c r="U14" s="6">
        <v>60</v>
      </c>
      <c r="V14" s="7">
        <f t="shared" si="0"/>
        <v>2.5</v>
      </c>
      <c r="W14" s="6">
        <v>2.5</v>
      </c>
      <c r="X14" s="8">
        <v>1000</v>
      </c>
      <c r="AF14" s="6"/>
      <c r="AG14" s="6"/>
      <c r="AH14" s="6"/>
      <c r="AI14" s="6"/>
      <c r="AJ14" s="6"/>
    </row>
    <row r="15" spans="2:45" x14ac:dyDescent="0.3">
      <c r="T15" s="5">
        <v>10</v>
      </c>
      <c r="U15" s="6">
        <v>60</v>
      </c>
      <c r="V15" s="7">
        <f t="shared" si="0"/>
        <v>2.5</v>
      </c>
      <c r="W15" s="6">
        <v>2.5</v>
      </c>
      <c r="X15" s="8">
        <v>1250</v>
      </c>
      <c r="Z15" s="3" t="s">
        <v>8</v>
      </c>
      <c r="AA15" s="6">
        <v>2.5</v>
      </c>
      <c r="AB15" s="6">
        <v>2.5</v>
      </c>
      <c r="AC15" s="6">
        <v>2.5</v>
      </c>
      <c r="AD15" s="6">
        <v>3.75</v>
      </c>
      <c r="AE15" s="6">
        <v>2.5</v>
      </c>
      <c r="AF15" s="6">
        <v>2.5</v>
      </c>
      <c r="AG15" s="6">
        <v>2.5</v>
      </c>
      <c r="AH15" s="6">
        <v>2.5</v>
      </c>
      <c r="AI15" s="6">
        <v>2.5</v>
      </c>
      <c r="AJ15" s="6">
        <v>2.5</v>
      </c>
      <c r="AK15" s="6">
        <v>2.5</v>
      </c>
      <c r="AL15" s="6">
        <v>2.5</v>
      </c>
      <c r="AM15" s="6">
        <v>3.75</v>
      </c>
      <c r="AN15" s="6">
        <v>2.5</v>
      </c>
      <c r="AO15" s="6">
        <v>2.5</v>
      </c>
      <c r="AP15" s="6">
        <v>2.5</v>
      </c>
      <c r="AQ15" s="6">
        <v>2.5</v>
      </c>
      <c r="AR15" s="6">
        <v>7.5</v>
      </c>
      <c r="AS15" s="12">
        <v>10</v>
      </c>
    </row>
    <row r="16" spans="2:45" x14ac:dyDescent="0.3">
      <c r="T16" s="5">
        <v>11</v>
      </c>
      <c r="U16" s="6">
        <v>60</v>
      </c>
      <c r="V16" s="7">
        <f t="shared" si="0"/>
        <v>2.5</v>
      </c>
      <c r="W16" s="6">
        <v>2.5</v>
      </c>
      <c r="X16" s="8">
        <v>2000</v>
      </c>
      <c r="Z16" s="3" t="s">
        <v>9</v>
      </c>
      <c r="AA16" s="8">
        <v>3000</v>
      </c>
      <c r="AB16" s="8">
        <v>1500</v>
      </c>
      <c r="AC16" s="8">
        <v>2000</v>
      </c>
      <c r="AD16" s="8">
        <v>3000</v>
      </c>
      <c r="AE16" s="8">
        <v>2000</v>
      </c>
      <c r="AF16" s="8">
        <v>1500</v>
      </c>
      <c r="AG16" s="8">
        <v>3000</v>
      </c>
      <c r="AH16" s="8">
        <v>1000</v>
      </c>
      <c r="AI16" s="8">
        <v>1000</v>
      </c>
      <c r="AJ16" s="8">
        <v>1250</v>
      </c>
      <c r="AK16" s="8">
        <v>2000</v>
      </c>
      <c r="AL16" s="8">
        <v>2000</v>
      </c>
      <c r="AM16" s="8">
        <v>2000</v>
      </c>
      <c r="AN16" s="8">
        <v>2000</v>
      </c>
      <c r="AO16" s="8">
        <v>2250</v>
      </c>
      <c r="AP16" s="8">
        <v>2500</v>
      </c>
      <c r="AQ16" s="8">
        <v>1500</v>
      </c>
      <c r="AR16" s="8">
        <v>1500</v>
      </c>
      <c r="AS16" s="13">
        <v>2250</v>
      </c>
    </row>
    <row r="17" spans="2:36" x14ac:dyDescent="0.3">
      <c r="T17" s="5">
        <v>12</v>
      </c>
      <c r="U17" s="6">
        <v>60</v>
      </c>
      <c r="V17" s="7">
        <f t="shared" si="0"/>
        <v>2.5</v>
      </c>
      <c r="W17" s="6">
        <v>2.5</v>
      </c>
      <c r="X17" s="8">
        <v>2000</v>
      </c>
      <c r="AF17" s="6"/>
      <c r="AG17" s="6"/>
      <c r="AH17" s="6"/>
      <c r="AI17" s="6"/>
      <c r="AJ17" s="6"/>
    </row>
    <row r="18" spans="2:36" x14ac:dyDescent="0.3">
      <c r="T18" s="5">
        <v>13</v>
      </c>
      <c r="U18" s="6">
        <v>40</v>
      </c>
      <c r="V18" s="7">
        <f t="shared" si="0"/>
        <v>2.5</v>
      </c>
      <c r="W18" s="6">
        <v>3.75</v>
      </c>
      <c r="X18" s="8">
        <v>2000</v>
      </c>
    </row>
    <row r="19" spans="2:36" x14ac:dyDescent="0.3">
      <c r="T19" s="5">
        <v>14</v>
      </c>
      <c r="U19" s="6">
        <v>40</v>
      </c>
      <c r="V19" s="7">
        <f t="shared" si="0"/>
        <v>1.6666666666666665</v>
      </c>
      <c r="W19" s="6">
        <v>2.5</v>
      </c>
      <c r="X19" s="8">
        <v>2000</v>
      </c>
    </row>
    <row r="20" spans="2:36" x14ac:dyDescent="0.3">
      <c r="T20" s="5">
        <v>15</v>
      </c>
      <c r="U20" s="6">
        <v>60</v>
      </c>
      <c r="V20" s="7">
        <f t="shared" si="0"/>
        <v>2.5</v>
      </c>
      <c r="W20" s="6">
        <v>2.5</v>
      </c>
      <c r="X20" s="8">
        <v>2250</v>
      </c>
    </row>
    <row r="21" spans="2:36" x14ac:dyDescent="0.3">
      <c r="T21" s="5">
        <v>16</v>
      </c>
      <c r="U21" s="6">
        <v>60</v>
      </c>
      <c r="V21" s="7">
        <f t="shared" si="0"/>
        <v>2.5</v>
      </c>
      <c r="W21" s="6">
        <v>2.5</v>
      </c>
      <c r="X21" s="8">
        <v>2500</v>
      </c>
    </row>
    <row r="22" spans="2:36" x14ac:dyDescent="0.3">
      <c r="T22" s="5">
        <v>17</v>
      </c>
      <c r="U22" s="6">
        <v>90</v>
      </c>
      <c r="V22" s="7">
        <f t="shared" si="0"/>
        <v>3.75</v>
      </c>
      <c r="W22" s="6">
        <v>2.5</v>
      </c>
      <c r="X22" s="8">
        <v>1500</v>
      </c>
    </row>
    <row r="23" spans="2:36" x14ac:dyDescent="0.3">
      <c r="T23" s="5">
        <v>18</v>
      </c>
      <c r="U23" s="6">
        <v>90</v>
      </c>
      <c r="V23" s="7">
        <f t="shared" si="0"/>
        <v>11.25</v>
      </c>
      <c r="W23" s="6">
        <v>7.5</v>
      </c>
      <c r="X23" s="8">
        <v>1500</v>
      </c>
    </row>
    <row r="24" spans="2:36" x14ac:dyDescent="0.3">
      <c r="E24" s="4" t="str">
        <f>[3]Gravity!D133</f>
        <v>O/D</v>
      </c>
      <c r="F24" s="4" t="str">
        <f>[3]Gravity!E133</f>
        <v>A</v>
      </c>
      <c r="G24" s="4" t="str">
        <f>[3]Gravity!F133</f>
        <v>B</v>
      </c>
      <c r="H24" s="4" t="str">
        <f>[3]Gravity!G133</f>
        <v>C</v>
      </c>
      <c r="I24" s="4" t="str">
        <f>[3]Gravity!H133</f>
        <v>D</v>
      </c>
      <c r="T24" s="14">
        <v>19</v>
      </c>
      <c r="U24" s="12">
        <v>90</v>
      </c>
      <c r="V24" s="15">
        <f t="shared" si="0"/>
        <v>15</v>
      </c>
      <c r="W24" s="12">
        <v>10</v>
      </c>
      <c r="X24" s="13">
        <v>2250</v>
      </c>
    </row>
    <row r="25" spans="2:36" ht="16.2" x14ac:dyDescent="0.3">
      <c r="E25" s="4" t="str">
        <f>[3]Gravity!D134</f>
        <v>A</v>
      </c>
      <c r="F25" s="4">
        <f>Gravity!BL134</f>
        <v>7.9993012189931337E-86</v>
      </c>
      <c r="G25" s="4" t="e">
        <f>Gravity!BM134</f>
        <v>#DIV/0!</v>
      </c>
      <c r="H25" s="4">
        <f>Gravity!BN134</f>
        <v>1232.118360972114</v>
      </c>
      <c r="I25" s="4">
        <f>Gravity!BO134</f>
        <v>885.905169246068</v>
      </c>
      <c r="L25" t="s">
        <v>18</v>
      </c>
    </row>
    <row r="26" spans="2:36" ht="16.2" x14ac:dyDescent="0.3">
      <c r="E26" s="4" t="str">
        <f>[3]Gravity!D135</f>
        <v>B</v>
      </c>
      <c r="F26" s="4" t="e">
        <f>Gravity!BL135</f>
        <v>#DIV/0!</v>
      </c>
      <c r="G26" s="4">
        <f>Gravity!BM135</f>
        <v>5.3981168515240379E-86</v>
      </c>
      <c r="H26" s="4">
        <f>Gravity!BN135</f>
        <v>1321.5081520575191</v>
      </c>
      <c r="I26" s="4">
        <f>Gravity!BO135</f>
        <v>1097.6775627015702</v>
      </c>
      <c r="L26" t="s">
        <v>19</v>
      </c>
    </row>
    <row r="27" spans="2:36" x14ac:dyDescent="0.3">
      <c r="B27" s="16"/>
      <c r="C27" s="4"/>
      <c r="E27" s="4" t="str">
        <f>[3]Gravity!D136</f>
        <v>C</v>
      </c>
      <c r="F27" s="4">
        <f>Gravity!BL136</f>
        <v>468.34406270421289</v>
      </c>
      <c r="G27" s="4">
        <f>Gravity!BM136</f>
        <v>851.51934838135992</v>
      </c>
      <c r="H27" s="4">
        <f>Gravity!BN136</f>
        <v>1.3908006766614903E-86</v>
      </c>
      <c r="I27" s="4" t="e">
        <f>Gravity!BO136</f>
        <v>#DIV/0!</v>
      </c>
      <c r="W27" t="s">
        <v>21</v>
      </c>
      <c r="X27" t="s">
        <v>22</v>
      </c>
      <c r="Y27" t="s">
        <v>23</v>
      </c>
    </row>
    <row r="28" spans="2:36" x14ac:dyDescent="0.3">
      <c r="B28" s="17"/>
      <c r="C28" s="4"/>
      <c r="E28" s="4" t="str">
        <f>[3]Gravity!D137</f>
        <v>D</v>
      </c>
      <c r="F28" s="4">
        <f>Gravity!BL137</f>
        <v>390.72052519778396</v>
      </c>
      <c r="G28" s="4">
        <f>Gravity!BM137</f>
        <v>711.25064419867317</v>
      </c>
      <c r="H28" s="4" t="e">
        <f>Gravity!BN137</f>
        <v>#DIV/0!</v>
      </c>
      <c r="I28" s="4">
        <f>Gravity!BO137</f>
        <v>4.1133393764555667E-86</v>
      </c>
    </row>
    <row r="29" spans="2:36" x14ac:dyDescent="0.3">
      <c r="B29" s="16"/>
      <c r="C29" s="4"/>
    </row>
    <row r="30" spans="2:36" x14ac:dyDescent="0.3">
      <c r="B30" s="17"/>
      <c r="C30" s="4"/>
    </row>
    <row r="31" spans="2:36" x14ac:dyDescent="0.3">
      <c r="B31" s="18"/>
      <c r="C31" s="4"/>
      <c r="W31" t="s">
        <v>28</v>
      </c>
      <c r="X31" t="s">
        <v>22</v>
      </c>
      <c r="Y31" t="s">
        <v>29</v>
      </c>
    </row>
    <row r="32" spans="2:36" x14ac:dyDescent="0.3">
      <c r="B32" s="18"/>
      <c r="C32" s="4"/>
    </row>
    <row r="33" spans="1:40" x14ac:dyDescent="0.3">
      <c r="W33" s="19" t="s">
        <v>31</v>
      </c>
      <c r="X33" s="19"/>
      <c r="Y33" s="19"/>
      <c r="Z33" s="19"/>
    </row>
    <row r="34" spans="1:40" x14ac:dyDescent="0.3">
      <c r="A34" s="4"/>
    </row>
    <row r="35" spans="1:40" ht="16.8" x14ac:dyDescent="0.35">
      <c r="B35" s="4" t="s">
        <v>32</v>
      </c>
      <c r="C35" s="20"/>
      <c r="F35" s="257" t="s">
        <v>2</v>
      </c>
      <c r="G35" s="260" t="s">
        <v>33</v>
      </c>
      <c r="H35" s="261"/>
      <c r="I35" s="260" t="s">
        <v>2</v>
      </c>
      <c r="J35" s="261"/>
      <c r="K35" s="21" t="s">
        <v>34</v>
      </c>
      <c r="L35" s="262" t="s">
        <v>32</v>
      </c>
      <c r="M35" s="263"/>
      <c r="N35" s="22" t="s">
        <v>35</v>
      </c>
      <c r="O35" s="23" t="s">
        <v>32</v>
      </c>
      <c r="P35" s="24" t="s">
        <v>36</v>
      </c>
      <c r="Q35" s="24" t="s">
        <v>37</v>
      </c>
      <c r="R35" s="25" t="s">
        <v>38</v>
      </c>
      <c r="S35" s="26" t="s">
        <v>39</v>
      </c>
      <c r="T35" s="27" t="s">
        <v>40</v>
      </c>
      <c r="U35" s="28" t="s">
        <v>41</v>
      </c>
      <c r="V35" s="29" t="s">
        <v>42</v>
      </c>
      <c r="W35" s="29" t="s">
        <v>43</v>
      </c>
      <c r="X35" s="29" t="s">
        <v>44</v>
      </c>
      <c r="Y35" s="29" t="s">
        <v>45</v>
      </c>
      <c r="Z35" s="29" t="s">
        <v>46</v>
      </c>
      <c r="AA35" s="29" t="s">
        <v>47</v>
      </c>
      <c r="AB35" s="29" t="s">
        <v>48</v>
      </c>
      <c r="AC35" s="29" t="s">
        <v>49</v>
      </c>
      <c r="AD35" s="29" t="s">
        <v>50</v>
      </c>
      <c r="AE35" s="29" t="s">
        <v>51</v>
      </c>
      <c r="AF35" s="29" t="s">
        <v>52</v>
      </c>
      <c r="AG35" s="29" t="s">
        <v>53</v>
      </c>
      <c r="AH35" s="29" t="s">
        <v>54</v>
      </c>
      <c r="AI35" s="29" t="s">
        <v>55</v>
      </c>
      <c r="AJ35" s="29" t="s">
        <v>56</v>
      </c>
      <c r="AK35" s="29" t="s">
        <v>57</v>
      </c>
      <c r="AL35" s="29" t="s">
        <v>58</v>
      </c>
      <c r="AM35" s="29" t="s">
        <v>59</v>
      </c>
      <c r="AN35" s="29" t="s">
        <v>60</v>
      </c>
    </row>
    <row r="36" spans="1:40" x14ac:dyDescent="0.3">
      <c r="B36" s="30" t="s">
        <v>61</v>
      </c>
      <c r="C36" s="30">
        <f>H25</f>
        <v>1232.118360972114</v>
      </c>
      <c r="D36" s="31">
        <f>E36-H36</f>
        <v>0</v>
      </c>
      <c r="E36">
        <f>W6*G66+(W6*0.17/X6^3.8)*(G66^4.8/4.8)</f>
        <v>3329.5660013904594</v>
      </c>
      <c r="F36" s="258"/>
      <c r="G36" s="32" t="s">
        <v>62</v>
      </c>
      <c r="H36" s="33">
        <f>W6*G66+0.17*W6/X6^3.8*G66^4.8/4.8</f>
        <v>3329.5660013904594</v>
      </c>
      <c r="I36" s="32" t="s">
        <v>63</v>
      </c>
      <c r="J36" s="33">
        <f>W6*(1+0.17*(G66/X6)^3.8)</f>
        <v>2.5193008691422163</v>
      </c>
      <c r="K36" s="34">
        <v>1</v>
      </c>
      <c r="L36" s="35" t="s">
        <v>61</v>
      </c>
      <c r="M36" s="36" t="s">
        <v>64</v>
      </c>
      <c r="N36" s="37">
        <f>J36+J54+J51</f>
        <v>15.078133313134092</v>
      </c>
      <c r="O36" s="38" t="s">
        <v>65</v>
      </c>
      <c r="P36" s="39">
        <v>0</v>
      </c>
      <c r="Q36" s="39">
        <f>IF(P36&lt;=0,0,P36)</f>
        <v>0</v>
      </c>
      <c r="R36" s="40">
        <f>G58</f>
        <v>1232.1183616120175</v>
      </c>
      <c r="S36" s="40" t="s">
        <v>39</v>
      </c>
      <c r="T36" s="40">
        <f>I58</f>
        <v>1232.118360972114</v>
      </c>
      <c r="U36" s="41" t="s">
        <v>65</v>
      </c>
      <c r="V36" s="42">
        <v>1</v>
      </c>
      <c r="W36" s="42">
        <v>0</v>
      </c>
      <c r="X36" s="42">
        <v>0</v>
      </c>
      <c r="Y36" s="42">
        <v>0</v>
      </c>
      <c r="Z36" s="42">
        <v>0</v>
      </c>
      <c r="AA36" s="42">
        <v>0</v>
      </c>
      <c r="AB36" s="42">
        <v>0</v>
      </c>
      <c r="AC36" s="42">
        <v>0</v>
      </c>
      <c r="AD36" s="42">
        <v>0</v>
      </c>
      <c r="AE36" s="42">
        <v>0</v>
      </c>
      <c r="AF36" s="42">
        <v>0</v>
      </c>
      <c r="AG36" s="42">
        <v>0</v>
      </c>
      <c r="AH36" s="42">
        <v>0</v>
      </c>
      <c r="AI36" s="42">
        <v>0</v>
      </c>
      <c r="AJ36" s="42">
        <v>0</v>
      </c>
      <c r="AK36" s="42">
        <v>1</v>
      </c>
      <c r="AL36" s="42">
        <v>0</v>
      </c>
      <c r="AM36" s="42">
        <v>0</v>
      </c>
      <c r="AN36" s="43">
        <v>1</v>
      </c>
    </row>
    <row r="37" spans="1:40" x14ac:dyDescent="0.3">
      <c r="B37" s="34" t="s">
        <v>66</v>
      </c>
      <c r="C37" s="30">
        <f>I25</f>
        <v>885.905169246068</v>
      </c>
      <c r="D37" s="31">
        <f t="shared" ref="D37:D54" si="1">E37-H37</f>
        <v>0</v>
      </c>
      <c r="E37">
        <f t="shared" ref="E37:E54" si="2">W7*G67+(W7*0.17/X7^3.8)*(G67^4.8/4.8)</f>
        <v>634.11921187599273</v>
      </c>
      <c r="F37" s="258"/>
      <c r="G37" s="44" t="s">
        <v>67</v>
      </c>
      <c r="H37" s="33">
        <f t="shared" ref="H37:H53" si="3">W7*G67+0.17*W7/X7^3.8*G67^4.8/4.8</f>
        <v>634.11921187599273</v>
      </c>
      <c r="I37" s="44" t="s">
        <v>68</v>
      </c>
      <c r="J37" s="33">
        <f t="shared" ref="J37:J54" si="4">W7*(1+0.17*(G67/X7)^3.8)</f>
        <v>2.5004957370745289</v>
      </c>
      <c r="K37" s="34">
        <v>2</v>
      </c>
      <c r="L37" s="45"/>
      <c r="M37" s="46" t="s">
        <v>69</v>
      </c>
      <c r="N37" s="47">
        <f>J36+J47+J39+J40+J51</f>
        <v>14.231567398304954</v>
      </c>
      <c r="O37" s="48" t="s">
        <v>70</v>
      </c>
      <c r="P37" s="39">
        <v>757.93614222583574</v>
      </c>
      <c r="Q37" s="39">
        <f t="shared" ref="Q37:Q60" si="5">IF(P37&lt;=0,0,P37)</f>
        <v>757.93614222583574</v>
      </c>
      <c r="R37" s="49"/>
      <c r="S37" s="49"/>
      <c r="T37" s="49"/>
      <c r="U37" s="41" t="s">
        <v>70</v>
      </c>
      <c r="V37" s="50">
        <v>1</v>
      </c>
      <c r="W37" s="50">
        <v>0</v>
      </c>
      <c r="X37" s="50">
        <v>0</v>
      </c>
      <c r="Y37" s="50">
        <v>1</v>
      </c>
      <c r="Z37" s="50">
        <v>1</v>
      </c>
      <c r="AA37" s="50">
        <v>0</v>
      </c>
      <c r="AB37" s="50">
        <v>0</v>
      </c>
      <c r="AC37" s="50">
        <v>0</v>
      </c>
      <c r="AD37" s="50">
        <v>0</v>
      </c>
      <c r="AE37" s="50">
        <v>0</v>
      </c>
      <c r="AF37" s="50">
        <v>0</v>
      </c>
      <c r="AG37" s="50">
        <v>1</v>
      </c>
      <c r="AH37" s="50">
        <v>0</v>
      </c>
      <c r="AI37" s="50">
        <v>0</v>
      </c>
      <c r="AJ37" s="50">
        <v>0</v>
      </c>
      <c r="AK37" s="50">
        <v>1</v>
      </c>
      <c r="AL37" s="50">
        <v>0</v>
      </c>
      <c r="AM37" s="50">
        <v>0</v>
      </c>
      <c r="AN37" s="51">
        <v>0</v>
      </c>
    </row>
    <row r="38" spans="1:40" x14ac:dyDescent="0.3">
      <c r="B38" s="34" t="s">
        <v>71</v>
      </c>
      <c r="C38" s="30">
        <f>H26</f>
        <v>1321.5081520575191</v>
      </c>
      <c r="D38" s="31">
        <f t="shared" si="1"/>
        <v>0</v>
      </c>
      <c r="E38">
        <f t="shared" si="2"/>
        <v>2612.6761691353199</v>
      </c>
      <c r="F38" s="258"/>
      <c r="G38" s="44" t="s">
        <v>72</v>
      </c>
      <c r="H38" s="33">
        <f t="shared" si="3"/>
        <v>2612.6761691353199</v>
      </c>
      <c r="I38" s="44" t="s">
        <v>73</v>
      </c>
      <c r="J38" s="33">
        <f t="shared" si="4"/>
        <v>2.53567217075532</v>
      </c>
      <c r="K38" s="34">
        <v>3</v>
      </c>
      <c r="L38" s="45"/>
      <c r="M38" s="46" t="s">
        <v>74</v>
      </c>
      <c r="N38" s="47">
        <f>J36+J47+J39+J49+J43</f>
        <v>14.5868414814442</v>
      </c>
      <c r="O38" s="48" t="s">
        <v>75</v>
      </c>
      <c r="P38" s="39">
        <v>0</v>
      </c>
      <c r="Q38" s="39">
        <f t="shared" si="5"/>
        <v>0</v>
      </c>
      <c r="R38" s="49"/>
      <c r="S38" s="49"/>
      <c r="T38" s="49"/>
      <c r="U38" s="41" t="s">
        <v>75</v>
      </c>
      <c r="V38" s="50">
        <v>1</v>
      </c>
      <c r="W38" s="50">
        <v>0</v>
      </c>
      <c r="X38" s="50">
        <v>0</v>
      </c>
      <c r="Y38" s="50">
        <v>1</v>
      </c>
      <c r="Z38" s="50">
        <v>0</v>
      </c>
      <c r="AA38" s="50">
        <v>0</v>
      </c>
      <c r="AB38" s="50">
        <v>0</v>
      </c>
      <c r="AC38" s="50">
        <v>1</v>
      </c>
      <c r="AD38" s="50">
        <v>0</v>
      </c>
      <c r="AE38" s="50">
        <v>0</v>
      </c>
      <c r="AF38" s="50">
        <v>0</v>
      </c>
      <c r="AG38" s="50">
        <v>1</v>
      </c>
      <c r="AH38" s="50">
        <v>0</v>
      </c>
      <c r="AI38" s="50">
        <v>1</v>
      </c>
      <c r="AJ38" s="50">
        <v>0</v>
      </c>
      <c r="AK38" s="50">
        <v>0</v>
      </c>
      <c r="AL38" s="50">
        <v>0</v>
      </c>
      <c r="AM38" s="50">
        <v>0</v>
      </c>
      <c r="AN38" s="51">
        <v>0</v>
      </c>
    </row>
    <row r="39" spans="1:40" x14ac:dyDescent="0.3">
      <c r="B39" s="52" t="s">
        <v>76</v>
      </c>
      <c r="C39" s="20">
        <f>I26</f>
        <v>1097.6775627015702</v>
      </c>
      <c r="D39" s="31">
        <f t="shared" si="1"/>
        <v>0</v>
      </c>
      <c r="E39">
        <f t="shared" si="2"/>
        <v>8095.8267230539741</v>
      </c>
      <c r="F39" s="258"/>
      <c r="G39" s="44" t="s">
        <v>77</v>
      </c>
      <c r="H39" s="33">
        <f t="shared" si="3"/>
        <v>8095.8267230539741</v>
      </c>
      <c r="I39" s="44" t="s">
        <v>78</v>
      </c>
      <c r="J39" s="33">
        <f t="shared" si="4"/>
        <v>3.9259696858014492</v>
      </c>
      <c r="K39" s="34">
        <v>4</v>
      </c>
      <c r="L39" s="45"/>
      <c r="M39" s="46" t="s">
        <v>79</v>
      </c>
      <c r="N39" s="47">
        <f>J36+J47+J48+J42+J43</f>
        <v>14.58684099280387</v>
      </c>
      <c r="O39" s="48" t="s">
        <v>80</v>
      </c>
      <c r="P39" s="39">
        <v>7.1054273576010019E-15</v>
      </c>
      <c r="Q39" s="39">
        <f t="shared" si="5"/>
        <v>7.1054273576010019E-15</v>
      </c>
      <c r="R39" s="49"/>
      <c r="S39" s="49"/>
      <c r="T39" s="49"/>
      <c r="U39" s="41" t="s">
        <v>80</v>
      </c>
      <c r="V39" s="50">
        <v>1</v>
      </c>
      <c r="W39" s="50">
        <v>0</v>
      </c>
      <c r="X39" s="50">
        <v>0</v>
      </c>
      <c r="Y39" s="50">
        <v>0</v>
      </c>
      <c r="Z39" s="50">
        <v>0</v>
      </c>
      <c r="AA39" s="50">
        <v>0</v>
      </c>
      <c r="AB39" s="50">
        <v>1</v>
      </c>
      <c r="AC39" s="50">
        <v>1</v>
      </c>
      <c r="AD39" s="50">
        <v>0</v>
      </c>
      <c r="AE39" s="50">
        <v>0</v>
      </c>
      <c r="AF39" s="50">
        <v>0</v>
      </c>
      <c r="AG39" s="50">
        <v>1</v>
      </c>
      <c r="AH39" s="50">
        <v>1</v>
      </c>
      <c r="AI39" s="50">
        <v>0</v>
      </c>
      <c r="AJ39" s="50">
        <v>0</v>
      </c>
      <c r="AK39" s="50">
        <v>0</v>
      </c>
      <c r="AL39" s="50">
        <v>0</v>
      </c>
      <c r="AM39" s="50">
        <v>0</v>
      </c>
      <c r="AN39" s="51">
        <v>0</v>
      </c>
    </row>
    <row r="40" spans="1:40" x14ac:dyDescent="0.3">
      <c r="D40" s="31">
        <f t="shared" si="1"/>
        <v>0</v>
      </c>
      <c r="E40">
        <f t="shared" si="2"/>
        <v>3756.9077274391962</v>
      </c>
      <c r="F40" s="258"/>
      <c r="G40" s="44" t="s">
        <v>81</v>
      </c>
      <c r="H40" s="33">
        <f t="shared" si="3"/>
        <v>3756.9077274391962</v>
      </c>
      <c r="I40" s="44" t="s">
        <v>82</v>
      </c>
      <c r="J40" s="33">
        <f t="shared" si="4"/>
        <v>2.6373646359384466</v>
      </c>
      <c r="K40" s="34">
        <v>5</v>
      </c>
      <c r="L40" s="45"/>
      <c r="M40" s="46" t="s">
        <v>83</v>
      </c>
      <c r="N40" s="47">
        <f>J45+J38+J39+J40+J51</f>
        <v>14.231567138658022</v>
      </c>
      <c r="O40" s="48" t="s">
        <v>84</v>
      </c>
      <c r="P40" s="39">
        <v>474.18221938618177</v>
      </c>
      <c r="Q40" s="39">
        <f t="shared" si="5"/>
        <v>474.18221938618177</v>
      </c>
      <c r="R40" s="49"/>
      <c r="S40" s="49"/>
      <c r="T40" s="49"/>
      <c r="U40" s="41" t="s">
        <v>84</v>
      </c>
      <c r="V40" s="50">
        <v>0</v>
      </c>
      <c r="W40" s="50">
        <v>0</v>
      </c>
      <c r="X40" s="50">
        <v>1</v>
      </c>
      <c r="Y40" s="50">
        <v>1</v>
      </c>
      <c r="Z40" s="50">
        <v>1</v>
      </c>
      <c r="AA40" s="50">
        <v>0</v>
      </c>
      <c r="AB40" s="50">
        <v>0</v>
      </c>
      <c r="AC40" s="50">
        <v>0</v>
      </c>
      <c r="AD40" s="50">
        <v>0</v>
      </c>
      <c r="AE40" s="50">
        <v>1</v>
      </c>
      <c r="AF40" s="50">
        <v>0</v>
      </c>
      <c r="AG40" s="50">
        <v>0</v>
      </c>
      <c r="AH40" s="50">
        <v>0</v>
      </c>
      <c r="AI40" s="50">
        <v>0</v>
      </c>
      <c r="AJ40" s="50">
        <v>0</v>
      </c>
      <c r="AK40" s="50">
        <v>1</v>
      </c>
      <c r="AL40" s="50">
        <v>0</v>
      </c>
      <c r="AM40" s="50">
        <v>0</v>
      </c>
      <c r="AN40" s="51">
        <v>0</v>
      </c>
    </row>
    <row r="41" spans="1:40" x14ac:dyDescent="0.3">
      <c r="D41" s="31">
        <f t="shared" si="1"/>
        <v>0</v>
      </c>
      <c r="E41">
        <f t="shared" si="2"/>
        <v>6187.8462251984256</v>
      </c>
      <c r="F41" s="258"/>
      <c r="G41" s="44" t="s">
        <v>85</v>
      </c>
      <c r="H41" s="33">
        <f t="shared" si="3"/>
        <v>6187.8462251984247</v>
      </c>
      <c r="I41" s="44" t="s">
        <v>86</v>
      </c>
      <c r="J41" s="33">
        <f t="shared" si="4"/>
        <v>4.2155375483709623</v>
      </c>
      <c r="K41" s="34">
        <v>6</v>
      </c>
      <c r="L41" s="45"/>
      <c r="M41" s="46" t="s">
        <v>87</v>
      </c>
      <c r="N41" s="47">
        <f>J45+J38+J39+J49+J43</f>
        <v>14.58684122179727</v>
      </c>
      <c r="O41" s="48" t="s">
        <v>88</v>
      </c>
      <c r="P41" s="39">
        <v>0</v>
      </c>
      <c r="Q41" s="39">
        <f t="shared" si="5"/>
        <v>0</v>
      </c>
      <c r="R41" s="49"/>
      <c r="S41" s="49"/>
      <c r="T41" s="49"/>
      <c r="U41" s="41" t="s">
        <v>88</v>
      </c>
      <c r="V41" s="50">
        <v>0</v>
      </c>
      <c r="W41" s="50">
        <v>0</v>
      </c>
      <c r="X41" s="50">
        <v>1</v>
      </c>
      <c r="Y41" s="50">
        <v>1</v>
      </c>
      <c r="Z41" s="50">
        <v>0</v>
      </c>
      <c r="AA41" s="50">
        <v>0</v>
      </c>
      <c r="AB41" s="50">
        <v>0</v>
      </c>
      <c r="AC41" s="50">
        <v>1</v>
      </c>
      <c r="AD41" s="50">
        <v>0</v>
      </c>
      <c r="AE41" s="50">
        <v>1</v>
      </c>
      <c r="AF41" s="50">
        <v>0</v>
      </c>
      <c r="AG41" s="50">
        <v>0</v>
      </c>
      <c r="AH41" s="50">
        <v>0</v>
      </c>
      <c r="AI41" s="50">
        <v>1</v>
      </c>
      <c r="AJ41" s="50">
        <v>0</v>
      </c>
      <c r="AK41" s="50">
        <v>0</v>
      </c>
      <c r="AL41" s="50">
        <v>0</v>
      </c>
      <c r="AM41" s="50">
        <v>0</v>
      </c>
      <c r="AN41" s="51">
        <v>0</v>
      </c>
    </row>
    <row r="42" spans="1:40" x14ac:dyDescent="0.3">
      <c r="C42" s="6"/>
      <c r="D42" s="31">
        <f t="shared" si="1"/>
        <v>0</v>
      </c>
      <c r="E42">
        <f t="shared" si="2"/>
        <v>6088.9293470380289</v>
      </c>
      <c r="F42" s="258"/>
      <c r="G42" s="44" t="s">
        <v>89</v>
      </c>
      <c r="H42" s="33">
        <f t="shared" si="3"/>
        <v>6088.9293470380289</v>
      </c>
      <c r="I42" s="44" t="s">
        <v>90</v>
      </c>
      <c r="J42" s="33">
        <f t="shared" si="4"/>
        <v>2.6818011766546883</v>
      </c>
      <c r="K42" s="34">
        <v>7</v>
      </c>
      <c r="L42" s="45"/>
      <c r="M42" s="46" t="s">
        <v>91</v>
      </c>
      <c r="N42" s="47">
        <f>J45+J38+J48+J42+J43</f>
        <v>14.586840733156938</v>
      </c>
      <c r="O42" s="48" t="s">
        <v>92</v>
      </c>
      <c r="P42" s="39">
        <v>0</v>
      </c>
      <c r="Q42" s="39">
        <f t="shared" si="5"/>
        <v>0</v>
      </c>
      <c r="R42" s="49"/>
      <c r="S42" s="49"/>
      <c r="T42" s="49"/>
      <c r="U42" s="41" t="s">
        <v>92</v>
      </c>
      <c r="V42" s="50">
        <v>0</v>
      </c>
      <c r="W42" s="50">
        <v>0</v>
      </c>
      <c r="X42" s="50">
        <v>1</v>
      </c>
      <c r="Y42" s="50">
        <v>0</v>
      </c>
      <c r="Z42" s="50">
        <v>0</v>
      </c>
      <c r="AA42" s="50">
        <v>0</v>
      </c>
      <c r="AB42" s="50">
        <v>1</v>
      </c>
      <c r="AC42" s="50">
        <v>1</v>
      </c>
      <c r="AD42" s="50">
        <v>0</v>
      </c>
      <c r="AE42" s="50">
        <v>1</v>
      </c>
      <c r="AF42" s="50">
        <v>0</v>
      </c>
      <c r="AG42" s="50">
        <v>0</v>
      </c>
      <c r="AH42" s="50">
        <v>1</v>
      </c>
      <c r="AI42" s="50">
        <v>0</v>
      </c>
      <c r="AJ42" s="50">
        <v>0</v>
      </c>
      <c r="AK42" s="50">
        <v>0</v>
      </c>
      <c r="AL42" s="50">
        <v>0</v>
      </c>
      <c r="AM42" s="50">
        <v>0</v>
      </c>
      <c r="AN42" s="51">
        <v>0</v>
      </c>
    </row>
    <row r="43" spans="1:40" x14ac:dyDescent="0.3">
      <c r="C43" s="6"/>
      <c r="D43" s="31">
        <f t="shared" si="1"/>
        <v>0</v>
      </c>
      <c r="E43">
        <f t="shared" si="2"/>
        <v>2791.0268086085021</v>
      </c>
      <c r="F43" s="258"/>
      <c r="G43" s="44" t="s">
        <v>93</v>
      </c>
      <c r="H43" s="33">
        <f t="shared" si="3"/>
        <v>2791.0268086085021</v>
      </c>
      <c r="I43" s="44" t="s">
        <v>94</v>
      </c>
      <c r="J43" s="33">
        <f t="shared" si="4"/>
        <v>3.0454566717191565</v>
      </c>
      <c r="K43" s="34">
        <v>8</v>
      </c>
      <c r="L43" s="53"/>
      <c r="M43" s="54" t="s">
        <v>95</v>
      </c>
      <c r="N43" s="55">
        <f>J45+J46+J41+J42+J43</f>
        <v>15.016523598915738</v>
      </c>
      <c r="O43" s="56" t="s">
        <v>96</v>
      </c>
      <c r="P43" s="39">
        <v>0</v>
      </c>
      <c r="Q43" s="39">
        <f t="shared" si="5"/>
        <v>0</v>
      </c>
      <c r="R43" s="57"/>
      <c r="S43" s="57"/>
      <c r="T43" s="57"/>
      <c r="U43" s="41" t="s">
        <v>96</v>
      </c>
      <c r="V43" s="58">
        <v>0</v>
      </c>
      <c r="W43" s="58">
        <v>0</v>
      </c>
      <c r="X43" s="58">
        <v>0</v>
      </c>
      <c r="Y43" s="58">
        <v>0</v>
      </c>
      <c r="Z43" s="58">
        <v>0</v>
      </c>
      <c r="AA43" s="58">
        <v>1</v>
      </c>
      <c r="AB43" s="58">
        <v>1</v>
      </c>
      <c r="AC43" s="58">
        <v>1</v>
      </c>
      <c r="AD43" s="58">
        <v>0</v>
      </c>
      <c r="AE43" s="58">
        <v>1</v>
      </c>
      <c r="AF43" s="58">
        <v>1</v>
      </c>
      <c r="AG43" s="58">
        <v>0</v>
      </c>
      <c r="AH43" s="58">
        <v>0</v>
      </c>
      <c r="AI43" s="58">
        <v>0</v>
      </c>
      <c r="AJ43" s="58">
        <v>0</v>
      </c>
      <c r="AK43" s="58">
        <v>0</v>
      </c>
      <c r="AL43" s="58">
        <v>0</v>
      </c>
      <c r="AM43" s="58">
        <v>0</v>
      </c>
      <c r="AN43" s="59">
        <v>0</v>
      </c>
    </row>
    <row r="44" spans="1:40" x14ac:dyDescent="0.3">
      <c r="C44" s="6"/>
      <c r="D44" s="31">
        <f t="shared" si="1"/>
        <v>0</v>
      </c>
      <c r="E44">
        <f t="shared" si="2"/>
        <v>0</v>
      </c>
      <c r="F44" s="258"/>
      <c r="G44" s="44" t="s">
        <v>97</v>
      </c>
      <c r="H44" s="33">
        <f t="shared" si="3"/>
        <v>0</v>
      </c>
      <c r="I44" s="44" t="s">
        <v>98</v>
      </c>
      <c r="J44" s="33">
        <f t="shared" si="4"/>
        <v>2.5</v>
      </c>
      <c r="K44" s="34">
        <v>9</v>
      </c>
      <c r="L44" s="35" t="s">
        <v>66</v>
      </c>
      <c r="M44" s="36" t="s">
        <v>99</v>
      </c>
      <c r="N44" s="37">
        <f>J36+J47+J39+J49+J50</f>
        <v>14.304657961758142</v>
      </c>
      <c r="O44" s="38" t="s">
        <v>100</v>
      </c>
      <c r="P44" s="39">
        <v>461.85296019622302</v>
      </c>
      <c r="Q44" s="39">
        <f t="shared" si="5"/>
        <v>461.85296019622302</v>
      </c>
      <c r="R44" s="40">
        <f>G59</f>
        <v>885.90516929212038</v>
      </c>
      <c r="S44" s="40" t="s">
        <v>39</v>
      </c>
      <c r="T44" s="40">
        <f>I59</f>
        <v>885.905169246068</v>
      </c>
      <c r="U44" s="41" t="s">
        <v>100</v>
      </c>
      <c r="V44" s="42">
        <v>1</v>
      </c>
      <c r="W44" s="42">
        <v>0</v>
      </c>
      <c r="X44" s="42">
        <v>0</v>
      </c>
      <c r="Y44" s="42">
        <v>1</v>
      </c>
      <c r="Z44" s="42">
        <v>0</v>
      </c>
      <c r="AA44" s="42">
        <v>0</v>
      </c>
      <c r="AB44" s="42">
        <v>0</v>
      </c>
      <c r="AC44" s="42">
        <v>0</v>
      </c>
      <c r="AD44" s="42">
        <v>0</v>
      </c>
      <c r="AE44" s="42">
        <v>0</v>
      </c>
      <c r="AF44" s="42">
        <v>0</v>
      </c>
      <c r="AG44" s="42">
        <v>1</v>
      </c>
      <c r="AH44" s="42">
        <v>0</v>
      </c>
      <c r="AI44" s="42">
        <v>1</v>
      </c>
      <c r="AJ44" s="42">
        <v>1</v>
      </c>
      <c r="AK44" s="42">
        <v>0</v>
      </c>
      <c r="AL44" s="42">
        <v>0</v>
      </c>
      <c r="AM44" s="42">
        <v>0</v>
      </c>
      <c r="AN44" s="43">
        <v>0</v>
      </c>
    </row>
    <row r="45" spans="1:40" x14ac:dyDescent="0.3">
      <c r="C45" s="6"/>
      <c r="D45" s="31">
        <f t="shared" si="1"/>
        <v>0</v>
      </c>
      <c r="E45">
        <f t="shared" si="2"/>
        <v>1982.9483905691818</v>
      </c>
      <c r="F45" s="258"/>
      <c r="G45" s="44" t="s">
        <v>101</v>
      </c>
      <c r="H45" s="33">
        <f t="shared" si="3"/>
        <v>1982.9483905691818</v>
      </c>
      <c r="I45" s="44" t="s">
        <v>102</v>
      </c>
      <c r="J45" s="33">
        <f t="shared" si="4"/>
        <v>2.5737282021709302</v>
      </c>
      <c r="K45" s="34">
        <v>10</v>
      </c>
      <c r="L45" s="45"/>
      <c r="M45" s="46" t="s">
        <v>103</v>
      </c>
      <c r="N45" s="47">
        <f>J36+J47+J48+J42+J50</f>
        <v>14.30465747311781</v>
      </c>
      <c r="O45" s="48" t="s">
        <v>104</v>
      </c>
      <c r="P45" s="39">
        <v>109.8986207387301</v>
      </c>
      <c r="Q45" s="39">
        <f t="shared" si="5"/>
        <v>109.8986207387301</v>
      </c>
      <c r="R45" s="49"/>
      <c r="S45" s="49"/>
      <c r="T45" s="49"/>
      <c r="U45" s="41" t="s">
        <v>104</v>
      </c>
      <c r="V45" s="50">
        <v>1</v>
      </c>
      <c r="W45" s="50">
        <v>0</v>
      </c>
      <c r="X45" s="50">
        <v>0</v>
      </c>
      <c r="Y45" s="50">
        <v>0</v>
      </c>
      <c r="Z45" s="50">
        <v>0</v>
      </c>
      <c r="AA45" s="50">
        <v>0</v>
      </c>
      <c r="AB45" s="50">
        <v>1</v>
      </c>
      <c r="AC45" s="50">
        <v>0</v>
      </c>
      <c r="AD45" s="50">
        <v>0</v>
      </c>
      <c r="AE45" s="50">
        <v>0</v>
      </c>
      <c r="AF45" s="50">
        <v>0</v>
      </c>
      <c r="AG45" s="50">
        <v>1</v>
      </c>
      <c r="AH45" s="50">
        <v>1</v>
      </c>
      <c r="AI45" s="50">
        <v>0</v>
      </c>
      <c r="AJ45" s="50">
        <v>1</v>
      </c>
      <c r="AK45" s="50">
        <v>0</v>
      </c>
      <c r="AL45" s="50">
        <v>0</v>
      </c>
      <c r="AM45" s="50">
        <v>0</v>
      </c>
      <c r="AN45" s="51">
        <v>0</v>
      </c>
    </row>
    <row r="46" spans="1:40" x14ac:dyDescent="0.3">
      <c r="C46" s="6"/>
      <c r="D46" s="31">
        <f t="shared" si="1"/>
        <v>0</v>
      </c>
      <c r="E46">
        <f t="shared" si="2"/>
        <v>8.8817841970012523E-15</v>
      </c>
      <c r="F46" s="258"/>
      <c r="G46" s="44" t="s">
        <v>105</v>
      </c>
      <c r="H46" s="33">
        <f t="shared" si="3"/>
        <v>8.8817841970012523E-15</v>
      </c>
      <c r="I46" s="44" t="s">
        <v>106</v>
      </c>
      <c r="J46" s="33">
        <f t="shared" si="4"/>
        <v>2.5</v>
      </c>
      <c r="K46" s="34">
        <v>11</v>
      </c>
      <c r="L46" s="45"/>
      <c r="M46" s="46" t="s">
        <v>107</v>
      </c>
      <c r="N46" s="47">
        <f>J45+J38+J39+J49+J50</f>
        <v>14.304657702111211</v>
      </c>
      <c r="O46" s="48" t="s">
        <v>108</v>
      </c>
      <c r="P46" s="39">
        <v>190.37744657674361</v>
      </c>
      <c r="Q46" s="39">
        <f t="shared" si="5"/>
        <v>190.37744657674361</v>
      </c>
      <c r="R46" s="49"/>
      <c r="S46" s="49"/>
      <c r="T46" s="49"/>
      <c r="U46" s="41" t="s">
        <v>108</v>
      </c>
      <c r="V46" s="50">
        <v>0</v>
      </c>
      <c r="W46" s="50">
        <v>0</v>
      </c>
      <c r="X46" s="50">
        <v>1</v>
      </c>
      <c r="Y46" s="50">
        <v>1</v>
      </c>
      <c r="Z46" s="50">
        <v>0</v>
      </c>
      <c r="AA46" s="50">
        <v>0</v>
      </c>
      <c r="AB46" s="50">
        <v>0</v>
      </c>
      <c r="AC46" s="50">
        <v>0</v>
      </c>
      <c r="AD46" s="50">
        <v>0</v>
      </c>
      <c r="AE46" s="50">
        <v>1</v>
      </c>
      <c r="AF46" s="50">
        <v>0</v>
      </c>
      <c r="AG46" s="50">
        <v>0</v>
      </c>
      <c r="AH46" s="50">
        <v>0</v>
      </c>
      <c r="AI46" s="50">
        <v>1</v>
      </c>
      <c r="AJ46" s="50">
        <v>1</v>
      </c>
      <c r="AK46" s="50">
        <v>0</v>
      </c>
      <c r="AL46" s="50">
        <v>0</v>
      </c>
      <c r="AM46" s="50">
        <v>0</v>
      </c>
      <c r="AN46" s="51">
        <v>0</v>
      </c>
    </row>
    <row r="47" spans="1:40" x14ac:dyDescent="0.3">
      <c r="C47" s="6"/>
      <c r="D47" s="31">
        <f t="shared" si="1"/>
        <v>0</v>
      </c>
      <c r="E47">
        <f t="shared" si="2"/>
        <v>3349.1785890048563</v>
      </c>
      <c r="F47" s="258"/>
      <c r="G47" s="44" t="s">
        <v>109</v>
      </c>
      <c r="H47" s="33">
        <f t="shared" si="3"/>
        <v>3349.1785890048563</v>
      </c>
      <c r="I47" s="44" t="s">
        <v>110</v>
      </c>
      <c r="J47" s="33">
        <f t="shared" si="4"/>
        <v>2.5900997634309642</v>
      </c>
      <c r="K47" s="34">
        <v>12</v>
      </c>
      <c r="L47" s="45"/>
      <c r="M47" s="46" t="s">
        <v>111</v>
      </c>
      <c r="N47" s="47">
        <f>J45+J38+J48+J42+J50</f>
        <v>14.304657213470879</v>
      </c>
      <c r="O47" s="48" t="s">
        <v>112</v>
      </c>
      <c r="P47" s="39">
        <v>123.77614178042361</v>
      </c>
      <c r="Q47" s="39">
        <f t="shared" si="5"/>
        <v>123.77614178042361</v>
      </c>
      <c r="R47" s="49"/>
      <c r="S47" s="49"/>
      <c r="T47" s="49"/>
      <c r="U47" s="41" t="s">
        <v>112</v>
      </c>
      <c r="V47" s="50">
        <v>0</v>
      </c>
      <c r="W47" s="50">
        <v>0</v>
      </c>
      <c r="X47" s="50">
        <v>1</v>
      </c>
      <c r="Y47" s="50">
        <v>0</v>
      </c>
      <c r="Z47" s="50">
        <v>0</v>
      </c>
      <c r="AA47" s="50">
        <v>0</v>
      </c>
      <c r="AB47" s="50">
        <v>1</v>
      </c>
      <c r="AC47" s="50">
        <v>0</v>
      </c>
      <c r="AD47" s="50">
        <v>0</v>
      </c>
      <c r="AE47" s="50">
        <v>1</v>
      </c>
      <c r="AF47" s="50">
        <v>0</v>
      </c>
      <c r="AG47" s="50">
        <v>0</v>
      </c>
      <c r="AH47" s="50">
        <v>1</v>
      </c>
      <c r="AI47" s="50">
        <v>0</v>
      </c>
      <c r="AJ47" s="50">
        <v>1</v>
      </c>
      <c r="AK47" s="50">
        <v>0</v>
      </c>
      <c r="AL47" s="50">
        <v>0</v>
      </c>
      <c r="AM47" s="50">
        <v>0</v>
      </c>
      <c r="AN47" s="51">
        <v>0</v>
      </c>
    </row>
    <row r="48" spans="1:40" x14ac:dyDescent="0.3">
      <c r="C48" s="6"/>
      <c r="D48" s="31">
        <f t="shared" si="1"/>
        <v>0</v>
      </c>
      <c r="E48">
        <f t="shared" si="2"/>
        <v>876.28924453324419</v>
      </c>
      <c r="F48" s="258"/>
      <c r="G48" s="44" t="s">
        <v>113</v>
      </c>
      <c r="H48" s="33">
        <f t="shared" si="3"/>
        <v>876.28924453324419</v>
      </c>
      <c r="I48" s="44" t="s">
        <v>114</v>
      </c>
      <c r="J48" s="33">
        <f t="shared" si="4"/>
        <v>3.7501825118568446</v>
      </c>
      <c r="K48" s="34">
        <v>13</v>
      </c>
      <c r="L48" s="45"/>
      <c r="M48" s="46" t="s">
        <v>115</v>
      </c>
      <c r="N48" s="47">
        <f>J45+J46+J41+J42+J50</f>
        <v>14.734340079229678</v>
      </c>
      <c r="O48" s="48" t="s">
        <v>116</v>
      </c>
      <c r="P48" s="39">
        <v>0</v>
      </c>
      <c r="Q48" s="39">
        <f t="shared" si="5"/>
        <v>0</v>
      </c>
      <c r="R48" s="49"/>
      <c r="S48" s="49"/>
      <c r="T48" s="49"/>
      <c r="U48" s="41" t="s">
        <v>116</v>
      </c>
      <c r="V48" s="50">
        <v>0</v>
      </c>
      <c r="W48" s="50">
        <v>0</v>
      </c>
      <c r="X48" s="50">
        <v>0</v>
      </c>
      <c r="Y48" s="50">
        <v>0</v>
      </c>
      <c r="Z48" s="50">
        <v>0</v>
      </c>
      <c r="AA48" s="50">
        <v>1</v>
      </c>
      <c r="AB48" s="50">
        <v>1</v>
      </c>
      <c r="AC48" s="50">
        <v>0</v>
      </c>
      <c r="AD48" s="50">
        <v>0</v>
      </c>
      <c r="AE48" s="50">
        <v>1</v>
      </c>
      <c r="AF48" s="50">
        <v>1</v>
      </c>
      <c r="AG48" s="50">
        <v>0</v>
      </c>
      <c r="AH48" s="50">
        <v>0</v>
      </c>
      <c r="AI48" s="50">
        <v>0</v>
      </c>
      <c r="AJ48" s="50">
        <v>1</v>
      </c>
      <c r="AK48" s="50">
        <v>0</v>
      </c>
      <c r="AL48" s="50">
        <v>0</v>
      </c>
      <c r="AM48" s="50">
        <v>0</v>
      </c>
      <c r="AN48" s="51">
        <v>0</v>
      </c>
    </row>
    <row r="49" spans="3:40" x14ac:dyDescent="0.3">
      <c r="C49" s="6"/>
      <c r="D49" s="31">
        <f t="shared" si="1"/>
        <v>0</v>
      </c>
      <c r="E49">
        <f t="shared" si="2"/>
        <v>1631.3932740449191</v>
      </c>
      <c r="F49" s="258"/>
      <c r="G49" s="44" t="s">
        <v>117</v>
      </c>
      <c r="H49" s="33">
        <f t="shared" si="3"/>
        <v>1631.3932740449191</v>
      </c>
      <c r="I49" s="44" t="s">
        <v>118</v>
      </c>
      <c r="J49" s="33">
        <f t="shared" si="4"/>
        <v>2.5060144913504128</v>
      </c>
      <c r="K49" s="34">
        <v>14</v>
      </c>
      <c r="L49" s="53"/>
      <c r="M49" s="54" t="s">
        <v>119</v>
      </c>
      <c r="N49" s="55">
        <f>J45+J46+J53+J44</f>
        <v>15.07372820217093</v>
      </c>
      <c r="O49" s="56" t="s">
        <v>120</v>
      </c>
      <c r="P49" s="39">
        <v>0</v>
      </c>
      <c r="Q49" s="39">
        <f t="shared" si="5"/>
        <v>0</v>
      </c>
      <c r="R49" s="57"/>
      <c r="S49" s="57"/>
      <c r="T49" s="57"/>
      <c r="U49" s="41" t="s">
        <v>120</v>
      </c>
      <c r="V49" s="58">
        <v>0</v>
      </c>
      <c r="W49" s="58">
        <v>0</v>
      </c>
      <c r="X49" s="58">
        <v>0</v>
      </c>
      <c r="Y49" s="58">
        <v>0</v>
      </c>
      <c r="Z49" s="58">
        <v>0</v>
      </c>
      <c r="AA49" s="58">
        <v>0</v>
      </c>
      <c r="AB49" s="58">
        <v>0</v>
      </c>
      <c r="AC49" s="58">
        <v>0</v>
      </c>
      <c r="AD49" s="58">
        <v>1</v>
      </c>
      <c r="AE49" s="58">
        <v>1</v>
      </c>
      <c r="AF49" s="58">
        <v>1</v>
      </c>
      <c r="AG49" s="58">
        <v>0</v>
      </c>
      <c r="AH49" s="58">
        <v>0</v>
      </c>
      <c r="AI49" s="58">
        <v>0</v>
      </c>
      <c r="AJ49" s="58">
        <v>0</v>
      </c>
      <c r="AK49" s="58">
        <v>0</v>
      </c>
      <c r="AL49" s="58">
        <v>0</v>
      </c>
      <c r="AM49" s="58">
        <v>1</v>
      </c>
      <c r="AN49" s="59">
        <v>0</v>
      </c>
    </row>
    <row r="50" spans="3:40" x14ac:dyDescent="0.3">
      <c r="C50" s="6"/>
      <c r="D50" s="31">
        <f t="shared" si="1"/>
        <v>0</v>
      </c>
      <c r="E50">
        <f t="shared" si="2"/>
        <v>5067.7535129363941</v>
      </c>
      <c r="F50" s="258"/>
      <c r="G50" s="44" t="s">
        <v>121</v>
      </c>
      <c r="H50" s="33">
        <f t="shared" si="3"/>
        <v>5067.7535129363941</v>
      </c>
      <c r="I50" s="44" t="s">
        <v>122</v>
      </c>
      <c r="J50" s="33">
        <f t="shared" si="4"/>
        <v>2.763273152033098</v>
      </c>
      <c r="K50" s="34">
        <v>15</v>
      </c>
      <c r="L50" s="35" t="s">
        <v>71</v>
      </c>
      <c r="M50" s="36" t="s">
        <v>123</v>
      </c>
      <c r="N50" s="37">
        <f>J37+J46+J41+J42+J43</f>
        <v>14.943291133819335</v>
      </c>
      <c r="O50" s="38" t="s">
        <v>124</v>
      </c>
      <c r="P50" s="39">
        <v>0</v>
      </c>
      <c r="Q50" s="39">
        <f t="shared" si="5"/>
        <v>0</v>
      </c>
      <c r="R50" s="40">
        <f>G60</f>
        <v>1321.5081524204866</v>
      </c>
      <c r="S50" s="40" t="s">
        <v>39</v>
      </c>
      <c r="T50" s="40">
        <f>I60</f>
        <v>1321.5081520575191</v>
      </c>
      <c r="U50" s="41" t="s">
        <v>124</v>
      </c>
      <c r="V50" s="42">
        <v>0</v>
      </c>
      <c r="W50" s="42">
        <v>1</v>
      </c>
      <c r="X50" s="42">
        <v>0</v>
      </c>
      <c r="Y50" s="42">
        <v>0</v>
      </c>
      <c r="Z50" s="42">
        <v>0</v>
      </c>
      <c r="AA50" s="42">
        <v>1</v>
      </c>
      <c r="AB50" s="42">
        <v>1</v>
      </c>
      <c r="AC50" s="42">
        <v>1</v>
      </c>
      <c r="AD50" s="42">
        <v>0</v>
      </c>
      <c r="AE50" s="42">
        <v>0</v>
      </c>
      <c r="AF50" s="42">
        <v>1</v>
      </c>
      <c r="AG50" s="42">
        <v>0</v>
      </c>
      <c r="AH50" s="42">
        <v>0</v>
      </c>
      <c r="AI50" s="42">
        <v>0</v>
      </c>
      <c r="AJ50" s="42">
        <v>0</v>
      </c>
      <c r="AK50" s="42">
        <v>0</v>
      </c>
      <c r="AL50" s="42">
        <v>0</v>
      </c>
      <c r="AM50" s="42">
        <v>0</v>
      </c>
      <c r="AN50" s="43">
        <v>0</v>
      </c>
    </row>
    <row r="51" spans="3:40" x14ac:dyDescent="0.3">
      <c r="D51" s="31">
        <f t="shared" si="1"/>
        <v>0</v>
      </c>
      <c r="E51">
        <f t="shared" si="2"/>
        <v>3732.5994687993257</v>
      </c>
      <c r="F51" s="258"/>
      <c r="G51" s="44" t="s">
        <v>125</v>
      </c>
      <c r="H51" s="33">
        <f t="shared" si="3"/>
        <v>3732.5994687993257</v>
      </c>
      <c r="I51" s="44" t="s">
        <v>126</v>
      </c>
      <c r="J51" s="33">
        <f t="shared" si="4"/>
        <v>2.5588324439918759</v>
      </c>
      <c r="K51" s="34">
        <v>16</v>
      </c>
      <c r="L51" s="45"/>
      <c r="M51" s="46" t="s">
        <v>127</v>
      </c>
      <c r="N51" s="47">
        <f>J37+J38+J39+J40+J51</f>
        <v>14.158334673561622</v>
      </c>
      <c r="O51" s="48" t="s">
        <v>128</v>
      </c>
      <c r="P51" s="39">
        <v>253.6372066364963</v>
      </c>
      <c r="Q51" s="39">
        <f t="shared" si="5"/>
        <v>253.6372066364963</v>
      </c>
      <c r="R51" s="49"/>
      <c r="S51" s="49"/>
      <c r="T51" s="49"/>
      <c r="U51" s="41" t="s">
        <v>128</v>
      </c>
      <c r="V51" s="50">
        <v>0</v>
      </c>
      <c r="W51" s="50">
        <v>1</v>
      </c>
      <c r="X51" s="50">
        <v>1</v>
      </c>
      <c r="Y51" s="50">
        <v>1</v>
      </c>
      <c r="Z51" s="50">
        <v>1</v>
      </c>
      <c r="AA51" s="50">
        <v>0</v>
      </c>
      <c r="AB51" s="50">
        <v>0</v>
      </c>
      <c r="AC51" s="50">
        <v>0</v>
      </c>
      <c r="AD51" s="50">
        <v>0</v>
      </c>
      <c r="AE51" s="50">
        <v>0</v>
      </c>
      <c r="AF51" s="50">
        <v>0</v>
      </c>
      <c r="AG51" s="50">
        <v>0</v>
      </c>
      <c r="AH51" s="50">
        <v>0</v>
      </c>
      <c r="AI51" s="50">
        <v>0</v>
      </c>
      <c r="AJ51" s="50">
        <v>0</v>
      </c>
      <c r="AK51" s="50">
        <v>1</v>
      </c>
      <c r="AL51" s="50">
        <v>0</v>
      </c>
      <c r="AM51" s="50">
        <v>0</v>
      </c>
      <c r="AN51" s="51">
        <v>0</v>
      </c>
    </row>
    <row r="52" spans="3:40" x14ac:dyDescent="0.3">
      <c r="D52" s="31">
        <f t="shared" si="1"/>
        <v>0</v>
      </c>
      <c r="E52">
        <f t="shared" si="2"/>
        <v>6187.8462251984256</v>
      </c>
      <c r="F52" s="258"/>
      <c r="G52" s="44" t="s">
        <v>129</v>
      </c>
      <c r="H52" s="33">
        <f t="shared" si="3"/>
        <v>6187.8462251984247</v>
      </c>
      <c r="I52" s="44" t="s">
        <v>130</v>
      </c>
      <c r="J52" s="33">
        <f t="shared" si="4"/>
        <v>4.2155375483709623</v>
      </c>
      <c r="K52" s="34">
        <v>17</v>
      </c>
      <c r="L52" s="45"/>
      <c r="M52" s="46" t="s">
        <v>131</v>
      </c>
      <c r="N52" s="47">
        <f>J37+J38+J39+J49+J43</f>
        <v>14.513608756700869</v>
      </c>
      <c r="O52" s="48" t="s">
        <v>132</v>
      </c>
      <c r="P52" s="39">
        <v>0</v>
      </c>
      <c r="Q52" s="39">
        <f t="shared" si="5"/>
        <v>0</v>
      </c>
      <c r="R52" s="49"/>
      <c r="S52" s="49"/>
      <c r="T52" s="49"/>
      <c r="U52" s="41" t="s">
        <v>132</v>
      </c>
      <c r="V52" s="50">
        <v>0</v>
      </c>
      <c r="W52" s="50">
        <v>1</v>
      </c>
      <c r="X52" s="50">
        <v>1</v>
      </c>
      <c r="Y52" s="50">
        <v>1</v>
      </c>
      <c r="Z52" s="50">
        <v>0</v>
      </c>
      <c r="AA52" s="50">
        <v>0</v>
      </c>
      <c r="AB52" s="50">
        <v>0</v>
      </c>
      <c r="AC52" s="50">
        <v>1</v>
      </c>
      <c r="AD52" s="50">
        <v>0</v>
      </c>
      <c r="AE52" s="50">
        <v>0</v>
      </c>
      <c r="AF52" s="50">
        <v>0</v>
      </c>
      <c r="AG52" s="50">
        <v>0</v>
      </c>
      <c r="AH52" s="50">
        <v>0</v>
      </c>
      <c r="AI52" s="50">
        <v>1</v>
      </c>
      <c r="AJ52" s="50">
        <v>0</v>
      </c>
      <c r="AK52" s="50">
        <v>0</v>
      </c>
      <c r="AL52" s="50">
        <v>0</v>
      </c>
      <c r="AM52" s="50">
        <v>0</v>
      </c>
      <c r="AN52" s="51">
        <v>0</v>
      </c>
    </row>
    <row r="53" spans="3:40" x14ac:dyDescent="0.3">
      <c r="D53" s="31">
        <f t="shared" si="1"/>
        <v>0</v>
      </c>
      <c r="E53">
        <f t="shared" si="2"/>
        <v>0</v>
      </c>
      <c r="F53" s="258"/>
      <c r="G53" s="44" t="s">
        <v>133</v>
      </c>
      <c r="H53" s="33">
        <f t="shared" si="3"/>
        <v>0</v>
      </c>
      <c r="I53" s="44" t="s">
        <v>134</v>
      </c>
      <c r="J53" s="33">
        <f t="shared" si="4"/>
        <v>7.5</v>
      </c>
      <c r="K53" s="34">
        <v>18</v>
      </c>
      <c r="L53" s="45"/>
      <c r="M53" s="46" t="s">
        <v>135</v>
      </c>
      <c r="N53" s="47">
        <f>J37+J38+J48+J42+J43</f>
        <v>14.513608268060539</v>
      </c>
      <c r="O53" s="48" t="s">
        <v>136</v>
      </c>
      <c r="P53" s="39">
        <v>0</v>
      </c>
      <c r="Q53" s="39">
        <f t="shared" si="5"/>
        <v>0</v>
      </c>
      <c r="R53" s="49"/>
      <c r="S53" s="49"/>
      <c r="T53" s="49"/>
      <c r="U53" s="41" t="s">
        <v>136</v>
      </c>
      <c r="V53" s="50">
        <v>0</v>
      </c>
      <c r="W53" s="50">
        <v>1</v>
      </c>
      <c r="X53" s="50">
        <v>1</v>
      </c>
      <c r="Y53" s="50">
        <v>0</v>
      </c>
      <c r="Z53" s="50">
        <v>0</v>
      </c>
      <c r="AA53" s="50">
        <v>0</v>
      </c>
      <c r="AB53" s="50">
        <v>1</v>
      </c>
      <c r="AC53" s="50">
        <v>1</v>
      </c>
      <c r="AD53" s="50">
        <v>0</v>
      </c>
      <c r="AE53" s="50">
        <v>0</v>
      </c>
      <c r="AF53" s="50">
        <v>0</v>
      </c>
      <c r="AG53" s="50">
        <v>0</v>
      </c>
      <c r="AH53" s="50">
        <v>1</v>
      </c>
      <c r="AI53" s="50">
        <v>0</v>
      </c>
      <c r="AJ53" s="50">
        <v>0</v>
      </c>
      <c r="AK53" s="50">
        <v>0</v>
      </c>
      <c r="AL53" s="50">
        <v>0</v>
      </c>
      <c r="AM53" s="50">
        <v>0</v>
      </c>
      <c r="AN53" s="51">
        <v>0</v>
      </c>
    </row>
    <row r="54" spans="3:40" x14ac:dyDescent="0.3">
      <c r="D54" s="31">
        <f t="shared" si="1"/>
        <v>0</v>
      </c>
      <c r="E54">
        <f t="shared" si="2"/>
        <v>0</v>
      </c>
      <c r="F54" s="259"/>
      <c r="G54" s="60" t="s">
        <v>137</v>
      </c>
      <c r="H54" s="33">
        <f>W24*G84+0.17*W24/X24^3.8*G84^4.8/4.8</f>
        <v>0</v>
      </c>
      <c r="I54" s="60" t="s">
        <v>138</v>
      </c>
      <c r="J54" s="218">
        <f t="shared" si="4"/>
        <v>10</v>
      </c>
      <c r="K54" s="34">
        <v>19</v>
      </c>
      <c r="L54" s="53"/>
      <c r="M54" s="54" t="s">
        <v>139</v>
      </c>
      <c r="N54" s="55">
        <f>J52+J41+J42+J43</f>
        <v>14.158332945115768</v>
      </c>
      <c r="O54" s="56" t="s">
        <v>140</v>
      </c>
      <c r="P54" s="39">
        <v>1067.8709457839902</v>
      </c>
      <c r="Q54" s="39">
        <f t="shared" si="5"/>
        <v>1067.8709457839902</v>
      </c>
      <c r="R54" s="57"/>
      <c r="S54" s="57"/>
      <c r="T54" s="57"/>
      <c r="U54" s="41" t="s">
        <v>140</v>
      </c>
      <c r="V54" s="58">
        <v>0</v>
      </c>
      <c r="W54" s="58">
        <v>0</v>
      </c>
      <c r="X54" s="58">
        <v>0</v>
      </c>
      <c r="Y54" s="58">
        <v>0</v>
      </c>
      <c r="Z54" s="58">
        <v>0</v>
      </c>
      <c r="AA54" s="58">
        <v>1</v>
      </c>
      <c r="AB54" s="58">
        <v>1</v>
      </c>
      <c r="AC54" s="58">
        <v>1</v>
      </c>
      <c r="AD54" s="58">
        <v>0</v>
      </c>
      <c r="AE54" s="58">
        <v>0</v>
      </c>
      <c r="AF54" s="58">
        <v>0</v>
      </c>
      <c r="AG54" s="58">
        <v>0</v>
      </c>
      <c r="AH54" s="58">
        <v>0</v>
      </c>
      <c r="AI54" s="58">
        <v>0</v>
      </c>
      <c r="AJ54" s="58">
        <v>0</v>
      </c>
      <c r="AK54" s="58">
        <v>0</v>
      </c>
      <c r="AL54" s="58">
        <v>1</v>
      </c>
      <c r="AM54" s="58">
        <v>0</v>
      </c>
      <c r="AN54" s="59">
        <v>0</v>
      </c>
    </row>
    <row r="55" spans="3:40" x14ac:dyDescent="0.3">
      <c r="G55" s="61" t="s">
        <v>141</v>
      </c>
      <c r="H55" s="62">
        <f>SUM(H36:H54)</f>
        <v>56324.906918826244</v>
      </c>
      <c r="K55" s="34">
        <v>20</v>
      </c>
      <c r="L55" s="35" t="s">
        <v>76</v>
      </c>
      <c r="M55" s="36" t="s">
        <v>142</v>
      </c>
      <c r="N55" s="37">
        <f>J37+J38+J39+J49+J50</f>
        <v>14.231425237014811</v>
      </c>
      <c r="O55" s="38" t="s">
        <v>143</v>
      </c>
      <c r="P55" s="39">
        <v>0</v>
      </c>
      <c r="Q55" s="39">
        <f t="shared" si="5"/>
        <v>0</v>
      </c>
      <c r="R55" s="40">
        <f>G61</f>
        <v>1097.6775627015702</v>
      </c>
      <c r="S55" s="40" t="s">
        <v>39</v>
      </c>
      <c r="T55" s="40">
        <f>I61</f>
        <v>1097.6775627015702</v>
      </c>
      <c r="U55" s="41" t="s">
        <v>143</v>
      </c>
      <c r="V55" s="42">
        <v>0</v>
      </c>
      <c r="W55" s="42">
        <v>1</v>
      </c>
      <c r="X55" s="42">
        <v>1</v>
      </c>
      <c r="Y55" s="42">
        <v>1</v>
      </c>
      <c r="Z55" s="42">
        <v>0</v>
      </c>
      <c r="AA55" s="42">
        <v>0</v>
      </c>
      <c r="AB55" s="42">
        <v>0</v>
      </c>
      <c r="AC55" s="42">
        <v>0</v>
      </c>
      <c r="AD55" s="42">
        <v>0</v>
      </c>
      <c r="AE55" s="42">
        <v>0</v>
      </c>
      <c r="AF55" s="42">
        <v>0</v>
      </c>
      <c r="AG55" s="42">
        <v>0</v>
      </c>
      <c r="AH55" s="42">
        <v>0</v>
      </c>
      <c r="AI55" s="42">
        <v>1</v>
      </c>
      <c r="AJ55" s="42">
        <v>1</v>
      </c>
      <c r="AK55" s="42">
        <v>0</v>
      </c>
      <c r="AL55" s="42">
        <v>0</v>
      </c>
      <c r="AM55" s="42">
        <v>0</v>
      </c>
      <c r="AN55" s="43">
        <v>0</v>
      </c>
    </row>
    <row r="56" spans="3:40" x14ac:dyDescent="0.3">
      <c r="K56" s="34">
        <v>21</v>
      </c>
      <c r="L56" s="45"/>
      <c r="M56" s="46" t="s">
        <v>144</v>
      </c>
      <c r="N56" s="47">
        <f>J37+J38+J48+J42+J50</f>
        <v>14.231424748374479</v>
      </c>
      <c r="O56" s="48" t="s">
        <v>145</v>
      </c>
      <c r="P56" s="39">
        <v>0</v>
      </c>
      <c r="Q56" s="39">
        <f t="shared" si="5"/>
        <v>0</v>
      </c>
      <c r="R56" s="49"/>
      <c r="S56" s="49"/>
      <c r="T56" s="49"/>
      <c r="U56" s="41" t="s">
        <v>145</v>
      </c>
      <c r="V56" s="50">
        <v>0</v>
      </c>
      <c r="W56" s="50">
        <v>1</v>
      </c>
      <c r="X56" s="50">
        <v>1</v>
      </c>
      <c r="Y56" s="50">
        <v>0</v>
      </c>
      <c r="Z56" s="50">
        <v>0</v>
      </c>
      <c r="AA56" s="50">
        <v>0</v>
      </c>
      <c r="AB56" s="50">
        <v>1</v>
      </c>
      <c r="AC56" s="50">
        <v>0</v>
      </c>
      <c r="AD56" s="50">
        <v>0</v>
      </c>
      <c r="AE56" s="50">
        <v>0</v>
      </c>
      <c r="AF56" s="50">
        <v>0</v>
      </c>
      <c r="AG56" s="50">
        <v>0</v>
      </c>
      <c r="AH56" s="50">
        <v>1</v>
      </c>
      <c r="AI56" s="50">
        <v>0</v>
      </c>
      <c r="AJ56" s="50">
        <v>1</v>
      </c>
      <c r="AK56" s="50">
        <v>0</v>
      </c>
      <c r="AL56" s="50">
        <v>0</v>
      </c>
      <c r="AM56" s="50">
        <v>0</v>
      </c>
      <c r="AN56" s="51">
        <v>0</v>
      </c>
    </row>
    <row r="57" spans="3:40" x14ac:dyDescent="0.3">
      <c r="E57" s="1" t="s">
        <v>146</v>
      </c>
      <c r="F57" s="63" t="s">
        <v>32</v>
      </c>
      <c r="G57" s="64" t="s">
        <v>36</v>
      </c>
      <c r="H57" s="9" t="s">
        <v>39</v>
      </c>
      <c r="I57" s="65" t="s">
        <v>40</v>
      </c>
      <c r="K57" s="34">
        <v>22</v>
      </c>
      <c r="L57" s="45"/>
      <c r="M57" s="46" t="s">
        <v>147</v>
      </c>
      <c r="N57" s="47">
        <f>J37+J46+J41+J42+J50</f>
        <v>14.661107614133275</v>
      </c>
      <c r="O57" s="48" t="s">
        <v>148</v>
      </c>
      <c r="P57" s="39">
        <v>3.5527136788005009E-15</v>
      </c>
      <c r="Q57" s="39">
        <f t="shared" si="5"/>
        <v>3.5527136788005009E-15</v>
      </c>
      <c r="R57" s="49"/>
      <c r="S57" s="49"/>
      <c r="T57" s="49"/>
      <c r="U57" s="41" t="s">
        <v>148</v>
      </c>
      <c r="V57" s="50">
        <v>0</v>
      </c>
      <c r="W57" s="50">
        <v>1</v>
      </c>
      <c r="X57" s="50">
        <v>0</v>
      </c>
      <c r="Y57" s="50">
        <v>0</v>
      </c>
      <c r="Z57" s="50">
        <v>0</v>
      </c>
      <c r="AA57" s="50">
        <v>1</v>
      </c>
      <c r="AB57" s="50">
        <v>1</v>
      </c>
      <c r="AC57" s="50">
        <v>0</v>
      </c>
      <c r="AD57" s="50">
        <v>0</v>
      </c>
      <c r="AE57" s="50">
        <v>0</v>
      </c>
      <c r="AF57" s="50">
        <v>1</v>
      </c>
      <c r="AG57" s="50">
        <v>0</v>
      </c>
      <c r="AH57" s="50">
        <v>0</v>
      </c>
      <c r="AI57" s="50">
        <v>0</v>
      </c>
      <c r="AJ57" s="50">
        <v>1</v>
      </c>
      <c r="AK57" s="50">
        <v>0</v>
      </c>
      <c r="AL57" s="50">
        <v>0</v>
      </c>
      <c r="AM57" s="50">
        <v>0</v>
      </c>
      <c r="AN57" s="51">
        <v>0</v>
      </c>
    </row>
    <row r="58" spans="3:40" x14ac:dyDescent="0.3">
      <c r="F58" s="66" t="s">
        <v>61</v>
      </c>
      <c r="G58" s="67">
        <f>SUM(P36:P43)</f>
        <v>1232.1183616120175</v>
      </c>
      <c r="H58" s="68" t="s">
        <v>39</v>
      </c>
      <c r="I58" s="69">
        <f>C36</f>
        <v>1232.118360972114</v>
      </c>
      <c r="K58" s="34">
        <v>23</v>
      </c>
      <c r="L58" s="45"/>
      <c r="M58" s="46" t="s">
        <v>149</v>
      </c>
      <c r="N58" s="47">
        <f>J37+J46+J53+J44</f>
        <v>15.000495737074528</v>
      </c>
      <c r="O58" s="48" t="s">
        <v>150</v>
      </c>
      <c r="P58" s="39">
        <v>0</v>
      </c>
      <c r="Q58" s="39">
        <f t="shared" si="5"/>
        <v>0</v>
      </c>
      <c r="R58" s="49"/>
      <c r="S58" s="49"/>
      <c r="T58" s="49"/>
      <c r="U58" s="41" t="s">
        <v>150</v>
      </c>
      <c r="V58" s="50">
        <v>0</v>
      </c>
      <c r="W58" s="50">
        <v>1</v>
      </c>
      <c r="X58" s="50">
        <v>0</v>
      </c>
      <c r="Y58" s="50">
        <v>0</v>
      </c>
      <c r="Z58" s="50">
        <v>0</v>
      </c>
      <c r="AA58" s="50">
        <v>0</v>
      </c>
      <c r="AB58" s="50">
        <v>0</v>
      </c>
      <c r="AC58" s="50">
        <v>0</v>
      </c>
      <c r="AD58" s="50">
        <v>1</v>
      </c>
      <c r="AE58" s="50">
        <v>0</v>
      </c>
      <c r="AF58" s="50">
        <v>1</v>
      </c>
      <c r="AG58" s="50">
        <v>0</v>
      </c>
      <c r="AH58" s="50">
        <v>0</v>
      </c>
      <c r="AI58" s="50">
        <v>0</v>
      </c>
      <c r="AJ58" s="50">
        <v>0</v>
      </c>
      <c r="AK58" s="50">
        <v>0</v>
      </c>
      <c r="AL58" s="50">
        <v>0</v>
      </c>
      <c r="AM58" s="50">
        <v>1</v>
      </c>
      <c r="AN58" s="51">
        <v>0</v>
      </c>
    </row>
    <row r="59" spans="3:40" x14ac:dyDescent="0.3">
      <c r="F59" s="70" t="s">
        <v>66</v>
      </c>
      <c r="G59" s="67">
        <f>SUM(P44:P49)</f>
        <v>885.90516929212038</v>
      </c>
      <c r="H59" s="68" t="s">
        <v>39</v>
      </c>
      <c r="I59" s="69">
        <f t="shared" ref="I59:I60" si="6">C37</f>
        <v>885.905169246068</v>
      </c>
      <c r="K59" s="34">
        <v>24</v>
      </c>
      <c r="L59" s="45"/>
      <c r="M59" s="46" t="s">
        <v>151</v>
      </c>
      <c r="N59" s="47">
        <f>J52+J53+J44</f>
        <v>14.215537548370962</v>
      </c>
      <c r="O59" s="48" t="s">
        <v>152</v>
      </c>
      <c r="P59" s="39">
        <v>0</v>
      </c>
      <c r="Q59" s="39">
        <f t="shared" si="5"/>
        <v>0</v>
      </c>
      <c r="R59" s="49"/>
      <c r="S59" s="49"/>
      <c r="T59" s="49"/>
      <c r="U59" s="41" t="s">
        <v>152</v>
      </c>
      <c r="V59" s="50">
        <v>0</v>
      </c>
      <c r="W59" s="50">
        <v>0</v>
      </c>
      <c r="X59" s="50">
        <v>0</v>
      </c>
      <c r="Y59" s="50">
        <v>0</v>
      </c>
      <c r="Z59" s="50">
        <v>0</v>
      </c>
      <c r="AA59" s="50">
        <v>0</v>
      </c>
      <c r="AB59" s="50">
        <v>0</v>
      </c>
      <c r="AC59" s="50">
        <v>0</v>
      </c>
      <c r="AD59" s="50">
        <v>1</v>
      </c>
      <c r="AE59" s="50">
        <v>0</v>
      </c>
      <c r="AF59" s="50">
        <v>0</v>
      </c>
      <c r="AG59" s="50">
        <v>0</v>
      </c>
      <c r="AH59" s="50">
        <v>0</v>
      </c>
      <c r="AI59" s="50">
        <v>0</v>
      </c>
      <c r="AJ59" s="50">
        <v>0</v>
      </c>
      <c r="AK59" s="50">
        <v>0</v>
      </c>
      <c r="AL59" s="50">
        <v>1</v>
      </c>
      <c r="AM59" s="50">
        <v>1</v>
      </c>
      <c r="AN59" s="51">
        <v>0</v>
      </c>
    </row>
    <row r="60" spans="3:40" x14ac:dyDescent="0.3">
      <c r="F60" s="70" t="s">
        <v>71</v>
      </c>
      <c r="G60" s="67">
        <f>SUM(P50:P54)</f>
        <v>1321.5081524204866</v>
      </c>
      <c r="H60" s="68" t="s">
        <v>39</v>
      </c>
      <c r="I60" s="69">
        <f t="shared" si="6"/>
        <v>1321.5081520575191</v>
      </c>
      <c r="K60" s="34">
        <v>25</v>
      </c>
      <c r="L60" s="53"/>
      <c r="M60" s="54" t="s">
        <v>153</v>
      </c>
      <c r="N60" s="55">
        <f>J52+J41+J42+J50</f>
        <v>13.876149425429709</v>
      </c>
      <c r="O60" s="56" t="s">
        <v>154</v>
      </c>
      <c r="P60" s="39">
        <v>1097.6775627015702</v>
      </c>
      <c r="Q60" s="71">
        <f t="shared" si="5"/>
        <v>1097.6775627015702</v>
      </c>
      <c r="R60" s="57"/>
      <c r="S60" s="57"/>
      <c r="T60" s="57"/>
      <c r="U60" s="41" t="s">
        <v>154</v>
      </c>
      <c r="V60" s="58">
        <v>0</v>
      </c>
      <c r="W60" s="58">
        <v>0</v>
      </c>
      <c r="X60" s="58">
        <v>0</v>
      </c>
      <c r="Y60" s="58">
        <v>0</v>
      </c>
      <c r="Z60" s="58">
        <v>0</v>
      </c>
      <c r="AA60" s="58">
        <v>1</v>
      </c>
      <c r="AB60" s="58">
        <v>1</v>
      </c>
      <c r="AC60" s="58">
        <v>0</v>
      </c>
      <c r="AD60" s="58">
        <v>0</v>
      </c>
      <c r="AE60" s="58">
        <v>0</v>
      </c>
      <c r="AF60" s="58">
        <v>0</v>
      </c>
      <c r="AG60" s="58">
        <v>0</v>
      </c>
      <c r="AH60" s="58">
        <v>0</v>
      </c>
      <c r="AI60" s="58">
        <v>0</v>
      </c>
      <c r="AJ60" s="58">
        <v>1</v>
      </c>
      <c r="AK60" s="58">
        <v>0</v>
      </c>
      <c r="AL60" s="58">
        <v>1</v>
      </c>
      <c r="AM60" s="58">
        <v>0</v>
      </c>
      <c r="AN60" s="59">
        <v>0</v>
      </c>
    </row>
    <row r="61" spans="3:40" x14ac:dyDescent="0.3">
      <c r="F61" s="72" t="s">
        <v>76</v>
      </c>
      <c r="G61" s="73">
        <f>SUM(P55:P60)</f>
        <v>1097.6775627015702</v>
      </c>
      <c r="H61" s="74" t="s">
        <v>39</v>
      </c>
      <c r="I61" s="69">
        <f>C39</f>
        <v>1097.6775627015702</v>
      </c>
      <c r="K61" s="264" t="s">
        <v>155</v>
      </c>
      <c r="L61" s="264"/>
      <c r="M61" s="264"/>
      <c r="N61" s="76">
        <f>SUM(N36:N60)</f>
        <v>362.43517059772967</v>
      </c>
      <c r="U61" s="77" t="s">
        <v>156</v>
      </c>
      <c r="V61" s="78">
        <f>SUMPRODUCT($Q$36:$Q$60,V36:V60)</f>
        <v>1329.6877231607889</v>
      </c>
      <c r="W61" s="78">
        <f>SUMPRODUCT($Q$36:$Q$60,W36:W60)</f>
        <v>253.6372066364963</v>
      </c>
      <c r="X61" s="78">
        <f t="shared" ref="X61:AN61" si="7">SUMPRODUCT($Q$36:$Q$60,X36:X60)</f>
        <v>1041.9730143798452</v>
      </c>
      <c r="Y61" s="78">
        <f t="shared" si="7"/>
        <v>2137.98597502148</v>
      </c>
      <c r="Z61" s="78">
        <f t="shared" si="7"/>
        <v>1485.7555682485138</v>
      </c>
      <c r="AA61" s="78">
        <f t="shared" si="7"/>
        <v>2165.5485084855604</v>
      </c>
      <c r="AB61" s="78">
        <f t="shared" si="7"/>
        <v>2399.2232710047142</v>
      </c>
      <c r="AC61" s="78">
        <f t="shared" si="7"/>
        <v>1067.8709457839902</v>
      </c>
      <c r="AD61" s="78">
        <f t="shared" si="7"/>
        <v>0</v>
      </c>
      <c r="AE61" s="78">
        <f t="shared" si="7"/>
        <v>788.33580774334894</v>
      </c>
      <c r="AF61" s="78">
        <f t="shared" si="7"/>
        <v>3.5527136788005009E-15</v>
      </c>
      <c r="AG61" s="78">
        <f t="shared" si="7"/>
        <v>1329.6877231607889</v>
      </c>
      <c r="AH61" s="78">
        <f t="shared" si="7"/>
        <v>233.67476251915372</v>
      </c>
      <c r="AI61" s="78">
        <f t="shared" si="7"/>
        <v>652.2304067729666</v>
      </c>
      <c r="AJ61" s="78">
        <f t="shared" si="7"/>
        <v>1983.5827319936907</v>
      </c>
      <c r="AK61" s="78">
        <f t="shared" si="7"/>
        <v>1485.7555682485138</v>
      </c>
      <c r="AL61" s="78">
        <f t="shared" si="7"/>
        <v>2165.5485084855604</v>
      </c>
      <c r="AM61" s="78">
        <f t="shared" si="7"/>
        <v>0</v>
      </c>
      <c r="AN61" s="78">
        <f t="shared" si="7"/>
        <v>0</v>
      </c>
    </row>
    <row r="62" spans="3:40" x14ac:dyDescent="0.3">
      <c r="H62" s="6"/>
      <c r="U62" s="79" t="s">
        <v>157</v>
      </c>
      <c r="V62" s="79" t="s">
        <v>157</v>
      </c>
      <c r="W62" s="79" t="s">
        <v>157</v>
      </c>
      <c r="X62" s="79" t="s">
        <v>157</v>
      </c>
      <c r="Y62" s="79" t="s">
        <v>157</v>
      </c>
      <c r="Z62" s="79" t="s">
        <v>157</v>
      </c>
      <c r="AA62" s="79" t="s">
        <v>157</v>
      </c>
      <c r="AB62" s="79" t="s">
        <v>157</v>
      </c>
      <c r="AC62" s="79" t="s">
        <v>157</v>
      </c>
      <c r="AD62" s="79" t="s">
        <v>157</v>
      </c>
      <c r="AE62" s="79" t="s">
        <v>157</v>
      </c>
      <c r="AF62" s="79" t="s">
        <v>157</v>
      </c>
      <c r="AG62" s="79" t="s">
        <v>157</v>
      </c>
      <c r="AH62" s="79" t="s">
        <v>157</v>
      </c>
      <c r="AI62" s="79" t="s">
        <v>157</v>
      </c>
      <c r="AJ62" s="79" t="s">
        <v>157</v>
      </c>
      <c r="AK62" s="79" t="s">
        <v>157</v>
      </c>
      <c r="AL62" s="79" t="s">
        <v>157</v>
      </c>
      <c r="AM62" s="79" t="s">
        <v>157</v>
      </c>
      <c r="AN62" s="79" t="s">
        <v>157</v>
      </c>
    </row>
    <row r="63" spans="3:40" x14ac:dyDescent="0.3">
      <c r="H63" s="6"/>
      <c r="U63" s="79" t="s">
        <v>158</v>
      </c>
      <c r="V63" s="80">
        <v>3000</v>
      </c>
      <c r="W63" s="80">
        <v>1500</v>
      </c>
      <c r="X63" s="80">
        <v>2000</v>
      </c>
      <c r="Y63" s="80">
        <v>3000</v>
      </c>
      <c r="Z63" s="80">
        <v>2000</v>
      </c>
      <c r="AA63" s="80">
        <v>1500</v>
      </c>
      <c r="AB63" s="80">
        <v>3000</v>
      </c>
      <c r="AC63" s="80">
        <v>1000</v>
      </c>
      <c r="AD63" s="80">
        <v>1000</v>
      </c>
      <c r="AE63" s="80">
        <v>1250</v>
      </c>
      <c r="AF63" s="80">
        <v>2000</v>
      </c>
      <c r="AG63" s="80">
        <v>2000</v>
      </c>
      <c r="AH63" s="80">
        <v>2000</v>
      </c>
      <c r="AI63" s="80">
        <v>2000</v>
      </c>
      <c r="AJ63" s="80">
        <v>2250</v>
      </c>
      <c r="AK63" s="80">
        <v>2500</v>
      </c>
      <c r="AL63" s="80">
        <v>1500</v>
      </c>
      <c r="AM63" s="80">
        <v>1500</v>
      </c>
      <c r="AN63" s="80">
        <v>2250</v>
      </c>
    </row>
    <row r="64" spans="3:40" x14ac:dyDescent="0.3">
      <c r="H64" s="6"/>
      <c r="U64" t="s">
        <v>159</v>
      </c>
      <c r="V64">
        <f>V61/V63</f>
        <v>0.44322924105359629</v>
      </c>
      <c r="W64">
        <f t="shared" ref="W64:AN64" si="8">W61/W63</f>
        <v>0.16909147109099754</v>
      </c>
      <c r="X64">
        <f t="shared" si="8"/>
        <v>0.52098650718992257</v>
      </c>
      <c r="Y64">
        <f t="shared" si="8"/>
        <v>0.71266199167382671</v>
      </c>
      <c r="Z64">
        <f t="shared" si="8"/>
        <v>0.74287778412425687</v>
      </c>
      <c r="AA64">
        <f t="shared" si="8"/>
        <v>1.4436990056570402</v>
      </c>
      <c r="AB64">
        <f t="shared" si="8"/>
        <v>0.7997410903349047</v>
      </c>
      <c r="AC64">
        <f t="shared" si="8"/>
        <v>1.0678709457839903</v>
      </c>
      <c r="AD64">
        <f t="shared" si="8"/>
        <v>0</v>
      </c>
      <c r="AE64">
        <f t="shared" si="8"/>
        <v>0.63066864619467911</v>
      </c>
      <c r="AF64">
        <f t="shared" si="8"/>
        <v>1.7763568394002505E-18</v>
      </c>
      <c r="AG64">
        <f t="shared" si="8"/>
        <v>0.66484386158039444</v>
      </c>
      <c r="AH64">
        <f t="shared" si="8"/>
        <v>0.11683738125957686</v>
      </c>
      <c r="AI64">
        <f t="shared" si="8"/>
        <v>0.32611520338648331</v>
      </c>
      <c r="AJ64">
        <f t="shared" si="8"/>
        <v>0.88159232533052923</v>
      </c>
      <c r="AK64">
        <f t="shared" si="8"/>
        <v>0.59430222729940552</v>
      </c>
      <c r="AL64">
        <f t="shared" si="8"/>
        <v>1.4436990056570402</v>
      </c>
      <c r="AM64">
        <f t="shared" si="8"/>
        <v>0</v>
      </c>
      <c r="AN64">
        <f t="shared" si="8"/>
        <v>0</v>
      </c>
    </row>
    <row r="65" spans="6:40" x14ac:dyDescent="0.3">
      <c r="F65" s="81" t="s">
        <v>160</v>
      </c>
      <c r="H65" s="6"/>
      <c r="V65">
        <v>0.1</v>
      </c>
      <c r="W65">
        <v>0.1</v>
      </c>
      <c r="X65">
        <v>0.1</v>
      </c>
      <c r="Y65">
        <v>0.1</v>
      </c>
      <c r="Z65">
        <v>0.1</v>
      </c>
      <c r="AA65">
        <v>0.1</v>
      </c>
      <c r="AB65">
        <v>0.1</v>
      </c>
      <c r="AC65">
        <v>0.1</v>
      </c>
      <c r="AD65">
        <v>0.1</v>
      </c>
      <c r="AE65">
        <v>0.1</v>
      </c>
      <c r="AF65">
        <v>0.1</v>
      </c>
      <c r="AG65">
        <v>0.1</v>
      </c>
      <c r="AH65">
        <v>0.1</v>
      </c>
      <c r="AI65">
        <v>0.1</v>
      </c>
      <c r="AJ65">
        <v>0.1</v>
      </c>
      <c r="AK65">
        <v>0.1</v>
      </c>
      <c r="AL65">
        <v>0.1</v>
      </c>
      <c r="AM65">
        <v>0.1</v>
      </c>
      <c r="AN65">
        <v>0.1</v>
      </c>
    </row>
    <row r="66" spans="6:40" x14ac:dyDescent="0.3">
      <c r="F66" s="4" t="s">
        <v>42</v>
      </c>
      <c r="G66" s="4">
        <f>V61</f>
        <v>1329.6877231607889</v>
      </c>
      <c r="H66" s="6"/>
      <c r="V66">
        <v>0.6</v>
      </c>
      <c r="W66">
        <v>0.6</v>
      </c>
      <c r="X66">
        <v>0.6</v>
      </c>
      <c r="Y66">
        <v>0.6</v>
      </c>
      <c r="Z66">
        <v>0.6</v>
      </c>
      <c r="AA66">
        <v>0.6</v>
      </c>
      <c r="AB66">
        <v>0.6</v>
      </c>
      <c r="AC66">
        <v>0.6</v>
      </c>
      <c r="AD66">
        <v>0.6</v>
      </c>
      <c r="AE66">
        <v>0.6</v>
      </c>
      <c r="AF66">
        <v>0.6</v>
      </c>
      <c r="AG66">
        <v>0.6</v>
      </c>
      <c r="AH66">
        <v>0.6</v>
      </c>
      <c r="AI66">
        <v>0.6</v>
      </c>
      <c r="AJ66">
        <v>0.6</v>
      </c>
      <c r="AK66">
        <v>0.6</v>
      </c>
      <c r="AL66">
        <v>0.6</v>
      </c>
      <c r="AM66">
        <v>0.6</v>
      </c>
      <c r="AN66">
        <v>0.6</v>
      </c>
    </row>
    <row r="67" spans="6:40" x14ac:dyDescent="0.3">
      <c r="F67" s="4" t="s">
        <v>43</v>
      </c>
      <c r="G67" s="4">
        <f>W61</f>
        <v>253.6372066364963</v>
      </c>
      <c r="H67" s="6"/>
      <c r="U67" t="s">
        <v>162</v>
      </c>
      <c r="V67" s="82">
        <f>AA15*(1+0.17*(V61/AA16)^3.8)</f>
        <v>2.5193008691422163</v>
      </c>
      <c r="W67" s="82">
        <f t="shared" ref="W67:AN67" si="9">AB15*(1+0.17*(W61/AB16)^3.8)</f>
        <v>2.5004957370745289</v>
      </c>
      <c r="X67" s="82">
        <f t="shared" si="9"/>
        <v>2.53567217075532</v>
      </c>
      <c r="Y67" s="82">
        <f t="shared" si="9"/>
        <v>3.9259696858014492</v>
      </c>
      <c r="Z67" s="82">
        <f t="shared" si="9"/>
        <v>2.6373646359384466</v>
      </c>
      <c r="AA67" s="82">
        <f t="shared" si="9"/>
        <v>4.2155375483709623</v>
      </c>
      <c r="AB67" s="82">
        <f t="shared" si="9"/>
        <v>2.6818011766546883</v>
      </c>
      <c r="AC67" s="82">
        <f t="shared" si="9"/>
        <v>3.0454566717191565</v>
      </c>
      <c r="AD67" s="82">
        <f t="shared" si="9"/>
        <v>2.5</v>
      </c>
      <c r="AE67" s="82">
        <f t="shared" si="9"/>
        <v>2.5737282021709302</v>
      </c>
      <c r="AF67" s="82">
        <f t="shared" si="9"/>
        <v>2.5</v>
      </c>
      <c r="AG67" s="82">
        <f t="shared" si="9"/>
        <v>2.5900997634309642</v>
      </c>
      <c r="AH67" s="82">
        <f t="shared" si="9"/>
        <v>3.7501825118568446</v>
      </c>
      <c r="AI67" s="82">
        <f t="shared" si="9"/>
        <v>2.5060144913504128</v>
      </c>
      <c r="AJ67" s="82">
        <f t="shared" si="9"/>
        <v>2.763273152033098</v>
      </c>
      <c r="AK67" s="82">
        <f t="shared" si="9"/>
        <v>2.5588324439918759</v>
      </c>
      <c r="AL67" s="82">
        <f t="shared" si="9"/>
        <v>4.2155375483709623</v>
      </c>
      <c r="AM67" s="82">
        <f t="shared" si="9"/>
        <v>7.5</v>
      </c>
      <c r="AN67" s="82">
        <f t="shared" si="9"/>
        <v>10</v>
      </c>
    </row>
    <row r="68" spans="6:40" x14ac:dyDescent="0.3">
      <c r="F68" s="4" t="s">
        <v>44</v>
      </c>
      <c r="G68" s="4">
        <f>X61</f>
        <v>1041.9730143798452</v>
      </c>
      <c r="H68" s="6"/>
    </row>
    <row r="69" spans="6:40" x14ac:dyDescent="0.3">
      <c r="F69" s="4" t="s">
        <v>45</v>
      </c>
      <c r="G69" s="4">
        <f>Y61</f>
        <v>2137.98597502148</v>
      </c>
      <c r="H69" s="6"/>
    </row>
    <row r="70" spans="6:40" x14ac:dyDescent="0.3">
      <c r="F70" s="4" t="s">
        <v>46</v>
      </c>
      <c r="G70" s="4">
        <f>Z61</f>
        <v>1485.7555682485138</v>
      </c>
      <c r="U70" s="41" t="s">
        <v>65</v>
      </c>
      <c r="V70">
        <f t="shared" ref="V70:V94" si="10">SUMPRODUCT($V$67:$AN$67,V36:AN36)</f>
        <v>15.078133313134092</v>
      </c>
      <c r="X70">
        <v>15.000195603366421</v>
      </c>
    </row>
    <row r="71" spans="6:40" x14ac:dyDescent="0.3">
      <c r="F71" s="4" t="s">
        <v>47</v>
      </c>
      <c r="G71" s="4">
        <f>AA61</f>
        <v>2165.5485084855604</v>
      </c>
      <c r="U71" s="41" t="s">
        <v>70</v>
      </c>
      <c r="V71">
        <f t="shared" si="10"/>
        <v>14.23156739830495</v>
      </c>
      <c r="X71">
        <v>13.75090229828113</v>
      </c>
    </row>
    <row r="72" spans="6:40" x14ac:dyDescent="0.3">
      <c r="F72" s="4" t="s">
        <v>48</v>
      </c>
      <c r="G72" s="4">
        <f>AB61</f>
        <v>2399.2232710047142</v>
      </c>
      <c r="U72" s="41" t="s">
        <v>75</v>
      </c>
      <c r="V72">
        <f t="shared" si="10"/>
        <v>14.5868414814442</v>
      </c>
      <c r="X72">
        <v>14.225219683523857</v>
      </c>
    </row>
    <row r="73" spans="6:40" x14ac:dyDescent="0.3">
      <c r="F73" s="4" t="s">
        <v>49</v>
      </c>
      <c r="G73" s="4">
        <f>AC61</f>
        <v>1067.8709457839902</v>
      </c>
      <c r="U73" s="41" t="s">
        <v>80</v>
      </c>
      <c r="V73">
        <f t="shared" si="10"/>
        <v>14.586840992803872</v>
      </c>
      <c r="X73">
        <v>14.272326357392505</v>
      </c>
    </row>
    <row r="74" spans="6:40" x14ac:dyDescent="0.3">
      <c r="F74" s="4" t="s">
        <v>50</v>
      </c>
      <c r="G74" s="4">
        <f>AD61</f>
        <v>0</v>
      </c>
      <c r="U74" s="41" t="s">
        <v>84</v>
      </c>
      <c r="V74">
        <f t="shared" si="10"/>
        <v>14.231567138658022</v>
      </c>
      <c r="X74">
        <v>13.805151472614</v>
      </c>
    </row>
    <row r="75" spans="6:40" x14ac:dyDescent="0.3">
      <c r="F75" s="4" t="s">
        <v>51</v>
      </c>
      <c r="G75" s="4">
        <f>AE61</f>
        <v>788.33580774334894</v>
      </c>
      <c r="U75" s="41" t="s">
        <v>88</v>
      </c>
      <c r="V75">
        <f t="shared" si="10"/>
        <v>14.586841221797268</v>
      </c>
      <c r="X75">
        <v>14.279468857856727</v>
      </c>
    </row>
    <row r="76" spans="6:40" x14ac:dyDescent="0.3">
      <c r="F76" s="4" t="s">
        <v>52</v>
      </c>
      <c r="G76" s="4">
        <f>AF61</f>
        <v>3.5527136788005009E-15</v>
      </c>
      <c r="U76" s="41" t="s">
        <v>92</v>
      </c>
      <c r="V76">
        <f t="shared" si="10"/>
        <v>14.58684073315694</v>
      </c>
      <c r="X76">
        <v>14.326575531725375</v>
      </c>
    </row>
    <row r="77" spans="6:40" x14ac:dyDescent="0.3">
      <c r="F77" s="4" t="s">
        <v>53</v>
      </c>
      <c r="G77" s="4">
        <f>AG61</f>
        <v>1329.6877231607889</v>
      </c>
      <c r="U77" s="41" t="s">
        <v>96</v>
      </c>
      <c r="V77">
        <f t="shared" si="10"/>
        <v>15.016523598915736</v>
      </c>
      <c r="X77">
        <v>13.750902037729439</v>
      </c>
    </row>
    <row r="78" spans="6:40" x14ac:dyDescent="0.3">
      <c r="F78" s="4" t="s">
        <v>54</v>
      </c>
      <c r="G78" s="4">
        <f>AH61</f>
        <v>233.67476251915372</v>
      </c>
      <c r="U78" s="41" t="s">
        <v>100</v>
      </c>
      <c r="V78">
        <f t="shared" si="10"/>
        <v>14.304657961758139</v>
      </c>
      <c r="X78">
        <v>13.750771910176033</v>
      </c>
    </row>
    <row r="79" spans="6:40" x14ac:dyDescent="0.3">
      <c r="F79" s="4" t="s">
        <v>55</v>
      </c>
      <c r="G79" s="4">
        <f>AI61</f>
        <v>652.2304067729666</v>
      </c>
      <c r="U79" s="41" t="s">
        <v>104</v>
      </c>
      <c r="V79">
        <f t="shared" si="10"/>
        <v>14.30465747311781</v>
      </c>
      <c r="X79">
        <v>13.801434953032715</v>
      </c>
    </row>
    <row r="80" spans="6:40" x14ac:dyDescent="0.3">
      <c r="F80" s="4" t="s">
        <v>56</v>
      </c>
      <c r="G80" s="4">
        <f>AJ61</f>
        <v>1983.5827319936907</v>
      </c>
      <c r="U80" s="41" t="s">
        <v>108</v>
      </c>
      <c r="V80">
        <f t="shared" si="10"/>
        <v>14.304657702111211</v>
      </c>
      <c r="X80">
        <v>13.808577453496937</v>
      </c>
    </row>
    <row r="81" spans="6:24" x14ac:dyDescent="0.3">
      <c r="F81" s="4" t="s">
        <v>57</v>
      </c>
      <c r="G81" s="4">
        <f>AK61</f>
        <v>1485.7555682485138</v>
      </c>
      <c r="U81" s="41" t="s">
        <v>112</v>
      </c>
      <c r="V81">
        <f t="shared" si="10"/>
        <v>14.304657213470879</v>
      </c>
      <c r="X81">
        <v>13.855684127365585</v>
      </c>
    </row>
    <row r="82" spans="6:24" x14ac:dyDescent="0.3">
      <c r="F82" s="4" t="s">
        <v>58</v>
      </c>
      <c r="G82" s="4">
        <f>AL61</f>
        <v>2165.5485084855604</v>
      </c>
      <c r="U82" s="41" t="s">
        <v>116</v>
      </c>
      <c r="V82">
        <f t="shared" si="10"/>
        <v>14.734340079229678</v>
      </c>
      <c r="X82">
        <v>13.280010633369649</v>
      </c>
    </row>
    <row r="83" spans="6:24" x14ac:dyDescent="0.3">
      <c r="F83" s="4" t="s">
        <v>59</v>
      </c>
      <c r="G83" s="4">
        <f>AM61</f>
        <v>0</v>
      </c>
      <c r="U83" s="41" t="s">
        <v>120</v>
      </c>
      <c r="V83">
        <f t="shared" si="10"/>
        <v>15.07372820217093</v>
      </c>
      <c r="X83">
        <v>15.294105022859039</v>
      </c>
    </row>
    <row r="84" spans="6:24" x14ac:dyDescent="0.3">
      <c r="F84" s="4" t="s">
        <v>60</v>
      </c>
      <c r="G84" s="4">
        <f>AN61</f>
        <v>0</v>
      </c>
      <c r="U84" s="41" t="s">
        <v>124</v>
      </c>
      <c r="V84">
        <f t="shared" si="10"/>
        <v>14.943291133819335</v>
      </c>
      <c r="X84">
        <v>13.696318465991869</v>
      </c>
    </row>
    <row r="85" spans="6:24" x14ac:dyDescent="0.3">
      <c r="U85" s="41" t="s">
        <v>128</v>
      </c>
      <c r="V85">
        <f t="shared" si="10"/>
        <v>14.158334673561622</v>
      </c>
      <c r="X85">
        <v>13.75056790087643</v>
      </c>
    </row>
    <row r="86" spans="6:24" x14ac:dyDescent="0.3">
      <c r="U86" s="41" t="s">
        <v>132</v>
      </c>
      <c r="V86">
        <f t="shared" si="10"/>
        <v>14.513608756700869</v>
      </c>
      <c r="X86">
        <v>14.224885286119157</v>
      </c>
    </row>
    <row r="87" spans="6:24" x14ac:dyDescent="0.3">
      <c r="U87" s="41" t="s">
        <v>136</v>
      </c>
      <c r="V87">
        <f t="shared" si="10"/>
        <v>14.51360826806054</v>
      </c>
      <c r="X87">
        <v>14.271991959987805</v>
      </c>
    </row>
    <row r="88" spans="6:24" x14ac:dyDescent="0.3">
      <c r="U88" s="41" t="s">
        <v>140</v>
      </c>
      <c r="V88">
        <f t="shared" si="10"/>
        <v>14.158332945115768</v>
      </c>
      <c r="X88">
        <v>11.68222407686552</v>
      </c>
    </row>
    <row r="89" spans="6:24" x14ac:dyDescent="0.3">
      <c r="U89" s="41" t="s">
        <v>143</v>
      </c>
      <c r="V89">
        <f t="shared" si="10"/>
        <v>14.231425237014811</v>
      </c>
      <c r="X89">
        <v>13.753993881759367</v>
      </c>
    </row>
    <row r="90" spans="6:24" x14ac:dyDescent="0.3">
      <c r="U90" s="41" t="s">
        <v>145</v>
      </c>
      <c r="V90">
        <f t="shared" si="10"/>
        <v>14.231424748374479</v>
      </c>
      <c r="X90">
        <v>13.801100555628015</v>
      </c>
    </row>
    <row r="91" spans="6:24" x14ac:dyDescent="0.3">
      <c r="U91" s="41" t="s">
        <v>148</v>
      </c>
      <c r="V91">
        <f t="shared" si="10"/>
        <v>14.661107614133275</v>
      </c>
      <c r="X91">
        <v>13.225427061632079</v>
      </c>
    </row>
    <row r="92" spans="6:24" x14ac:dyDescent="0.3">
      <c r="U92" s="41" t="s">
        <v>150</v>
      </c>
      <c r="V92">
        <f t="shared" si="10"/>
        <v>15.000495737074528</v>
      </c>
      <c r="X92">
        <v>15.239521451121469</v>
      </c>
    </row>
    <row r="93" spans="6:24" x14ac:dyDescent="0.3">
      <c r="U93" s="41" t="s">
        <v>152</v>
      </c>
      <c r="V93">
        <f t="shared" si="10"/>
        <v>14.215537548370962</v>
      </c>
      <c r="X93">
        <v>13.22542706199512</v>
      </c>
    </row>
    <row r="94" spans="6:24" ht="15" thickBot="1" x14ac:dyDescent="0.35">
      <c r="U94" s="41" t="s">
        <v>154</v>
      </c>
      <c r="V94">
        <f t="shared" si="10"/>
        <v>13.876149425429711</v>
      </c>
      <c r="X94">
        <v>11.21133267250573</v>
      </c>
    </row>
    <row r="95" spans="6:24" x14ac:dyDescent="0.3">
      <c r="H95" s="219" t="s">
        <v>251</v>
      </c>
      <c r="I95" s="220"/>
      <c r="J95" s="220"/>
      <c r="K95" s="220"/>
      <c r="L95" s="220"/>
      <c r="M95" s="220"/>
      <c r="N95" s="220"/>
      <c r="O95" s="220"/>
      <c r="P95" s="220"/>
      <c r="Q95" s="220"/>
      <c r="R95" s="221"/>
    </row>
    <row r="96" spans="6:24" x14ac:dyDescent="0.3">
      <c r="H96" s="222"/>
      <c r="I96" s="4" t="str">
        <f t="shared" ref="I96:J111" si="11">I35</f>
        <v>Time</v>
      </c>
      <c r="J96" s="4"/>
      <c r="K96" s="4" t="s">
        <v>161</v>
      </c>
      <c r="L96" s="4" t="s">
        <v>2</v>
      </c>
      <c r="M96" s="135" t="s">
        <v>161</v>
      </c>
      <c r="N96" s="4" t="s">
        <v>11</v>
      </c>
      <c r="O96" s="4" t="s">
        <v>12</v>
      </c>
      <c r="P96" s="4" t="s">
        <v>13</v>
      </c>
      <c r="Q96" s="4" t="s">
        <v>14</v>
      </c>
      <c r="R96" s="223"/>
    </row>
    <row r="97" spans="8:18" x14ac:dyDescent="0.3">
      <c r="H97" s="222"/>
      <c r="I97" s="4" t="str">
        <f t="shared" si="11"/>
        <v>t1</v>
      </c>
      <c r="J97" s="76">
        <f>J36</f>
        <v>2.5193008691422163</v>
      </c>
      <c r="K97" s="4" t="s">
        <v>61</v>
      </c>
      <c r="L97" s="76">
        <f>MIN(N36:N43)</f>
        <v>14.231567138658022</v>
      </c>
      <c r="M97" s="135" t="s">
        <v>11</v>
      </c>
      <c r="N97" s="4">
        <v>15</v>
      </c>
      <c r="O97" s="4">
        <v>99999</v>
      </c>
      <c r="P97" s="76">
        <f>L97</f>
        <v>14.231567138658022</v>
      </c>
      <c r="Q97" s="76">
        <f>L98</f>
        <v>14.304657213470879</v>
      </c>
      <c r="R97" s="223"/>
    </row>
    <row r="98" spans="8:18" x14ac:dyDescent="0.3">
      <c r="H98" s="222"/>
      <c r="I98" s="4" t="str">
        <f t="shared" si="11"/>
        <v>t2</v>
      </c>
      <c r="J98" s="76">
        <f t="shared" si="11"/>
        <v>2.5004957370745289</v>
      </c>
      <c r="K98" s="4" t="s">
        <v>66</v>
      </c>
      <c r="L98" s="76">
        <f>MIN(N44:N49)</f>
        <v>14.304657213470879</v>
      </c>
      <c r="M98" s="135" t="s">
        <v>12</v>
      </c>
      <c r="N98" s="4">
        <v>99999</v>
      </c>
      <c r="O98" s="4">
        <v>15</v>
      </c>
      <c r="P98" s="76">
        <f>L99</f>
        <v>14.158332945115768</v>
      </c>
      <c r="Q98" s="76">
        <f>L100</f>
        <v>13.876149425429709</v>
      </c>
      <c r="R98" s="223"/>
    </row>
    <row r="99" spans="8:18" x14ac:dyDescent="0.3">
      <c r="H99" s="222"/>
      <c r="I99" s="4" t="str">
        <f t="shared" si="11"/>
        <v>t3</v>
      </c>
      <c r="J99" s="76">
        <f t="shared" si="11"/>
        <v>2.53567217075532</v>
      </c>
      <c r="K99" s="4" t="s">
        <v>71</v>
      </c>
      <c r="L99" s="76">
        <f>MIN(N50:N54)</f>
        <v>14.158332945115768</v>
      </c>
      <c r="M99" s="135" t="s">
        <v>13</v>
      </c>
      <c r="N99" s="76">
        <f>L101</f>
        <v>15.016523598915736</v>
      </c>
      <c r="O99" s="76">
        <f>L102</f>
        <v>14.158332945115768</v>
      </c>
      <c r="P99" s="4">
        <v>15</v>
      </c>
      <c r="Q99" s="4">
        <v>99999</v>
      </c>
      <c r="R99" s="223"/>
    </row>
    <row r="100" spans="8:18" x14ac:dyDescent="0.3">
      <c r="H100" s="222"/>
      <c r="I100" s="4" t="str">
        <f t="shared" si="11"/>
        <v>t4</v>
      </c>
      <c r="J100" s="76">
        <f t="shared" si="11"/>
        <v>3.9259696858014492</v>
      </c>
      <c r="K100" s="4" t="s">
        <v>76</v>
      </c>
      <c r="L100" s="76">
        <f>MIN(N55:N60)</f>
        <v>13.876149425429709</v>
      </c>
      <c r="M100" s="135" t="s">
        <v>14</v>
      </c>
      <c r="N100" s="76">
        <f>L104</f>
        <v>14.734340079229678</v>
      </c>
      <c r="O100" s="76">
        <f>L105</f>
        <v>13.876149425429711</v>
      </c>
      <c r="P100" s="4">
        <v>99999</v>
      </c>
      <c r="Q100" s="4">
        <v>15</v>
      </c>
      <c r="R100" s="223"/>
    </row>
    <row r="101" spans="8:18" x14ac:dyDescent="0.3">
      <c r="H101" s="222"/>
      <c r="I101" s="4" t="str">
        <f t="shared" si="11"/>
        <v>t5</v>
      </c>
      <c r="J101" s="76">
        <f t="shared" si="11"/>
        <v>2.6373646359384466</v>
      </c>
      <c r="K101" s="4" t="s">
        <v>252</v>
      </c>
      <c r="L101" s="76">
        <f>J104+J103+J102+J107+J106</f>
        <v>15.016523598915736</v>
      </c>
      <c r="R101" s="223"/>
    </row>
    <row r="102" spans="8:18" x14ac:dyDescent="0.3">
      <c r="H102" s="222"/>
      <c r="I102" s="4" t="str">
        <f t="shared" si="11"/>
        <v>t6</v>
      </c>
      <c r="J102" s="76">
        <f t="shared" si="11"/>
        <v>4.2155375483709623</v>
      </c>
      <c r="K102" s="4" t="s">
        <v>253</v>
      </c>
      <c r="L102" s="76">
        <f>J104+J103+J102+J113</f>
        <v>14.158332945115768</v>
      </c>
      <c r="R102" s="223"/>
    </row>
    <row r="103" spans="8:18" x14ac:dyDescent="0.3">
      <c r="H103" s="222"/>
      <c r="I103" s="4" t="str">
        <f t="shared" si="11"/>
        <v>t7</v>
      </c>
      <c r="J103" s="76">
        <f t="shared" si="11"/>
        <v>2.6818011766546883</v>
      </c>
      <c r="K103" s="4" t="s">
        <v>254</v>
      </c>
      <c r="L103" s="76">
        <v>99999</v>
      </c>
      <c r="R103" s="223"/>
    </row>
    <row r="104" spans="8:18" x14ac:dyDescent="0.3">
      <c r="H104" s="222"/>
      <c r="I104" s="4" t="str">
        <f t="shared" si="11"/>
        <v>t8</v>
      </c>
      <c r="J104" s="76">
        <f t="shared" si="11"/>
        <v>3.0454566717191565</v>
      </c>
      <c r="K104" s="4" t="s">
        <v>255</v>
      </c>
      <c r="L104" s="76">
        <f>J111+J103+J102+J107+J106</f>
        <v>14.734340079229678</v>
      </c>
      <c r="R104" s="223"/>
    </row>
    <row r="105" spans="8:18" x14ac:dyDescent="0.3">
      <c r="H105" s="222"/>
      <c r="I105" s="4" t="str">
        <f t="shared" si="11"/>
        <v>t9</v>
      </c>
      <c r="J105" s="76">
        <f t="shared" si="11"/>
        <v>2.5</v>
      </c>
      <c r="K105" s="4" t="s">
        <v>256</v>
      </c>
      <c r="L105" s="76">
        <f>J111+J103+J102+J113</f>
        <v>13.876149425429711</v>
      </c>
      <c r="N105" s="1" t="s">
        <v>257</v>
      </c>
      <c r="O105" s="1"/>
      <c r="R105" s="223"/>
    </row>
    <row r="106" spans="8:18" x14ac:dyDescent="0.3">
      <c r="H106" s="222"/>
      <c r="I106" s="4" t="str">
        <f t="shared" si="11"/>
        <v>t10</v>
      </c>
      <c r="J106" s="76">
        <f t="shared" si="11"/>
        <v>2.5737282021709302</v>
      </c>
      <c r="K106" s="4" t="s">
        <v>258</v>
      </c>
      <c r="L106" s="76">
        <v>99999</v>
      </c>
      <c r="R106" s="223"/>
    </row>
    <row r="107" spans="8:18" x14ac:dyDescent="0.3">
      <c r="H107" s="222"/>
      <c r="I107" s="4" t="str">
        <f t="shared" si="11"/>
        <v>t11</v>
      </c>
      <c r="J107" s="76">
        <f t="shared" si="11"/>
        <v>2.5</v>
      </c>
      <c r="R107" s="223"/>
    </row>
    <row r="108" spans="8:18" x14ac:dyDescent="0.3">
      <c r="H108" s="222"/>
      <c r="I108" s="4" t="str">
        <f t="shared" si="11"/>
        <v>t12</v>
      </c>
      <c r="J108" s="76">
        <f t="shared" si="11"/>
        <v>2.5900997634309642</v>
      </c>
      <c r="R108" s="223"/>
    </row>
    <row r="109" spans="8:18" x14ac:dyDescent="0.3">
      <c r="H109" s="222"/>
      <c r="I109" s="4" t="str">
        <f t="shared" si="11"/>
        <v>t13</v>
      </c>
      <c r="J109" s="76">
        <f t="shared" si="11"/>
        <v>3.7501825118568446</v>
      </c>
      <c r="R109" s="223"/>
    </row>
    <row r="110" spans="8:18" x14ac:dyDescent="0.3">
      <c r="H110" s="222"/>
      <c r="I110" s="4" t="str">
        <f t="shared" si="11"/>
        <v>t14</v>
      </c>
      <c r="J110" s="76">
        <f t="shared" si="11"/>
        <v>2.5060144913504128</v>
      </c>
      <c r="R110" s="223"/>
    </row>
    <row r="111" spans="8:18" x14ac:dyDescent="0.3">
      <c r="H111" s="222"/>
      <c r="I111" s="4" t="str">
        <f t="shared" si="11"/>
        <v>t15</v>
      </c>
      <c r="J111" s="76">
        <f t="shared" si="11"/>
        <v>2.763273152033098</v>
      </c>
      <c r="R111" s="223"/>
    </row>
    <row r="112" spans="8:18" x14ac:dyDescent="0.3">
      <c r="H112" s="222"/>
      <c r="I112" s="4" t="str">
        <f t="shared" ref="I112:J115" si="12">I51</f>
        <v>t16</v>
      </c>
      <c r="J112" s="76">
        <f t="shared" si="12"/>
        <v>2.5588324439918759</v>
      </c>
      <c r="R112" s="223"/>
    </row>
    <row r="113" spans="8:18" x14ac:dyDescent="0.3">
      <c r="H113" s="222"/>
      <c r="I113" s="4" t="str">
        <f t="shared" si="12"/>
        <v>t17</v>
      </c>
      <c r="J113" s="76">
        <f t="shared" si="12"/>
        <v>4.2155375483709623</v>
      </c>
      <c r="R113" s="223"/>
    </row>
    <row r="114" spans="8:18" x14ac:dyDescent="0.3">
      <c r="H114" s="222"/>
      <c r="I114" s="4" t="str">
        <f t="shared" si="12"/>
        <v>t18</v>
      </c>
      <c r="J114" s="76">
        <f t="shared" si="12"/>
        <v>7.5</v>
      </c>
      <c r="R114" s="223"/>
    </row>
    <row r="115" spans="8:18" ht="15" thickBot="1" x14ac:dyDescent="0.35">
      <c r="H115" s="224"/>
      <c r="I115" s="225" t="str">
        <f t="shared" si="12"/>
        <v>t19</v>
      </c>
      <c r="J115" s="228">
        <f t="shared" si="12"/>
        <v>10</v>
      </c>
      <c r="K115" s="226"/>
      <c r="L115" s="226"/>
      <c r="M115" s="226"/>
      <c r="N115" s="226"/>
      <c r="O115" s="226"/>
      <c r="P115" s="226"/>
      <c r="Q115" s="226"/>
      <c r="R115" s="227"/>
    </row>
  </sheetData>
  <mergeCells count="5">
    <mergeCell ref="F35:F54"/>
    <mergeCell ref="G35:H35"/>
    <mergeCell ref="I35:J35"/>
    <mergeCell ref="L35:M35"/>
    <mergeCell ref="K61:M61"/>
  </mergeCells>
  <conditionalFormatting sqref="V36:AN60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Trip Rate</vt:lpstr>
      <vt:lpstr>Trip Length Frequency</vt:lpstr>
      <vt:lpstr>Gravity</vt:lpstr>
      <vt:lpstr>Mode Choice Q</vt:lpstr>
      <vt:lpstr>(Intrigrate UE)Network Auto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2024-01-04T14:43:58Z</dcterms:created>
  <dcterms:modified xsi:type="dcterms:W3CDTF">2024-01-07T17:43:30Z</dcterms:modified>
</cp:coreProperties>
</file>