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1.xml" ContentType="application/vnd.openxmlformats-officedocument.themeOverrid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home\webmaster\polytech\3_Algorithms\entering_test\"/>
    </mc:Choice>
  </mc:AlternateContent>
  <xr:revisionPtr revIDLastSave="0" documentId="13_ncr:1_{B4410D03-2D09-4A02-81CA-17B65C73905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Book Survey" sheetId="1" r:id="rId1"/>
    <sheet name="Purchases" sheetId="2" r:id="rId2"/>
    <sheet name="TBR Pile" sheetId="8" r:id="rId3"/>
    <sheet name="Data" sheetId="3" r:id="rId4"/>
    <sheet name="Charts" sheetId="4" r:id="rId5"/>
    <sheet name="Read Harder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45" i="3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I5" i="8"/>
  <c r="J5" i="8" s="1"/>
  <c r="I6" i="8"/>
  <c r="J6" i="8" s="1"/>
  <c r="I7" i="8"/>
  <c r="J7" i="8" s="1"/>
  <c r="I8" i="8"/>
  <c r="J8" i="8" s="1"/>
  <c r="I9" i="8"/>
  <c r="J9" i="8" s="1"/>
  <c r="I10" i="8"/>
  <c r="J10" i="8" s="1"/>
  <c r="I11" i="8"/>
  <c r="J11" i="8" s="1"/>
  <c r="I12" i="8"/>
  <c r="J12" i="8" s="1"/>
  <c r="I13" i="8"/>
  <c r="J13" i="8" s="1"/>
  <c r="I14" i="8"/>
  <c r="J14" i="8" s="1"/>
  <c r="I15" i="8"/>
  <c r="J15" i="8" s="1"/>
  <c r="I16" i="8"/>
  <c r="J16" i="8" s="1"/>
  <c r="I17" i="8"/>
  <c r="J17" i="8" s="1"/>
  <c r="I4" i="8"/>
  <c r="J4" i="8" s="1"/>
  <c r="B139" i="3"/>
  <c r="B151" i="3"/>
  <c r="B152" i="3"/>
  <c r="B153" i="3"/>
  <c r="B154" i="3"/>
  <c r="B155" i="3"/>
  <c r="B156" i="3"/>
  <c r="F151" i="3"/>
  <c r="F150" i="3"/>
  <c r="F149" i="3"/>
  <c r="F148" i="3"/>
  <c r="F147" i="3"/>
  <c r="F146" i="3"/>
  <c r="F145" i="3"/>
  <c r="F144" i="3"/>
  <c r="F143" i="3"/>
  <c r="F142" i="3"/>
  <c r="F141" i="3"/>
  <c r="F137" i="3"/>
  <c r="F136" i="3"/>
  <c r="F135" i="3"/>
  <c r="F134" i="3"/>
  <c r="F156" i="3"/>
  <c r="F157" i="3"/>
  <c r="F155" i="3"/>
  <c r="F122" i="3"/>
  <c r="F123" i="3"/>
  <c r="F121" i="3"/>
  <c r="B135" i="3"/>
  <c r="B136" i="3"/>
  <c r="B137" i="3"/>
  <c r="B138" i="3"/>
  <c r="B140" i="3"/>
  <c r="B141" i="3"/>
  <c r="B142" i="3"/>
  <c r="B143" i="3"/>
  <c r="B144" i="3"/>
  <c r="B145" i="3"/>
  <c r="B146" i="3"/>
  <c r="B147" i="3"/>
  <c r="B148" i="3"/>
  <c r="B149" i="3"/>
  <c r="B150" i="3"/>
  <c r="B134" i="3"/>
  <c r="B64" i="3"/>
  <c r="B63" i="3"/>
  <c r="B62" i="3"/>
  <c r="B84" i="3"/>
  <c r="B83" i="3"/>
  <c r="F85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6" i="3"/>
  <c r="F87" i="3"/>
  <c r="F88" i="3"/>
  <c r="F89" i="3"/>
  <c r="F90" i="3"/>
  <c r="F91" i="3"/>
  <c r="F92" i="3"/>
  <c r="F93" i="3"/>
  <c r="F62" i="3"/>
  <c r="J55" i="3"/>
  <c r="B78" i="3"/>
  <c r="B79" i="3"/>
  <c r="B74" i="3"/>
  <c r="B73" i="3"/>
  <c r="B72" i="3"/>
  <c r="B71" i="3"/>
  <c r="B70" i="3"/>
  <c r="B69" i="3"/>
  <c r="B68" i="3"/>
  <c r="J36" i="3"/>
  <c r="J35" i="3"/>
  <c r="J34" i="3"/>
  <c r="J33" i="3"/>
  <c r="F55" i="3"/>
  <c r="F6" i="3" s="1"/>
  <c r="F54" i="3"/>
  <c r="F53" i="3"/>
  <c r="F52" i="3"/>
  <c r="F51" i="3"/>
  <c r="F50" i="3"/>
  <c r="F45" i="3"/>
  <c r="F44" i="3"/>
  <c r="F46" i="3"/>
  <c r="F43" i="3"/>
  <c r="F42" i="3"/>
  <c r="F41" i="3"/>
  <c r="F40" i="3"/>
  <c r="F39" i="3"/>
  <c r="F38" i="3"/>
  <c r="F37" i="3"/>
  <c r="F36" i="3"/>
  <c r="F35" i="3"/>
  <c r="F34" i="3"/>
  <c r="F33" i="3"/>
  <c r="B33" i="3"/>
  <c r="F26" i="3"/>
  <c r="I26" i="3" s="1"/>
  <c r="F25" i="3"/>
  <c r="I25" i="3" s="1"/>
  <c r="F24" i="3"/>
  <c r="I24" i="3" s="1"/>
  <c r="F23" i="3"/>
  <c r="I23" i="3" s="1"/>
  <c r="F22" i="3"/>
  <c r="I22" i="3" s="1"/>
  <c r="F21" i="3"/>
  <c r="I21" i="3" s="1"/>
  <c r="F20" i="3"/>
  <c r="F19" i="3"/>
  <c r="I19" i="3" s="1"/>
  <c r="F18" i="3"/>
  <c r="I18" i="3" s="1"/>
  <c r="F17" i="3"/>
  <c r="I17" i="3" s="1"/>
  <c r="F16" i="3"/>
  <c r="I16" i="3" s="1"/>
  <c r="F15" i="3"/>
  <c r="I15" i="3" s="1"/>
  <c r="H112" i="3"/>
  <c r="F112" i="3"/>
  <c r="H111" i="3"/>
  <c r="F111" i="3"/>
  <c r="H110" i="3"/>
  <c r="F110" i="3"/>
  <c r="H109" i="3"/>
  <c r="F109" i="3"/>
  <c r="H108" i="3"/>
  <c r="F108" i="3"/>
  <c r="H107" i="3"/>
  <c r="F107" i="3"/>
  <c r="H106" i="3"/>
  <c r="F106" i="3"/>
  <c r="H105" i="3"/>
  <c r="F105" i="3"/>
  <c r="H104" i="3"/>
  <c r="F104" i="3"/>
  <c r="H103" i="3"/>
  <c r="F103" i="3"/>
  <c r="H102" i="3"/>
  <c r="F102" i="3"/>
  <c r="H101" i="3"/>
  <c r="F101" i="3"/>
  <c r="B127" i="3"/>
  <c r="B126" i="3"/>
  <c r="B125" i="3"/>
  <c r="B124" i="3"/>
  <c r="B123" i="3"/>
  <c r="B122" i="3"/>
  <c r="B121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54" i="3"/>
  <c r="B53" i="3"/>
  <c r="B52" i="3"/>
  <c r="B51" i="3"/>
  <c r="B50" i="3"/>
  <c r="B49" i="3"/>
  <c r="B48" i="3"/>
  <c r="B47" i="3"/>
  <c r="B46" i="3"/>
  <c r="B45" i="3"/>
  <c r="B44" i="3"/>
  <c r="J56" i="3"/>
  <c r="B43" i="3"/>
  <c r="B42" i="3"/>
  <c r="J54" i="3"/>
  <c r="B41" i="3"/>
  <c r="J53" i="3"/>
  <c r="B40" i="3"/>
  <c r="J52" i="3"/>
  <c r="B39" i="3"/>
  <c r="J51" i="3"/>
  <c r="B38" i="3"/>
  <c r="J50" i="3"/>
  <c r="B37" i="3"/>
  <c r="J49" i="3"/>
  <c r="B36" i="3"/>
  <c r="J48" i="3"/>
  <c r="J42" i="3"/>
  <c r="B35" i="3"/>
  <c r="J47" i="3"/>
  <c r="J41" i="3"/>
  <c r="B34" i="3"/>
  <c r="J46" i="3"/>
  <c r="J40" i="3"/>
  <c r="B26" i="3"/>
  <c r="J26" i="3" s="1"/>
  <c r="B25" i="3"/>
  <c r="J25" i="3" s="1"/>
  <c r="B24" i="3"/>
  <c r="J24" i="3" s="1"/>
  <c r="B23" i="3"/>
  <c r="J23" i="3" s="1"/>
  <c r="B22" i="3"/>
  <c r="B21" i="3"/>
  <c r="J21" i="3" s="1"/>
  <c r="B20" i="3"/>
  <c r="B19" i="3"/>
  <c r="J19" i="3" s="1"/>
  <c r="B18" i="3"/>
  <c r="J18" i="3" s="1"/>
  <c r="B17" i="3"/>
  <c r="J17" i="3" s="1"/>
  <c r="B16" i="3"/>
  <c r="B15" i="3"/>
  <c r="J15" i="3" s="1"/>
  <c r="J3" i="3"/>
  <c r="J4" i="3" s="1"/>
  <c r="I20" i="3"/>
  <c r="B4" i="3"/>
  <c r="F138" i="3" l="1"/>
  <c r="F152" i="3"/>
  <c r="B80" i="3"/>
  <c r="F124" i="3"/>
  <c r="G123" i="3" s="1"/>
  <c r="B85" i="3"/>
  <c r="B65" i="3"/>
  <c r="F158" i="3"/>
  <c r="F116" i="3"/>
  <c r="B117" i="3"/>
  <c r="C102" i="3" s="1"/>
  <c r="H113" i="3"/>
  <c r="F8" i="3" s="1"/>
  <c r="B128" i="3"/>
  <c r="F113" i="3"/>
  <c r="F9" i="3" s="1"/>
  <c r="F47" i="3"/>
  <c r="F56" i="3"/>
  <c r="B75" i="3"/>
  <c r="F94" i="3"/>
  <c r="F27" i="3"/>
  <c r="J37" i="3"/>
  <c r="B27" i="3"/>
  <c r="F28" i="3"/>
  <c r="B55" i="3"/>
  <c r="B9" i="3"/>
  <c r="G21" i="3" s="1"/>
  <c r="J20" i="3"/>
  <c r="B28" i="3"/>
  <c r="B8" i="3" s="1"/>
  <c r="K47" i="3" s="1"/>
  <c r="J141" i="3"/>
  <c r="J140" i="3"/>
  <c r="K140" i="3" s="1"/>
  <c r="J134" i="3"/>
  <c r="J144" i="3"/>
  <c r="J138" i="3"/>
  <c r="I7" i="3"/>
  <c r="J142" i="3"/>
  <c r="I9" i="3"/>
  <c r="J135" i="3"/>
  <c r="I8" i="3"/>
  <c r="J139" i="3"/>
  <c r="K139" i="3" s="1"/>
  <c r="J145" i="3"/>
  <c r="J143" i="3"/>
  <c r="J137" i="3"/>
  <c r="J136" i="3"/>
  <c r="K136" i="3" s="1"/>
  <c r="C80" i="3"/>
  <c r="K46" i="3"/>
  <c r="C20" i="3"/>
  <c r="J22" i="3"/>
  <c r="C22" i="3"/>
  <c r="J43" i="3"/>
  <c r="K41" i="3"/>
  <c r="C16" i="3"/>
  <c r="C24" i="3"/>
  <c r="J57" i="3"/>
  <c r="K57" i="3" s="1"/>
  <c r="C18" i="3"/>
  <c r="C26" i="3"/>
  <c r="K52" i="3"/>
  <c r="C44" i="3"/>
  <c r="C75" i="3"/>
  <c r="G47" i="3"/>
  <c r="C19" i="3"/>
  <c r="G18" i="3"/>
  <c r="G20" i="3"/>
  <c r="G23" i="3"/>
  <c r="G17" i="3"/>
  <c r="F115" i="3"/>
  <c r="B157" i="3"/>
  <c r="C152" i="3" s="1"/>
  <c r="J16" i="3"/>
  <c r="G16" i="3"/>
  <c r="C35" i="3"/>
  <c r="G121" i="3" l="1"/>
  <c r="G122" i="3"/>
  <c r="G124" i="3" s="1"/>
  <c r="F10" i="3"/>
  <c r="F117" i="3"/>
  <c r="G106" i="3"/>
  <c r="K142" i="3"/>
  <c r="K137" i="3"/>
  <c r="K143" i="3"/>
  <c r="C105" i="3"/>
  <c r="C113" i="3"/>
  <c r="C108" i="3"/>
  <c r="C104" i="3"/>
  <c r="C106" i="3"/>
  <c r="C112" i="3"/>
  <c r="C114" i="3"/>
  <c r="C109" i="3"/>
  <c r="C111" i="3"/>
  <c r="C101" i="3"/>
  <c r="C110" i="3"/>
  <c r="C115" i="3"/>
  <c r="C107" i="3"/>
  <c r="C116" i="3"/>
  <c r="C103" i="3"/>
  <c r="G108" i="3"/>
  <c r="G105" i="3"/>
  <c r="G101" i="3"/>
  <c r="G104" i="3"/>
  <c r="G111" i="3"/>
  <c r="G110" i="3"/>
  <c r="G107" i="3"/>
  <c r="G109" i="3"/>
  <c r="G103" i="3"/>
  <c r="G102" i="3"/>
  <c r="G112" i="3"/>
  <c r="C46" i="3"/>
  <c r="G19" i="3"/>
  <c r="G24" i="3"/>
  <c r="G25" i="3"/>
  <c r="G22" i="3"/>
  <c r="G15" i="3"/>
  <c r="G26" i="3"/>
  <c r="C143" i="3"/>
  <c r="C135" i="3"/>
  <c r="C155" i="3"/>
  <c r="G156" i="3"/>
  <c r="K145" i="3"/>
  <c r="K144" i="3"/>
  <c r="C149" i="3"/>
  <c r="G141" i="3"/>
  <c r="G147" i="3"/>
  <c r="C154" i="3"/>
  <c r="C156" i="3"/>
  <c r="G136" i="3"/>
  <c r="G146" i="3"/>
  <c r="G144" i="3"/>
  <c r="C134" i="3"/>
  <c r="C144" i="3"/>
  <c r="G145" i="3"/>
  <c r="C137" i="3"/>
  <c r="K134" i="3"/>
  <c r="J146" i="3"/>
  <c r="K146" i="3" s="1"/>
  <c r="K34" i="3"/>
  <c r="G70" i="3"/>
  <c r="G76" i="3"/>
  <c r="C78" i="3"/>
  <c r="C37" i="3"/>
  <c r="G63" i="3"/>
  <c r="C71" i="3"/>
  <c r="C85" i="3"/>
  <c r="G36" i="3"/>
  <c r="G81" i="3"/>
  <c r="C70" i="3"/>
  <c r="G62" i="3"/>
  <c r="C36" i="3"/>
  <c r="C39" i="3"/>
  <c r="C33" i="3"/>
  <c r="K35" i="3"/>
  <c r="G45" i="3"/>
  <c r="C84" i="3"/>
  <c r="G38" i="3"/>
  <c r="C45" i="3"/>
  <c r="G93" i="3"/>
  <c r="G77" i="3"/>
  <c r="C83" i="3"/>
  <c r="C51" i="3"/>
  <c r="K55" i="3"/>
  <c r="K36" i="3"/>
  <c r="C64" i="3"/>
  <c r="G86" i="3"/>
  <c r="G84" i="3"/>
  <c r="G68" i="3"/>
  <c r="G91" i="3"/>
  <c r="G75" i="3"/>
  <c r="C68" i="3"/>
  <c r="C49" i="3"/>
  <c r="C42" i="3"/>
  <c r="C40" i="3"/>
  <c r="K51" i="3"/>
  <c r="K48" i="3"/>
  <c r="C50" i="3"/>
  <c r="C62" i="3"/>
  <c r="C43" i="3"/>
  <c r="C74" i="3"/>
  <c r="G39" i="3"/>
  <c r="G65" i="3"/>
  <c r="G52" i="3"/>
  <c r="G87" i="3"/>
  <c r="G73" i="3"/>
  <c r="G64" i="3"/>
  <c r="G44" i="3"/>
  <c r="C25" i="3"/>
  <c r="C41" i="3"/>
  <c r="C52" i="3"/>
  <c r="G78" i="3"/>
  <c r="C73" i="3"/>
  <c r="C72" i="3"/>
  <c r="G43" i="3"/>
  <c r="G89" i="3"/>
  <c r="G74" i="3"/>
  <c r="G66" i="3"/>
  <c r="C47" i="3"/>
  <c r="G50" i="3"/>
  <c r="G92" i="3"/>
  <c r="G90" i="3"/>
  <c r="C17" i="3"/>
  <c r="G79" i="3"/>
  <c r="J27" i="3"/>
  <c r="C21" i="3"/>
  <c r="B10" i="3"/>
  <c r="G35" i="3"/>
  <c r="C69" i="3"/>
  <c r="C38" i="3"/>
  <c r="G72" i="3"/>
  <c r="K40" i="3"/>
  <c r="G40" i="3"/>
  <c r="G88" i="3"/>
  <c r="G34" i="3"/>
  <c r="C48" i="3"/>
  <c r="G71" i="3"/>
  <c r="K53" i="3"/>
  <c r="B6" i="3"/>
  <c r="K56" i="3"/>
  <c r="G82" i="3"/>
  <c r="G69" i="3"/>
  <c r="G53" i="3"/>
  <c r="G33" i="3"/>
  <c r="C63" i="3"/>
  <c r="C23" i="3"/>
  <c r="G46" i="3"/>
  <c r="G94" i="3"/>
  <c r="G42" i="3"/>
  <c r="G51" i="3"/>
  <c r="G83" i="3"/>
  <c r="G54" i="3"/>
  <c r="C34" i="3"/>
  <c r="K33" i="3"/>
  <c r="F3" i="3"/>
  <c r="G67" i="3"/>
  <c r="C54" i="3"/>
  <c r="C79" i="3"/>
  <c r="K42" i="3"/>
  <c r="G37" i="3"/>
  <c r="G41" i="3"/>
  <c r="G80" i="3"/>
  <c r="G85" i="3"/>
  <c r="C53" i="3"/>
  <c r="C15" i="3"/>
  <c r="G155" i="3"/>
  <c r="G157" i="3"/>
  <c r="G134" i="3"/>
  <c r="G135" i="3"/>
  <c r="G137" i="3"/>
  <c r="C153" i="3"/>
  <c r="K141" i="3"/>
  <c r="C139" i="3"/>
  <c r="K54" i="3"/>
  <c r="G148" i="3"/>
  <c r="C136" i="3"/>
  <c r="C146" i="3"/>
  <c r="C145" i="3"/>
  <c r="K135" i="3"/>
  <c r="G151" i="3"/>
  <c r="G150" i="3"/>
  <c r="C151" i="3"/>
  <c r="C142" i="3"/>
  <c r="G143" i="3"/>
  <c r="G142" i="3"/>
  <c r="G149" i="3"/>
  <c r="C150" i="3"/>
  <c r="C138" i="3"/>
  <c r="C140" i="3"/>
  <c r="G152" i="3"/>
  <c r="K49" i="3"/>
  <c r="K138" i="3"/>
  <c r="C147" i="3"/>
  <c r="C148" i="3"/>
  <c r="C141" i="3"/>
  <c r="K50" i="3"/>
  <c r="C117" i="3" l="1"/>
  <c r="G113" i="3"/>
  <c r="K43" i="3"/>
  <c r="G28" i="3"/>
  <c r="K37" i="3"/>
  <c r="C55" i="3"/>
  <c r="G158" i="3"/>
  <c r="C157" i="3"/>
  <c r="C28" i="3"/>
  <c r="C65" i="3"/>
  <c r="G138" i="3"/>
  <c r="G56" i="3"/>
</calcChain>
</file>

<file path=xl/sharedStrings.xml><?xml version="1.0" encoding="utf-8"?>
<sst xmlns="http://schemas.openxmlformats.org/spreadsheetml/2006/main" count="681" uniqueCount="341">
  <si>
    <t>about the book</t>
  </si>
  <si>
    <t>About The Author</t>
  </si>
  <si>
    <t>Title</t>
  </si>
  <si>
    <t>Author</t>
  </si>
  <si>
    <t>Genre</t>
  </si>
  <si>
    <t>Pages</t>
  </si>
  <si>
    <t>Age Group</t>
  </si>
  <si>
    <t>Format</t>
  </si>
  <si>
    <t>Star Rating</t>
  </si>
  <si>
    <t>Date Started</t>
  </si>
  <si>
    <t>Date Finished</t>
  </si>
  <si>
    <t>Publish Date</t>
  </si>
  <si>
    <t>Gender</t>
  </si>
  <si>
    <t>Country</t>
  </si>
  <si>
    <t>Continent</t>
  </si>
  <si>
    <t>Race</t>
  </si>
  <si>
    <t>In Translation?</t>
  </si>
  <si>
    <t>Classic</t>
  </si>
  <si>
    <t>Adult</t>
  </si>
  <si>
    <t>Hardback</t>
  </si>
  <si>
    <t>Male</t>
  </si>
  <si>
    <t>Argentina</t>
  </si>
  <si>
    <t>Africa</t>
  </si>
  <si>
    <t>White</t>
  </si>
  <si>
    <t>Yes</t>
  </si>
  <si>
    <t>Essays</t>
  </si>
  <si>
    <t>YA</t>
  </si>
  <si>
    <t>Paperback</t>
  </si>
  <si>
    <t>Female</t>
  </si>
  <si>
    <t>Australia</t>
  </si>
  <si>
    <t>Asia</t>
  </si>
  <si>
    <t>Fiction</t>
  </si>
  <si>
    <t>Children's</t>
  </si>
  <si>
    <t>Ebook</t>
  </si>
  <si>
    <t>Belgium</t>
  </si>
  <si>
    <t>Europe</t>
  </si>
  <si>
    <t>POC</t>
  </si>
  <si>
    <t>NO</t>
  </si>
  <si>
    <t>Graphic Novel</t>
  </si>
  <si>
    <t>Audiobook</t>
  </si>
  <si>
    <t>Canada</t>
  </si>
  <si>
    <t>North America</t>
  </si>
  <si>
    <t>No</t>
  </si>
  <si>
    <t>Guidebook</t>
  </si>
  <si>
    <t>China</t>
  </si>
  <si>
    <t>Oceania</t>
  </si>
  <si>
    <t>Historical Fiction</t>
  </si>
  <si>
    <t>Congo</t>
  </si>
  <si>
    <t>South America</t>
  </si>
  <si>
    <t>Letters</t>
  </si>
  <si>
    <t>Denmark</t>
  </si>
  <si>
    <t>Antarctica</t>
  </si>
  <si>
    <t>Literary Fiction</t>
  </si>
  <si>
    <t>Equatorial Guinea</t>
  </si>
  <si>
    <t>Magazine</t>
  </si>
  <si>
    <t>Finland</t>
  </si>
  <si>
    <t>Memoir</t>
  </si>
  <si>
    <t>France</t>
  </si>
  <si>
    <t>Non-Fiction</t>
  </si>
  <si>
    <t>Germany</t>
  </si>
  <si>
    <t>Philosophy</t>
  </si>
  <si>
    <t>Iceland</t>
  </si>
  <si>
    <t>Photography</t>
  </si>
  <si>
    <t>Israel</t>
  </si>
  <si>
    <t>Picture Book</t>
  </si>
  <si>
    <t>Japan</t>
  </si>
  <si>
    <t>May</t>
  </si>
  <si>
    <t>Play</t>
  </si>
  <si>
    <t>Mexico</t>
  </si>
  <si>
    <t>Poetry</t>
  </si>
  <si>
    <t>Netherlands</t>
  </si>
  <si>
    <t>Political Non-Fiction</t>
  </si>
  <si>
    <t>Non-binary</t>
  </si>
  <si>
    <t>Norway</t>
  </si>
  <si>
    <t>Science Fiction</t>
  </si>
  <si>
    <t>Pakistan</t>
  </si>
  <si>
    <t>Science Non-fiction</t>
  </si>
  <si>
    <t>Palestine</t>
  </si>
  <si>
    <t>Screenplay</t>
  </si>
  <si>
    <t>Philippines</t>
  </si>
  <si>
    <t>Short Stories</t>
  </si>
  <si>
    <t>Poland</t>
  </si>
  <si>
    <t>Travel Memoir</t>
  </si>
  <si>
    <t>Portugal</t>
  </si>
  <si>
    <t>Romania</t>
  </si>
  <si>
    <t>Date Purchased</t>
  </si>
  <si>
    <t>Age</t>
  </si>
  <si>
    <t>Source</t>
  </si>
  <si>
    <t>Cost</t>
  </si>
  <si>
    <t>Chain Bookshop</t>
  </si>
  <si>
    <t>Essay</t>
  </si>
  <si>
    <t>Charity Shop</t>
  </si>
  <si>
    <t>Review</t>
  </si>
  <si>
    <t>Gift</t>
  </si>
  <si>
    <t>Independent Bookshop</t>
  </si>
  <si>
    <t>Library</t>
  </si>
  <si>
    <t>Horror</t>
  </si>
  <si>
    <t>Online Retailer</t>
  </si>
  <si>
    <t>FORMAT</t>
  </si>
  <si>
    <t>Time since Purchase</t>
  </si>
  <si>
    <t>Date Read</t>
  </si>
  <si>
    <t>TIME SPENT ON TBR (Years)</t>
  </si>
  <si>
    <t>Reading Challenge Goal</t>
  </si>
  <si>
    <t>INSERT HERE!</t>
  </si>
  <si>
    <t xml:space="preserve">Estimated total books </t>
  </si>
  <si>
    <t>Read Harder Challenges Met</t>
  </si>
  <si>
    <t>Books Read/Month Goal</t>
  </si>
  <si>
    <t>read given current rate</t>
  </si>
  <si>
    <t>Read Harder Challenges Remaining</t>
  </si>
  <si>
    <t>TBR Year Start</t>
  </si>
  <si>
    <t>TBR (AS OF TODAY)</t>
  </si>
  <si>
    <t>Average Star Rating</t>
  </si>
  <si>
    <t>Average time books spent on TBR</t>
  </si>
  <si>
    <t>Total Books READ</t>
  </si>
  <si>
    <t>Total spent on books this year</t>
  </si>
  <si>
    <t>Total Pages READ</t>
  </si>
  <si>
    <t>Total Number of Books bought</t>
  </si>
  <si>
    <t>Average Pages/Book</t>
  </si>
  <si>
    <t>Average cost/book</t>
  </si>
  <si>
    <t>The Year at a Glance</t>
  </si>
  <si>
    <t>Books Read by Month</t>
  </si>
  <si>
    <t>Pages Read by Month</t>
  </si>
  <si>
    <t>Pages/Day</t>
  </si>
  <si>
    <t>Days/Book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</si>
  <si>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</si>
  <si>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</si>
  <si>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</si>
  <si>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</si>
  <si>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</si>
  <si>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</si>
  <si>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</si>
  <si>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</si>
  <si>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</si>
  <si>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</si>
  <si>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</si>
  <si>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Average Books/ Month</t>
  </si>
  <si>
    <t>Average Pages/ Month</t>
  </si>
  <si>
    <t>Days/Book Av</t>
  </si>
  <si>
    <t>Total Books</t>
  </si>
  <si>
    <t>Total Pages</t>
  </si>
  <si>
    <t>About the books</t>
  </si>
  <si>
    <t>Years Published</t>
  </si>
  <si>
    <t>N/A</t>
  </si>
  <si>
    <t>&lt;20's</t>
  </si>
  <si>
    <t>30's</t>
  </si>
  <si>
    <t>40's</t>
  </si>
  <si>
    <t>50's</t>
  </si>
  <si>
    <t>60's</t>
  </si>
  <si>
    <t>70's</t>
  </si>
  <si>
    <t>80's</t>
  </si>
  <si>
    <t>90's</t>
  </si>
  <si>
    <t>2000-2005</t>
  </si>
  <si>
    <t>2006-2010</t>
  </si>
  <si>
    <t>2011-2015</t>
  </si>
  <si>
    <t>2016-2017</t>
  </si>
  <si>
    <t>Page Length</t>
  </si>
  <si>
    <t>&lt;100</t>
  </si>
  <si>
    <t>100-199</t>
  </si>
  <si>
    <t>200-299</t>
  </si>
  <si>
    <t>300-399</t>
  </si>
  <si>
    <t>*</t>
  </si>
  <si>
    <t>400-499</t>
  </si>
  <si>
    <t>**</t>
  </si>
  <si>
    <t>500-599</t>
  </si>
  <si>
    <t>***</t>
  </si>
  <si>
    <t>600-699</t>
  </si>
  <si>
    <t>****</t>
  </si>
  <si>
    <t>700-799</t>
  </si>
  <si>
    <t>*****</t>
  </si>
  <si>
    <t>800-899</t>
  </si>
  <si>
    <t>900-999</t>
  </si>
  <si>
    <t>&lt;1000</t>
  </si>
  <si>
    <t>About the authors</t>
  </si>
  <si>
    <t>Author Gender</t>
  </si>
  <si>
    <t>Author Nationality</t>
  </si>
  <si>
    <t>Total</t>
  </si>
  <si>
    <t>Author Continent</t>
  </si>
  <si>
    <t>Author Race (Simplified)</t>
  </si>
  <si>
    <t>In Translation</t>
  </si>
  <si>
    <t>Russia</t>
  </si>
  <si>
    <t>Somalia</t>
  </si>
  <si>
    <t>Sweden</t>
  </si>
  <si>
    <t>Switzerland</t>
  </si>
  <si>
    <t>Turkmenistan</t>
  </si>
  <si>
    <t>UK</t>
  </si>
  <si>
    <t>United Arab Emirates</t>
  </si>
  <si>
    <t>United States</t>
  </si>
  <si>
    <t>Zimbabwe</t>
  </si>
  <si>
    <t>PURCHASES</t>
  </si>
  <si>
    <t>Purchased and Gifted (Genre)</t>
  </si>
  <si>
    <t>Purchased and Gifted (Month)</t>
  </si>
  <si>
    <t>Books/Month</t>
  </si>
  <si>
    <t>Children's Book</t>
  </si>
  <si>
    <t>Cost/Month</t>
  </si>
  <si>
    <t>Average Cost/Book</t>
  </si>
  <si>
    <t>Purchased and Gifted (Location)</t>
  </si>
  <si>
    <t>Purchased and gifted (Age Group)</t>
  </si>
  <si>
    <t>TBR pile</t>
  </si>
  <si>
    <t>TBR Pile (Genre)</t>
  </si>
  <si>
    <t>TBR Pile (Format)</t>
  </si>
  <si>
    <t>TBR Pile (Time on Shelf)</t>
  </si>
  <si>
    <t>Less Than 1 Year</t>
  </si>
  <si>
    <t>1 year</t>
  </si>
  <si>
    <t>2 years</t>
  </si>
  <si>
    <t>3 years</t>
  </si>
  <si>
    <t>4 years</t>
  </si>
  <si>
    <t>5 years</t>
  </si>
  <si>
    <t>TBR Pile (Page Length)</t>
  </si>
  <si>
    <t>6 years</t>
  </si>
  <si>
    <t>7 years</t>
  </si>
  <si>
    <t>8 years</t>
  </si>
  <si>
    <t>9 years</t>
  </si>
  <si>
    <t>More than 1o years</t>
  </si>
  <si>
    <t>TBR Pile (Age Group)</t>
  </si>
  <si>
    <t>Purchases</t>
  </si>
  <si>
    <t>x</t>
  </si>
  <si>
    <t>Read Harder Challenge 2018</t>
  </si>
  <si>
    <t>Number</t>
  </si>
  <si>
    <t>Challenge</t>
  </si>
  <si>
    <t>Fulfilled?</t>
  </si>
  <si>
    <t>Book Used</t>
  </si>
  <si>
    <t>A book published posthumously</t>
  </si>
  <si>
    <t>A book of true crime</t>
  </si>
  <si>
    <t>A classic of genre fiction (i.e. mystery, sci fi/fantasy, romance)</t>
  </si>
  <si>
    <t>A comic written and illustrated by the same person</t>
  </si>
  <si>
    <t>A book set in or about one of the five BRICS countries (Brazil, Russia, India, China, or South Africa)</t>
  </si>
  <si>
    <t>A book about nature</t>
  </si>
  <si>
    <t>A western</t>
  </si>
  <si>
    <t>A comic written or illustrated by a person of color</t>
  </si>
  <si>
    <t>A book of colonial or postcolonial literature</t>
  </si>
  <si>
    <t>romance novel by or about a person of color</t>
  </si>
  <si>
    <t>A children’s classic published before 1980</t>
  </si>
  <si>
    <t>A celebrity memoir</t>
  </si>
  <si>
    <t>An Oprah Book Club selection</t>
  </si>
  <si>
    <t>A book of social science</t>
  </si>
  <si>
    <t>A one-sitting book</t>
  </si>
  <si>
    <t>The first book in a new-to-you YA or middle grade series</t>
  </si>
  <si>
    <t>A sci fi novel with a female protagonist by a female author</t>
  </si>
  <si>
    <t>A comic that isn’t published by Marvel, DC, or Image</t>
  </si>
  <si>
    <t>A book of genre fiction in translation</t>
  </si>
  <si>
    <t>A book with a cover you hate</t>
  </si>
  <si>
    <t>A mystery by a person of color or LGBTQ+ author</t>
  </si>
  <si>
    <t>An essay anthology</t>
  </si>
  <si>
    <t>A book with a female protagonist over the age of 60</t>
  </si>
  <si>
    <t>An assigned book you hated (or never finished)</t>
  </si>
  <si>
    <t xml:space="preserve">The secret scripture </t>
  </si>
  <si>
    <t>Sebastian Barry</t>
  </si>
  <si>
    <t>ebook</t>
  </si>
  <si>
    <t>Contemporary</t>
  </si>
  <si>
    <t>ireland</t>
  </si>
  <si>
    <t>europe</t>
  </si>
  <si>
    <t>2019 Book Survey</t>
  </si>
  <si>
    <t>The Deptford trilogy</t>
  </si>
  <si>
    <t>robertson davies</t>
  </si>
  <si>
    <t>male</t>
  </si>
  <si>
    <t>CANada</t>
  </si>
  <si>
    <t>north America</t>
  </si>
  <si>
    <t>fiction</t>
  </si>
  <si>
    <t>adult</t>
  </si>
  <si>
    <t>KING Kong theory</t>
  </si>
  <si>
    <t>virginie despent</t>
  </si>
  <si>
    <t>non-Fiction</t>
  </si>
  <si>
    <t>france</t>
  </si>
  <si>
    <t>white</t>
  </si>
  <si>
    <t>yes</t>
  </si>
  <si>
    <t>Ученые скрывают? Мифы XXI века</t>
  </si>
  <si>
    <t>NON-Fiction</t>
  </si>
  <si>
    <t>2019 Purchases</t>
  </si>
  <si>
    <t>Mansfield Park by Jane Austen</t>
  </si>
  <si>
    <t>avito</t>
  </si>
  <si>
    <t>Elmet by fiona mozley</t>
  </si>
  <si>
    <t>literary Fiction</t>
  </si>
  <si>
    <t>paperback</t>
  </si>
  <si>
    <t>little nothing by marisa silver</t>
  </si>
  <si>
    <t>2019 TBR PILE</t>
  </si>
  <si>
    <t>2019 Reading Statistics</t>
  </si>
  <si>
    <t>2019 Charts</t>
  </si>
  <si>
    <t>Александр Соколов</t>
  </si>
  <si>
    <t>Темные тайны</t>
  </si>
  <si>
    <t>Гиллиан Флинн</t>
  </si>
  <si>
    <t>thriller</t>
  </si>
  <si>
    <t>female</t>
  </si>
  <si>
    <t>usa</t>
  </si>
  <si>
    <t>Kristin hannah</t>
  </si>
  <si>
    <t>the great alone</t>
  </si>
  <si>
    <t>contemporary</t>
  </si>
  <si>
    <t>Harry potter and the philosopher's stone by J.k. rowling</t>
  </si>
  <si>
    <t>Harry potter and the philosopher's stone</t>
  </si>
  <si>
    <t>J.k. rowling</t>
  </si>
  <si>
    <t>fantasy</t>
  </si>
  <si>
    <t>great britain</t>
  </si>
  <si>
    <t>no</t>
  </si>
  <si>
    <t>children's</t>
  </si>
  <si>
    <t>Harry potter and the chamber of secrets by J.k. rowling</t>
  </si>
  <si>
    <t>YA fantasy</t>
  </si>
  <si>
    <t>Harry potter and prizoner of azkaban by J.k. rowling</t>
  </si>
  <si>
    <t>V.E.Schwab</t>
  </si>
  <si>
    <t>vicious</t>
  </si>
  <si>
    <t xml:space="preserve">Harry potter and the chamber of secrets </t>
  </si>
  <si>
    <t>Смилла и ее чувство снега</t>
  </si>
  <si>
    <t>Питер Хег</t>
  </si>
  <si>
    <t>Contemporary, detective</t>
  </si>
  <si>
    <t>denmark</t>
  </si>
  <si>
    <t xml:space="preserve">Mansfield Park </t>
  </si>
  <si>
    <t>Jane Austen</t>
  </si>
  <si>
    <t>romance, classics</t>
  </si>
  <si>
    <t>I'll be gone in the dark</t>
  </si>
  <si>
    <t>michelle mcnamara</t>
  </si>
  <si>
    <t>crime</t>
  </si>
  <si>
    <t>audiobook</t>
  </si>
  <si>
    <t xml:space="preserve">His dark materials by philip pullman </t>
  </si>
  <si>
    <t>ya fantasy</t>
  </si>
  <si>
    <t>ya</t>
  </si>
  <si>
    <t xml:space="preserve">Время динозавров </t>
  </si>
  <si>
    <t>Стив Брусатти</t>
  </si>
  <si>
    <t>harry potter and the prizoner of azkaban</t>
  </si>
  <si>
    <t>j.k. rowling</t>
  </si>
  <si>
    <t>circe</t>
  </si>
  <si>
    <t xml:space="preserve">madeline miller </t>
  </si>
  <si>
    <t>John E douglas</t>
  </si>
  <si>
    <t>crime, non-fiction</t>
  </si>
  <si>
    <t>mindhunter: inside the fbi's elite serial crime unit</t>
  </si>
  <si>
    <t>the shipping news by annie proulx</t>
  </si>
  <si>
    <t>Bookshop</t>
  </si>
  <si>
    <t>the shipping news</t>
  </si>
  <si>
    <t>annie proulx</t>
  </si>
  <si>
    <t>Петр Талантов</t>
  </si>
  <si>
    <t>hardback</t>
  </si>
  <si>
    <t>0,05 Доказательная медицина от магии до поисков бессмертия</t>
  </si>
  <si>
    <t>russia</t>
  </si>
  <si>
    <t>non-fiction</t>
  </si>
  <si>
    <t>chain Bookshop</t>
  </si>
  <si>
    <t>0,05 Доказательная медицина от магии до поисков бессмертия by Петр Талантов</t>
  </si>
  <si>
    <t>the death of mrs.westaway</t>
  </si>
  <si>
    <t>ruth ware</t>
  </si>
  <si>
    <t>in a dark, dark wood</t>
  </si>
  <si>
    <t>Harry potter and the order of the phoenix by j.k.rowling</t>
  </si>
  <si>
    <t xml:space="preserve">Harry potter and the order of the phoenix </t>
  </si>
  <si>
    <t>j.k.rowling</t>
  </si>
  <si>
    <t>the last house guest</t>
  </si>
  <si>
    <t>megan miranda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</si>
</sst>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0.0"/>
    <numFmt numFmtId="166" formatCode="&quot;£&quot;#,##0.00"/>
    <numFmt numFmtId="167" formatCode="#,##0.00\ &quot;₽&quot;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0"/>
      <name val="Arial"/>
      <family val="2"/>
    </font>
    <font>
      <b/>
      <sz val="11"/>
      <color theme="1"/>
      <name val="Market Square"/>
      <family val="3"/>
    </font>
    <font>
      <sz val="11"/>
      <color theme="1"/>
      <name val="Market Square"/>
      <family val="3"/>
    </font>
    <font>
      <b/>
      <sz val="14"/>
      <color theme="1"/>
      <name val="Market Square"/>
      <family val="3"/>
    </font>
    <font>
      <sz val="14"/>
      <color theme="1"/>
      <name val="Market Square"/>
      <family val="3"/>
    </font>
    <font>
      <b/>
      <sz val="22"/>
      <color theme="1"/>
      <name val="Market Square"/>
      <family val="3"/>
    </font>
    <font>
      <b/>
      <sz val="22"/>
      <color theme="1"/>
      <name val="Market Square Regular"/>
      <charset val="204"/>
    </font>
    <font>
      <b/>
      <sz val="14"/>
      <color theme="1"/>
      <name val="Market Square Regular"/>
      <charset val="204"/>
    </font>
    <font>
      <sz val="14"/>
      <color theme="1"/>
      <name val="Market Square Regular"/>
      <charset val="204"/>
    </font>
    <font>
      <sz val="16"/>
      <color theme="1"/>
      <name val="Market Square Regular"/>
      <charset val="204"/>
    </font>
    <font>
      <sz val="11"/>
      <color theme="1"/>
      <name val="Market Square Regular"/>
      <charset val="204"/>
    </font>
    <font>
      <b/>
      <sz val="11"/>
      <color theme="1"/>
      <name val="Market Square Regular"/>
      <charset val="204"/>
    </font>
    <font>
      <b/>
      <sz val="14"/>
      <color theme="0"/>
      <name val="Market Square Regular"/>
      <charset val="204"/>
    </font>
    <font>
      <b/>
      <sz val="16"/>
      <color theme="1"/>
      <name val="Market Square Regular"/>
      <charset val="204"/>
    </font>
    <font>
      <b/>
      <sz val="14"/>
      <color rgb="FF3399FF"/>
      <name val="Market Square Regular"/>
      <charset val="204"/>
    </font>
    <font>
      <sz val="14"/>
      <name val="Market Square Regular"/>
      <charset val="204"/>
    </font>
    <font>
      <sz val="14"/>
      <color theme="1" tint="0.249977111117893"/>
      <name val="Market Square Regular"/>
      <charset val="204"/>
    </font>
    <font>
      <sz val="14"/>
      <color theme="1"/>
      <name val="Market Square"/>
      <family val="3"/>
      <charset val="204"/>
    </font>
    <font>
      <sz val="12"/>
      <color theme="1"/>
      <name val="Thonburi"/>
      <family val="2"/>
      <charset val="22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EA1F7"/>
        <bgColor indexed="64"/>
      </patternFill>
    </fill>
    <fill>
      <patternFill patternType="solid">
        <fgColor rgb="FFDBB9F9"/>
        <bgColor indexed="64"/>
      </patternFill>
    </fill>
    <fill>
      <patternFill patternType="solid">
        <fgColor rgb="FFC2E3F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12">
    <xf numFmtId="0" fontId="0" fillId="0" borderId="0" xfId="0"/>
    <xf numFmtId="0" fontId="2" fillId="0" borderId="0" xfId="0" applyFont="1"/>
    <xf numFmtId="0" fontId="2" fillId="0" borderId="0" xfId="0" applyFont="1" applyFill="1"/>
    <xf numFmtId="1" fontId="4" fillId="0" borderId="0" xfId="0" applyNumberFormat="1" applyFont="1"/>
    <xf numFmtId="1" fontId="5" fillId="0" borderId="0" xfId="0" applyNumberFormat="1" applyFont="1"/>
    <xf numFmtId="14" fontId="5" fillId="0" borderId="0" xfId="0" applyNumberFormat="1" applyFont="1"/>
    <xf numFmtId="1" fontId="5" fillId="0" borderId="0" xfId="0" applyNumberFormat="1" applyFont="1" applyFill="1"/>
    <xf numFmtId="14" fontId="5" fillId="0" borderId="0" xfId="0" applyNumberFormat="1" applyFont="1" applyFill="1"/>
    <xf numFmtId="1" fontId="4" fillId="0" borderId="0" xfId="0" applyNumberFormat="1" applyFont="1" applyFill="1"/>
    <xf numFmtId="0" fontId="7" fillId="0" borderId="0" xfId="0" applyFont="1"/>
    <xf numFmtId="1" fontId="6" fillId="0" borderId="0" xfId="0" applyNumberFormat="1" applyFont="1"/>
    <xf numFmtId="1" fontId="7" fillId="0" borderId="0" xfId="0" applyNumberFormat="1" applyFont="1"/>
    <xf numFmtId="14" fontId="7" fillId="0" borderId="0" xfId="0" applyNumberFormat="1" applyFont="1"/>
    <xf numFmtId="1" fontId="7" fillId="0" borderId="0" xfId="0" applyNumberFormat="1" applyFont="1" applyFill="1"/>
    <xf numFmtId="14" fontId="7" fillId="0" borderId="0" xfId="0" applyNumberFormat="1" applyFont="1" applyFill="1"/>
    <xf numFmtId="1" fontId="6" fillId="0" borderId="0" xfId="0" applyNumberFormat="1" applyFont="1" applyFill="1"/>
    <xf numFmtId="1" fontId="7" fillId="3" borderId="0" xfId="0" applyNumberFormat="1" applyFont="1" applyFill="1"/>
    <xf numFmtId="0" fontId="7" fillId="3" borderId="0" xfId="0" applyFont="1" applyFill="1"/>
    <xf numFmtId="1" fontId="4" fillId="0" borderId="0" xfId="0" applyNumberFormat="1" applyFont="1" applyFill="1" applyAlignment="1"/>
    <xf numFmtId="1" fontId="5" fillId="0" borderId="0" xfId="0" applyNumberFormat="1" applyFont="1" applyFill="1" applyBorder="1"/>
    <xf numFmtId="164" fontId="5" fillId="0" borderId="0" xfId="0" applyNumberFormat="1" applyFont="1" applyFill="1" applyBorder="1"/>
    <xf numFmtId="14" fontId="5" fillId="0" borderId="0" xfId="0" applyNumberFormat="1" applyFont="1" applyFill="1" applyBorder="1"/>
    <xf numFmtId="1" fontId="5" fillId="2" borderId="0" xfId="0" applyNumberFormat="1" applyFont="1" applyFill="1" applyBorder="1"/>
    <xf numFmtId="164" fontId="5" fillId="0" borderId="0" xfId="0" applyNumberFormat="1" applyFont="1" applyFill="1"/>
    <xf numFmtId="164" fontId="5" fillId="0" borderId="0" xfId="0" applyNumberFormat="1" applyFont="1"/>
    <xf numFmtId="1" fontId="7" fillId="0" borderId="0" xfId="0" applyNumberFormat="1" applyFont="1" applyBorder="1"/>
    <xf numFmtId="1" fontId="8" fillId="0" borderId="0" xfId="0" applyNumberFormat="1" applyFont="1" applyFill="1" applyAlignment="1">
      <alignment vertical="center"/>
    </xf>
    <xf numFmtId="0" fontId="6" fillId="0" borderId="0" xfId="0" applyFont="1"/>
    <xf numFmtId="1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 applyBorder="1"/>
    <xf numFmtId="1" fontId="10" fillId="3" borderId="0" xfId="0" applyNumberFormat="1" applyFont="1" applyFill="1" applyAlignment="1">
      <alignment horizontal="center"/>
    </xf>
    <xf numFmtId="1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/>
    </xf>
    <xf numFmtId="1" fontId="11" fillId="3" borderId="0" xfId="0" applyNumberFormat="1" applyFont="1" applyFill="1" applyAlignment="1">
      <alignment horizontal="center"/>
    </xf>
    <xf numFmtId="1" fontId="11" fillId="3" borderId="0" xfId="0" applyNumberFormat="1" applyFont="1" applyFill="1"/>
    <xf numFmtId="14" fontId="11" fillId="3" borderId="0" xfId="0" applyNumberFormat="1" applyFont="1" applyFill="1"/>
    <xf numFmtId="1" fontId="11" fillId="0" borderId="0" xfId="0" applyNumberFormat="1" applyFont="1"/>
    <xf numFmtId="14" fontId="11" fillId="0" borderId="0" xfId="0" applyNumberFormat="1" applyFont="1"/>
    <xf numFmtId="1" fontId="11" fillId="0" borderId="0" xfId="0" applyNumberFormat="1" applyFont="1" applyFill="1"/>
    <xf numFmtId="14" fontId="11" fillId="0" borderId="0" xfId="0" applyNumberFormat="1" applyFont="1" applyFill="1"/>
    <xf numFmtId="1" fontId="10" fillId="0" borderId="0" xfId="0" applyNumberFormat="1" applyFont="1" applyFill="1"/>
    <xf numFmtId="14" fontId="12" fillId="0" borderId="0" xfId="0" applyNumberFormat="1" applyFont="1"/>
    <xf numFmtId="14" fontId="12" fillId="5" borderId="0" xfId="0" applyNumberFormat="1" applyFont="1" applyFill="1" applyAlignment="1">
      <alignment horizontal="center"/>
    </xf>
    <xf numFmtId="1" fontId="12" fillId="5" borderId="0" xfId="0" applyNumberFormat="1" applyFont="1" applyFill="1" applyAlignment="1">
      <alignment horizontal="center"/>
    </xf>
    <xf numFmtId="164" fontId="12" fillId="5" borderId="0" xfId="0" applyNumberFormat="1" applyFont="1" applyFill="1" applyAlignment="1">
      <alignment horizontal="center"/>
    </xf>
    <xf numFmtId="14" fontId="13" fillId="4" borderId="0" xfId="0" applyNumberFormat="1" applyFont="1" applyFill="1"/>
    <xf numFmtId="1" fontId="13" fillId="4" borderId="0" xfId="0" applyNumberFormat="1" applyFont="1" applyFill="1"/>
    <xf numFmtId="164" fontId="13" fillId="4" borderId="0" xfId="0" applyNumberFormat="1" applyFont="1" applyFill="1"/>
    <xf numFmtId="1" fontId="11" fillId="0" borderId="0" xfId="0" applyNumberFormat="1" applyFont="1" applyBorder="1"/>
    <xf numFmtId="1" fontId="11" fillId="0" borderId="0" xfId="0" applyNumberFormat="1" applyFont="1" applyFill="1" applyBorder="1"/>
    <xf numFmtId="14" fontId="14" fillId="3" borderId="0" xfId="0" applyNumberFormat="1" applyFont="1" applyFill="1" applyAlignment="1"/>
    <xf numFmtId="14" fontId="14" fillId="3" borderId="0" xfId="0" applyNumberFormat="1" applyFont="1" applyFill="1" applyAlignment="1">
      <alignment horizontal="right"/>
    </xf>
    <xf numFmtId="0" fontId="12" fillId="5" borderId="0" xfId="0" applyNumberFormat="1" applyFont="1" applyFill="1" applyAlignment="1">
      <alignment horizontal="center"/>
    </xf>
    <xf numFmtId="14" fontId="12" fillId="5" borderId="0" xfId="0" applyNumberFormat="1" applyFont="1" applyFill="1" applyAlignment="1">
      <alignment horizontal="right"/>
    </xf>
    <xf numFmtId="0" fontId="13" fillId="4" borderId="0" xfId="0" applyNumberFormat="1" applyFont="1" applyFill="1"/>
    <xf numFmtId="14" fontId="13" fillId="4" borderId="0" xfId="0" applyNumberFormat="1" applyFont="1" applyFill="1" applyAlignment="1">
      <alignment horizontal="right"/>
    </xf>
    <xf numFmtId="0" fontId="11" fillId="0" borderId="0" xfId="0" applyNumberFormat="1" applyFont="1" applyBorder="1"/>
    <xf numFmtId="14" fontId="11" fillId="0" borderId="0" xfId="0" applyNumberFormat="1" applyFont="1" applyBorder="1"/>
    <xf numFmtId="165" fontId="11" fillId="0" borderId="0" xfId="0" applyNumberFormat="1" applyFont="1" applyBorder="1"/>
    <xf numFmtId="2" fontId="11" fillId="0" borderId="0" xfId="0" applyNumberFormat="1" applyFont="1" applyBorder="1" applyAlignment="1">
      <alignment horizontal="right"/>
    </xf>
    <xf numFmtId="0" fontId="13" fillId="0" borderId="0" xfId="0" applyFont="1"/>
    <xf numFmtId="0" fontId="13" fillId="0" borderId="0" xfId="0" applyNumberFormat="1" applyFont="1"/>
    <xf numFmtId="14" fontId="13" fillId="0" borderId="0" xfId="0" applyNumberFormat="1" applyFont="1"/>
    <xf numFmtId="14" fontId="13" fillId="0" borderId="0" xfId="0" applyNumberFormat="1" applyFont="1" applyAlignment="1">
      <alignment horizontal="right"/>
    </xf>
    <xf numFmtId="1" fontId="15" fillId="6" borderId="0" xfId="0" applyNumberFormat="1" applyFont="1" applyFill="1" applyAlignment="1">
      <alignment horizontal="center"/>
    </xf>
    <xf numFmtId="1" fontId="10" fillId="5" borderId="0" xfId="0" applyNumberFormat="1" applyFont="1" applyFill="1"/>
    <xf numFmtId="1" fontId="11" fillId="5" borderId="0" xfId="0" applyNumberFormat="1" applyFont="1" applyFill="1"/>
    <xf numFmtId="165" fontId="11" fillId="5" borderId="0" xfId="0" applyNumberFormat="1" applyFont="1" applyFill="1"/>
    <xf numFmtId="2" fontId="11" fillId="5" borderId="0" xfId="0" applyNumberFormat="1" applyFont="1" applyFill="1"/>
    <xf numFmtId="1" fontId="10" fillId="0" borderId="0" xfId="0" applyNumberFormat="1" applyFont="1"/>
    <xf numFmtId="166" fontId="11" fillId="5" borderId="0" xfId="0" applyNumberFormat="1" applyFont="1" applyFill="1"/>
    <xf numFmtId="2" fontId="11" fillId="0" borderId="0" xfId="0" applyNumberFormat="1" applyFont="1"/>
    <xf numFmtId="1" fontId="10" fillId="5" borderId="0" xfId="0" applyNumberFormat="1" applyFont="1" applyFill="1" applyAlignment="1"/>
    <xf numFmtId="1" fontId="17" fillId="5" borderId="0" xfId="0" applyNumberFormat="1" applyFont="1" applyFill="1"/>
    <xf numFmtId="9" fontId="11" fillId="0" borderId="0" xfId="1" applyFont="1"/>
    <xf numFmtId="1" fontId="11" fillId="4" borderId="0" xfId="0" applyNumberFormat="1" applyFont="1" applyFill="1"/>
    <xf numFmtId="9" fontId="11" fillId="4" borderId="0" xfId="1" applyFont="1" applyFill="1"/>
    <xf numFmtId="1" fontId="11" fillId="0" borderId="0" xfId="0" applyNumberFormat="1" applyFont="1" applyAlignment="1">
      <alignment horizontal="left"/>
    </xf>
    <xf numFmtId="1" fontId="11" fillId="0" borderId="0" xfId="0" applyNumberFormat="1" applyFont="1" applyFill="1" applyAlignment="1">
      <alignment horizontal="left"/>
    </xf>
    <xf numFmtId="165" fontId="11" fillId="4" borderId="0" xfId="0" applyNumberFormat="1" applyFont="1" applyFill="1"/>
    <xf numFmtId="9" fontId="11" fillId="0" borderId="0" xfId="1" applyFont="1" applyFill="1"/>
    <xf numFmtId="0" fontId="18" fillId="0" borderId="0" xfId="2" applyFont="1" applyBorder="1" applyAlignment="1"/>
    <xf numFmtId="0" fontId="18" fillId="0" borderId="0" xfId="2" applyFont="1" applyFill="1" applyBorder="1" applyAlignment="1"/>
    <xf numFmtId="9" fontId="11" fillId="5" borderId="0" xfId="1" applyFont="1" applyFill="1"/>
    <xf numFmtId="164" fontId="11" fillId="0" borderId="0" xfId="0" applyNumberFormat="1" applyFont="1"/>
    <xf numFmtId="164" fontId="11" fillId="4" borderId="0" xfId="1" applyNumberFormat="1" applyFont="1" applyFill="1"/>
    <xf numFmtId="1" fontId="18" fillId="0" borderId="0" xfId="0" applyNumberFormat="1" applyFont="1" applyFill="1"/>
    <xf numFmtId="1" fontId="13" fillId="0" borderId="0" xfId="0" applyNumberFormat="1" applyFont="1"/>
    <xf numFmtId="2" fontId="11" fillId="0" borderId="0" xfId="0" applyNumberFormat="1" applyFont="1" applyBorder="1" applyAlignment="1">
      <alignment horizontal="left"/>
    </xf>
    <xf numFmtId="1" fontId="14" fillId="0" borderId="0" xfId="0" applyNumberFormat="1" applyFont="1" applyFill="1" applyAlignment="1">
      <alignment horizontal="center"/>
    </xf>
    <xf numFmtId="0" fontId="13" fillId="0" borderId="0" xfId="0" applyFont="1" applyBorder="1"/>
    <xf numFmtId="0" fontId="10" fillId="5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Fill="1"/>
    <xf numFmtId="0" fontId="18" fillId="0" borderId="0" xfId="0" applyFont="1" applyAlignment="1">
      <alignment horizontal="left" vertical="center" wrapText="1" indent="1"/>
    </xf>
    <xf numFmtId="0" fontId="18" fillId="0" borderId="0" xfId="0" applyFont="1"/>
    <xf numFmtId="1" fontId="19" fillId="0" borderId="0" xfId="0" applyNumberFormat="1" applyFont="1"/>
    <xf numFmtId="1" fontId="19" fillId="3" borderId="0" xfId="0" applyNumberFormat="1" applyFont="1" applyFill="1"/>
    <xf numFmtId="1" fontId="19" fillId="0" borderId="0" xfId="0" applyNumberFormat="1" applyFont="1" applyFill="1"/>
    <xf numFmtId="0" fontId="20" fillId="0" borderId="0" xfId="0" applyFont="1"/>
    <xf numFmtId="14" fontId="21" fillId="0" borderId="0" xfId="0" applyNumberFormat="1" applyFont="1"/>
    <xf numFmtId="167" fontId="11" fillId="0" borderId="0" xfId="0" applyNumberFormat="1" applyFont="1" applyBorder="1"/>
    <xf numFmtId="14" fontId="11" fillId="7" borderId="0" xfId="0" applyNumberFormat="1" applyFont="1" applyFill="1"/>
    <xf numFmtId="1" fontId="11" fillId="7" borderId="0" xfId="0" applyNumberFormat="1" applyFont="1" applyFill="1"/>
    <xf numFmtId="0" fontId="20" fillId="0" borderId="0" xfId="0" applyFont="1" applyFill="1"/>
    <xf numFmtId="1" fontId="9" fillId="3" borderId="0" xfId="0" applyNumberFormat="1" applyFont="1" applyFill="1" applyAlignment="1">
      <alignment horizontal="center" vertical="center"/>
    </xf>
    <xf numFmtId="1" fontId="10" fillId="5" borderId="0" xfId="0" applyNumberFormat="1" applyFont="1" applyFill="1" applyAlignment="1">
      <alignment horizontal="center"/>
    </xf>
    <xf numFmtId="14" fontId="16" fillId="5" borderId="0" xfId="0" applyNumberFormat="1" applyFont="1" applyFill="1" applyBorder="1" applyAlignment="1">
      <alignment horizontal="center"/>
    </xf>
    <xf numFmtId="1" fontId="9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</cellXfs>
  <cellStyles count="3">
    <cellStyle name="Normal 2" xfId="2" xr:uid="{00000000-0005-0000-0000-000001000000}"/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C2E3F0"/>
      <color rgb="FFCEA1F7"/>
      <color rgb="FFDBB9F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MarketSquare-Regular ☞" pitchFamily="2" charset="0"/>
                <a:ea typeface="+mn-ea"/>
                <a:cs typeface="+mn-cs"/>
              </a:defRPr>
            </a:pPr>
            <a:r>
              <a:rPr lang="en-GB" sz="1800">
                <a:latin typeface="MarketSquare-Regular ☞" pitchFamily="2" charset="0"/>
              </a:rPr>
              <a:t>Books/Month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MarketSquare-Regular ☞" pitchFamily="2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Data!$A$15:$A$26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Data!$B$15:$B$26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5-4639-97F8-C04DD9FB8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342349640"/>
        <c:axId val="342346112"/>
      </c:barChart>
      <c:catAx>
        <c:axId val="34234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Market Square" pitchFamily="50" charset="0"/>
                <a:ea typeface="+mn-ea"/>
                <a:cs typeface="+mn-cs"/>
              </a:defRPr>
            </a:pPr>
            <a:endParaRPr lang="ru-RU"/>
          </a:p>
        </c:txPr>
        <c:crossAx val="342346112"/>
        <c:crosses val="autoZero"/>
        <c:auto val="1"/>
        <c:lblAlgn val="ctr"/>
        <c:lblOffset val="100"/>
        <c:noMultiLvlLbl val="0"/>
      </c:catAx>
      <c:valAx>
        <c:axId val="34234611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arket Square" pitchFamily="50" charset="0"/>
                <a:ea typeface="+mn-ea"/>
                <a:cs typeface="+mn-cs"/>
              </a:defRPr>
            </a:pPr>
            <a:endParaRPr lang="ru-RU"/>
          </a:p>
        </c:txPr>
        <c:crossAx val="3423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Market Square" pitchFamily="50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MarketSquare-Regular ☞" pitchFamily="2" charset="0"/>
                <a:ea typeface="+mn-ea"/>
                <a:cs typeface="+mn-cs"/>
              </a:defRPr>
            </a:pPr>
            <a:r>
              <a:rPr lang="en-GB">
                <a:latin typeface="MarketSquare-Regular ☞" pitchFamily="2" charset="0"/>
              </a:rPr>
              <a:t>Author 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MarketSquare-Regular ☞" pitchFamily="2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778762029746284"/>
          <c:y val="0.23187518226888307"/>
          <c:w val="0.39331364829396326"/>
          <c:h val="0.6555227471566054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B1-4CBA-A88F-BC6F98A931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B1-4CBA-A88F-BC6F98A931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B1-4CBA-A88F-BC6F98A931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B1-4CBA-A88F-BC6F98A931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B1-4CBA-A88F-BC6F98A931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AB1-4CBA-A88F-BC6F98A931B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AB1-4CBA-A88F-BC6F98A931B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AB1-4CBA-A88F-BC6F98A931B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AB1-4CBA-A88F-BC6F98A931B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AB1-4CBA-A88F-BC6F98A931B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AB1-4CBA-A88F-BC6F98A931B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AB1-4CBA-A88F-BC6F98A931B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AB1-4CBA-A88F-BC6F98A931B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AB1-4CBA-A88F-BC6F98A931B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AB1-4CBA-A88F-BC6F98A931B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AB1-4CBA-A88F-BC6F98A931B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AB1-4CBA-A88F-BC6F98A931B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AB1-4CBA-A88F-BC6F98A931B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AB1-4CBA-A88F-BC6F98A931B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AB1-4CBA-A88F-BC6F98A931B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AB1-4CBA-A88F-BC6F98A931B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AB1-4CBA-A88F-BC6F98A931BE}"/>
              </c:ext>
            </c:extLst>
          </c:dPt>
          <c:cat>
            <c:strRef>
              <c:f>Data!$A$78:$A$79</c:f>
              <c:strCache>
                <c:ptCount val="2"/>
                <c:pt idx="0">
                  <c:v>White</c:v>
                </c:pt>
                <c:pt idx="1">
                  <c:v>POC</c:v>
                </c:pt>
              </c:strCache>
            </c:strRef>
          </c:cat>
          <c:val>
            <c:numRef>
              <c:f>Data!$B$78:$B$79</c:f>
              <c:numCache>
                <c:formatCode>0</c:formatCode>
                <c:ptCount val="2"/>
                <c:pt idx="0">
                  <c:v>22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AB1-4CBA-A88F-BC6F98A93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48009623797019"/>
          <c:y val="0.13477726742490523"/>
          <c:w val="0.35085323709536315"/>
          <c:h val="0.8275517643627879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Market Square" pitchFamily="50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Market Square" pitchFamily="50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MarketSquare-Regular ☞" pitchFamily="2" charset="0"/>
                <a:ea typeface="+mn-ea"/>
                <a:cs typeface="+mn-cs"/>
              </a:defRPr>
            </a:pPr>
            <a:r>
              <a:rPr lang="en-GB">
                <a:latin typeface="MarketSquare-Regular ☞" pitchFamily="2" charset="0"/>
              </a:rPr>
              <a:t>Author contintent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MarketSquare-Regular ☞" pitchFamily="2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778762029746284"/>
          <c:y val="0.23187518226888307"/>
          <c:w val="0.39331364829396326"/>
          <c:h val="0.6555227471566054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88-4157-B378-86891BB2D4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88-4157-B378-86891BB2D4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088-4157-B378-86891BB2D4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088-4157-B378-86891BB2D4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088-4157-B378-86891BB2D4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088-4157-B378-86891BB2D4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088-4157-B378-86891BB2D4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088-4157-B378-86891BB2D4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088-4157-B378-86891BB2D4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088-4157-B378-86891BB2D4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088-4157-B378-86891BB2D4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088-4157-B378-86891BB2D4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088-4157-B378-86891BB2D4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088-4157-B378-86891BB2D4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088-4157-B378-86891BB2D48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088-4157-B378-86891BB2D48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088-4157-B378-86891BB2D48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088-4157-B378-86891BB2D48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6088-4157-B378-86891BB2D48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6088-4157-B378-86891BB2D48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6088-4157-B378-86891BB2D48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6088-4157-B378-86891BB2D484}"/>
              </c:ext>
            </c:extLst>
          </c:dPt>
          <c:cat>
            <c:strRef>
              <c:f>Data!$A$68:$A$74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  <c:pt idx="6">
                  <c:v>Antarctica</c:v>
                </c:pt>
              </c:strCache>
            </c:strRef>
          </c:cat>
          <c:val>
            <c:numRef>
              <c:f>Data!$B$68:$B$74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088-4157-B378-86891BB2D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86829296654375"/>
          <c:y val="0.13477726742490523"/>
          <c:w val="0.26646504036678959"/>
          <c:h val="0.8275517643627879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Market Square" pitchFamily="50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Market Square" pitchFamily="50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MarketSquare-Regular ☞" pitchFamily="2" charset="0"/>
                <a:ea typeface="+mn-ea"/>
                <a:cs typeface="+mn-cs"/>
              </a:defRPr>
            </a:pPr>
            <a:r>
              <a:rPr lang="en-GB">
                <a:latin typeface="MarketSquare-Regular ☞" pitchFamily="2" charset="0"/>
              </a:rPr>
              <a:t>Purchases/month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MarketSquare-Regular ☞" pitchFamily="2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Data!$E$101:$E$112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Data!$F$101:$F$112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8-4AD8-9417-06CD2901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412448752"/>
        <c:axId val="412443264"/>
      </c:barChart>
      <c:catAx>
        <c:axId val="4124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Market Square" pitchFamily="50" charset="0"/>
                <a:ea typeface="+mn-ea"/>
                <a:cs typeface="+mn-cs"/>
              </a:defRPr>
            </a:pPr>
            <a:endParaRPr lang="ru-RU"/>
          </a:p>
        </c:txPr>
        <c:crossAx val="412443264"/>
        <c:crosses val="autoZero"/>
        <c:auto val="1"/>
        <c:lblAlgn val="ctr"/>
        <c:lblOffset val="100"/>
        <c:noMultiLvlLbl val="0"/>
      </c:catAx>
      <c:valAx>
        <c:axId val="412443264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41244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Market Square" pitchFamily="50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MarketSquare-Regular ☞" pitchFamily="2" charset="0"/>
                <a:ea typeface="+mn-ea"/>
                <a:cs typeface="+mn-cs"/>
              </a:defRPr>
            </a:pPr>
            <a:r>
              <a:rPr lang="en-GB">
                <a:latin typeface="MarketSquare-Regular ☞" pitchFamily="2" charset="0"/>
              </a:rPr>
              <a:t>Cost/month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MarketSquare-Regular ☞" pitchFamily="2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Data!$E$101:$E$112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Data!$H$101:$H$112</c:f>
              <c:numCache>
                <c:formatCode>_-"£"* #\ ##0.00_-;\-"£"* #\ ##0.00_-;_-"£"*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F-49F9-9D00-181E019B2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412448360"/>
        <c:axId val="412441304"/>
      </c:barChart>
      <c:catAx>
        <c:axId val="41244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Market Square" pitchFamily="50" charset="0"/>
                <a:ea typeface="+mn-ea"/>
                <a:cs typeface="+mn-cs"/>
              </a:defRPr>
            </a:pPr>
            <a:endParaRPr lang="ru-RU"/>
          </a:p>
        </c:txPr>
        <c:crossAx val="412441304"/>
        <c:crosses val="autoZero"/>
        <c:auto val="1"/>
        <c:lblAlgn val="ctr"/>
        <c:lblOffset val="100"/>
        <c:noMultiLvlLbl val="0"/>
      </c:catAx>
      <c:valAx>
        <c:axId val="412441304"/>
        <c:scaling>
          <c:orientation val="minMax"/>
        </c:scaling>
        <c:delete val="0"/>
        <c:axPos val="l"/>
        <c:numFmt formatCode="_-&quot;£&quot;* #\ ##0.00_-;\-&quot;£&quot;* #\ ##0.00_-;_-&quot;£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arket Square" pitchFamily="50" charset="0"/>
                <a:ea typeface="+mn-ea"/>
                <a:cs typeface="+mn-cs"/>
              </a:defRPr>
            </a:pPr>
            <a:endParaRPr lang="ru-RU"/>
          </a:p>
        </c:txPr>
        <c:crossAx val="41244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Market Square" pitchFamily="50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MarketSquare-Regular ☞" pitchFamily="2" charset="0"/>
                <a:ea typeface="+mn-ea"/>
                <a:cs typeface="+mn-cs"/>
              </a:defRPr>
            </a:pPr>
            <a:r>
              <a:rPr lang="en-GB" sz="1800">
                <a:latin typeface="MarketSquare-Regular ☞" pitchFamily="2" charset="0"/>
              </a:rPr>
              <a:t>Pages/Month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MarketSquare-Regular ☞" pitchFamily="2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Data!$E$15:$E$26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Data!$F$15:$F$26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6-41D2-A627-4D8E66B7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342346896"/>
        <c:axId val="342347288"/>
      </c:barChart>
      <c:catAx>
        <c:axId val="34234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Market Square" pitchFamily="50" charset="0"/>
                <a:ea typeface="+mn-ea"/>
                <a:cs typeface="+mn-cs"/>
              </a:defRPr>
            </a:pPr>
            <a:endParaRPr lang="ru-RU"/>
          </a:p>
        </c:txPr>
        <c:crossAx val="342347288"/>
        <c:crosses val="autoZero"/>
        <c:auto val="1"/>
        <c:lblAlgn val="ctr"/>
        <c:lblOffset val="100"/>
        <c:noMultiLvlLbl val="0"/>
      </c:catAx>
      <c:valAx>
        <c:axId val="34234728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arket Square" pitchFamily="50" charset="0"/>
                <a:ea typeface="+mn-ea"/>
                <a:cs typeface="+mn-cs"/>
              </a:defRPr>
            </a:pPr>
            <a:endParaRPr lang="ru-RU"/>
          </a:p>
        </c:txPr>
        <c:crossAx val="34234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Market Square" pitchFamily="50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MarketSquare-Regular ☞" pitchFamily="2" charset="0"/>
                <a:ea typeface="+mn-ea"/>
                <a:cs typeface="+mn-cs"/>
              </a:defRPr>
            </a:pPr>
            <a:r>
              <a:rPr lang="en-GB">
                <a:latin typeface="MarketSquare-Regular ☞" pitchFamily="2" charset="0"/>
              </a:rPr>
              <a:t>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MarketSquare-Regular ☞" pitchFamily="2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778762029746284"/>
          <c:y val="0.23187518226888307"/>
          <c:w val="0.39331364829396326"/>
          <c:h val="0.6555227471566054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B5-4296-B8F0-F42A06C5AE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B5-4296-B8F0-F42A06C5AE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B5-4296-B8F0-F42A06C5AE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B5-4296-B8F0-F42A06C5AE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B5-4296-B8F0-F42A06C5AE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0B5-4296-B8F0-F42A06C5AE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0B5-4296-B8F0-F42A06C5AE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0B5-4296-B8F0-F42A06C5AE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0B5-4296-B8F0-F42A06C5AEA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0B5-4296-B8F0-F42A06C5AEA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0B5-4296-B8F0-F42A06C5AEA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0B5-4296-B8F0-F42A06C5AEA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F0B5-4296-B8F0-F42A06C5AEA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F0B5-4296-B8F0-F42A06C5AEA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F0B5-4296-B8F0-F42A06C5AEA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0B5-4296-B8F0-F42A06C5AEA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F0B5-4296-B8F0-F42A06C5AEA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F0B5-4296-B8F0-F42A06C5AEA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F0B5-4296-B8F0-F42A06C5AEA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F0B5-4296-B8F0-F42A06C5AEA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F0B5-4296-B8F0-F42A06C5AEA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F0B5-4296-B8F0-F42A06C5AEAF}"/>
              </c:ext>
            </c:extLst>
          </c:dPt>
          <c:cat>
            <c:strRef>
              <c:f>Data!$A$33:$A$54</c:f>
              <c:strCache>
                <c:ptCount val="22"/>
                <c:pt idx="0">
                  <c:v>Classic</c:v>
                </c:pt>
                <c:pt idx="1">
                  <c:v>Essays</c:v>
                </c:pt>
                <c:pt idx="2">
                  <c:v>Fiction</c:v>
                </c:pt>
                <c:pt idx="3">
                  <c:v>Graphic Novel</c:v>
                </c:pt>
                <c:pt idx="4">
                  <c:v>Guidebook</c:v>
                </c:pt>
                <c:pt idx="5">
                  <c:v>Historical Fiction</c:v>
                </c:pt>
                <c:pt idx="6">
                  <c:v>Letters</c:v>
                </c:pt>
                <c:pt idx="7">
                  <c:v>Literary Fiction</c:v>
                </c:pt>
                <c:pt idx="8">
                  <c:v>Magazine</c:v>
                </c:pt>
                <c:pt idx="9">
                  <c:v>Memoir</c:v>
                </c:pt>
                <c:pt idx="10">
                  <c:v>Non-Fiction</c:v>
                </c:pt>
                <c:pt idx="11">
                  <c:v>Philosophy</c:v>
                </c:pt>
                <c:pt idx="12">
                  <c:v>Photography</c:v>
                </c:pt>
                <c:pt idx="13">
                  <c:v>Picture Book</c:v>
                </c:pt>
                <c:pt idx="14">
                  <c:v>Play</c:v>
                </c:pt>
                <c:pt idx="15">
                  <c:v>Poetry</c:v>
                </c:pt>
                <c:pt idx="16">
                  <c:v>Political Non-Fiction</c:v>
                </c:pt>
                <c:pt idx="17">
                  <c:v>Science Fiction</c:v>
                </c:pt>
                <c:pt idx="18">
                  <c:v>Science Non-fiction</c:v>
                </c:pt>
                <c:pt idx="19">
                  <c:v>Screenplay</c:v>
                </c:pt>
                <c:pt idx="20">
                  <c:v>Short Stories</c:v>
                </c:pt>
                <c:pt idx="21">
                  <c:v>Travel Memoir</c:v>
                </c:pt>
              </c:strCache>
            </c:strRef>
          </c:cat>
          <c:val>
            <c:numRef>
              <c:f>Data!$B$33:$B$54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0B5-4296-B8F0-F42A06C5A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48009623797019"/>
          <c:y val="0.13477726742490523"/>
          <c:w val="0.35085323709536315"/>
          <c:h val="0.8275517643627879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Market Square" pitchFamily="50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Market Square" pitchFamily="50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MarketSquare-Regular ☞" pitchFamily="2" charset="0"/>
                <a:ea typeface="+mn-ea"/>
                <a:cs typeface="+mn-cs"/>
              </a:defRPr>
            </a:pPr>
            <a:r>
              <a:rPr lang="en-GB">
                <a:latin typeface="MarketSquare-Regular ☞" pitchFamily="2" charset="0"/>
              </a:rPr>
              <a:t>Format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MarketSquare-Regular ☞" pitchFamily="2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778762029746284"/>
          <c:y val="0.23187518226888307"/>
          <c:w val="0.39331364829396326"/>
          <c:h val="0.6555227471566054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BD-4398-9A28-B51F7ED40A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BD-4398-9A28-B51F7ED40A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BD-4398-9A28-B51F7ED40A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1BD-4398-9A28-B51F7ED40A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1BD-4398-9A28-B51F7ED40A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1BD-4398-9A28-B51F7ED40A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1BD-4398-9A28-B51F7ED40A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1BD-4398-9A28-B51F7ED40A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1BD-4398-9A28-B51F7ED40A8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1BD-4398-9A28-B51F7ED40A8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1BD-4398-9A28-B51F7ED40A8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1BD-4398-9A28-B51F7ED40A8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1BD-4398-9A28-B51F7ED40A8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1BD-4398-9A28-B51F7ED40A8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1BD-4398-9A28-B51F7ED40A8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1BD-4398-9A28-B51F7ED40A8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1BD-4398-9A28-B51F7ED40A8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1BD-4398-9A28-B51F7ED40A8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1BD-4398-9A28-B51F7ED40A8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31BD-4398-9A28-B51F7ED40A8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31BD-4398-9A28-B51F7ED40A8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31BD-4398-9A28-B51F7ED40A8F}"/>
              </c:ext>
            </c:extLst>
          </c:dPt>
          <c:cat>
            <c:strRef>
              <c:f>Data!$I$33:$I$36</c:f>
              <c:strCache>
                <c:ptCount val="4"/>
                <c:pt idx="0">
                  <c:v>Hardback</c:v>
                </c:pt>
                <c:pt idx="1">
                  <c:v>Paperback</c:v>
                </c:pt>
                <c:pt idx="2">
                  <c:v>Ebook</c:v>
                </c:pt>
                <c:pt idx="3">
                  <c:v>Audiobook</c:v>
                </c:pt>
              </c:strCache>
            </c:strRef>
          </c:cat>
          <c:val>
            <c:numRef>
              <c:f>Data!$J$33:$J$36</c:f>
              <c:numCache>
                <c:formatCode>0</c:formatCode>
                <c:ptCount val="4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BD-4398-9A28-B51F7ED40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35371266665048"/>
          <c:y val="8.9115161974616192E-2"/>
          <c:w val="0.14697962066668271"/>
          <c:h val="0.8732139646927693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Market Square" pitchFamily="50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Market Square" pitchFamily="50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MarketSquare-Regular ☞" pitchFamily="2" charset="0"/>
                <a:ea typeface="+mn-ea"/>
                <a:cs typeface="+mn-cs"/>
              </a:defRPr>
            </a:pPr>
            <a:r>
              <a:rPr lang="en-GB" sz="1800">
                <a:latin typeface="MarketSquare-Regular ☞" pitchFamily="2" charset="0"/>
              </a:rPr>
              <a:t>Star</a:t>
            </a:r>
            <a:r>
              <a:rPr lang="en-GB" sz="1800" baseline="0">
                <a:latin typeface="MarketSquare-Regular ☞" pitchFamily="2" charset="0"/>
              </a:rPr>
              <a:t> rating</a:t>
            </a:r>
            <a:endParaRPr lang="en-GB" sz="1800">
              <a:latin typeface="MarketSquare-Regular ☞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MarketSquare-Regular ☞" pitchFamily="2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Data!$E$50:$E$54</c:f>
              <c:strCache>
                <c:ptCount val="5"/>
                <c:pt idx="0">
                  <c:v>*</c:v>
                </c:pt>
                <c:pt idx="1">
                  <c:v>**</c:v>
                </c:pt>
                <c:pt idx="2">
                  <c:v>***</c:v>
                </c:pt>
                <c:pt idx="3">
                  <c:v>****</c:v>
                </c:pt>
                <c:pt idx="4">
                  <c:v>*****</c:v>
                </c:pt>
              </c:strCache>
            </c:strRef>
          </c:cat>
          <c:val>
            <c:numRef>
              <c:f>Data!$F$50:$F$54</c:f>
              <c:numCache>
                <c:formatCode>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0-45B1-8563-445B4E699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412445224"/>
        <c:axId val="412442872"/>
      </c:barChart>
      <c:catAx>
        <c:axId val="41244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Market Square" pitchFamily="50" charset="0"/>
                <a:ea typeface="+mn-ea"/>
                <a:cs typeface="+mn-cs"/>
              </a:defRPr>
            </a:pPr>
            <a:endParaRPr lang="ru-RU"/>
          </a:p>
        </c:txPr>
        <c:crossAx val="412442872"/>
        <c:crosses val="autoZero"/>
        <c:auto val="1"/>
        <c:lblAlgn val="ctr"/>
        <c:lblOffset val="100"/>
        <c:noMultiLvlLbl val="0"/>
      </c:catAx>
      <c:valAx>
        <c:axId val="412442872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41244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Market Square" pitchFamily="50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MarketSquare-Regular ☞" pitchFamily="2" charset="0"/>
                <a:ea typeface="+mn-ea"/>
                <a:cs typeface="+mn-cs"/>
              </a:defRPr>
            </a:pPr>
            <a:r>
              <a:rPr lang="en-GB" sz="1800">
                <a:latin typeface="MarketSquare-Regular ☞" pitchFamily="2" charset="0"/>
              </a:rPr>
              <a:t>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MarketSquare-Regular ☞" pitchFamily="2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778762029746284"/>
          <c:y val="0.23187518226888307"/>
          <c:w val="0.39331364829396326"/>
          <c:h val="0.6555227471566054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81-4016-B2AF-D9CFF05111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81-4016-B2AF-D9CFF05111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81-4016-B2AF-D9CFF05111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81-4016-B2AF-D9CFF05111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B81-4016-B2AF-D9CFF05111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B81-4016-B2AF-D9CFF05111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B81-4016-B2AF-D9CFF05111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B81-4016-B2AF-D9CFF05111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B81-4016-B2AF-D9CFF05111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B81-4016-B2AF-D9CFF05111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B81-4016-B2AF-D9CFF05111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B81-4016-B2AF-D9CFF051116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B81-4016-B2AF-D9CFF051116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B81-4016-B2AF-D9CFF051116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B81-4016-B2AF-D9CFF051116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B81-4016-B2AF-D9CFF051116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B81-4016-B2AF-D9CFF051116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B81-4016-B2AF-D9CFF051116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B81-4016-B2AF-D9CFF051116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B81-4016-B2AF-D9CFF051116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B81-4016-B2AF-D9CFF051116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B81-4016-B2AF-D9CFF0511166}"/>
              </c:ext>
            </c:extLst>
          </c:dPt>
          <c:cat>
            <c:strRef>
              <c:f>Data!$I$40:$I$42</c:f>
              <c:strCache>
                <c:ptCount val="3"/>
                <c:pt idx="0">
                  <c:v>Adult</c:v>
                </c:pt>
                <c:pt idx="1">
                  <c:v>YA</c:v>
                </c:pt>
                <c:pt idx="2">
                  <c:v>Children's</c:v>
                </c:pt>
              </c:strCache>
            </c:strRef>
          </c:cat>
          <c:val>
            <c:numRef>
              <c:f>Data!$J$40:$J$42</c:f>
              <c:numCache>
                <c:formatCode>0</c:formatCode>
                <c:ptCount val="3"/>
                <c:pt idx="0">
                  <c:v>18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B81-4016-B2AF-D9CFF0511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88590067794044"/>
          <c:y val="0.13477726742490523"/>
          <c:w val="0.15044743265539293"/>
          <c:h val="0.8275517643627879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Market Square" pitchFamily="50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Market Square" pitchFamily="50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MarketSquare-Regular ☞" pitchFamily="2" charset="0"/>
                <a:ea typeface="+mn-ea"/>
                <a:cs typeface="+mn-cs"/>
              </a:defRPr>
            </a:pPr>
            <a:r>
              <a:rPr lang="en-GB">
                <a:latin typeface="MarketSquare-Regular ☞" pitchFamily="2" charset="0"/>
              </a:rPr>
              <a:t>Page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MarketSquare-Regular ☞" pitchFamily="2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Data!$I$46:$I$56</c:f>
              <c:strCache>
                <c:ptCount val="11"/>
                <c:pt idx="0">
                  <c:v>&lt;100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  <c:pt idx="10">
                  <c:v>&lt;1000</c:v>
                </c:pt>
              </c:strCache>
            </c:strRef>
          </c:cat>
          <c:val>
            <c:numRef>
              <c:f>Data!$J$46:$J$56</c:f>
              <c:numCache>
                <c:formatCode>0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1-4EEE-9681-8B50BEA0D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412447576"/>
        <c:axId val="412443656"/>
      </c:barChart>
      <c:catAx>
        <c:axId val="41244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Market Square" pitchFamily="50" charset="0"/>
                <a:ea typeface="+mn-ea"/>
                <a:cs typeface="+mn-cs"/>
              </a:defRPr>
            </a:pPr>
            <a:endParaRPr lang="ru-RU"/>
          </a:p>
        </c:txPr>
        <c:crossAx val="412443656"/>
        <c:crosses val="autoZero"/>
        <c:auto val="1"/>
        <c:lblAlgn val="ctr"/>
        <c:lblOffset val="100"/>
        <c:noMultiLvlLbl val="0"/>
      </c:catAx>
      <c:valAx>
        <c:axId val="412443656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41244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Market Square" pitchFamily="50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MarketSquare-Regular ☞" pitchFamily="2" charset="0"/>
                <a:ea typeface="+mn-ea"/>
                <a:cs typeface="+mn-cs"/>
              </a:defRPr>
            </a:pPr>
            <a:r>
              <a:rPr lang="en-GB">
                <a:latin typeface="MarketSquare-Regular ☞" pitchFamily="2" charset="0"/>
              </a:rPr>
              <a:t>Author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MarketSquare-Regular ☞" pitchFamily="2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778762029746284"/>
          <c:y val="0.23187518226888307"/>
          <c:w val="0.39331364829396326"/>
          <c:h val="0.6555227471566054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A0-40D0-AF65-E4AAC3EEE6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A0-40D0-AF65-E4AAC3EEE6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A0-40D0-AF65-E4AAC3EEE6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A0-40D0-AF65-E4AAC3EEE6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9A0-40D0-AF65-E4AAC3EEE6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9A0-40D0-AF65-E4AAC3EEE6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9A0-40D0-AF65-E4AAC3EEE6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9A0-40D0-AF65-E4AAC3EEE6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9A0-40D0-AF65-E4AAC3EEE6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9A0-40D0-AF65-E4AAC3EEE67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9A0-40D0-AF65-E4AAC3EEE6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9A0-40D0-AF65-E4AAC3EEE67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9A0-40D0-AF65-E4AAC3EEE6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9A0-40D0-AF65-E4AAC3EEE67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9A0-40D0-AF65-E4AAC3EEE67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9A0-40D0-AF65-E4AAC3EEE67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9A0-40D0-AF65-E4AAC3EEE67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9A0-40D0-AF65-E4AAC3EEE67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9A0-40D0-AF65-E4AAC3EEE67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9A0-40D0-AF65-E4AAC3EEE67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9A0-40D0-AF65-E4AAC3EEE67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9A0-40D0-AF65-E4AAC3EEE677}"/>
              </c:ext>
            </c:extLst>
          </c:dPt>
          <c:cat>
            <c:strRef>
              <c:f>Data!$A$62:$A$64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Non-binary</c:v>
                </c:pt>
              </c:strCache>
            </c:strRef>
          </c:cat>
          <c:val>
            <c:numRef>
              <c:f>Data!$B$62:$B$64</c:f>
              <c:numCache>
                <c:formatCode>0</c:formatCode>
                <c:ptCount val="3"/>
                <c:pt idx="0">
                  <c:v>7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9A0-40D0-AF65-E4AAC3EEE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20301609218272"/>
          <c:y val="0.1261639775648199"/>
          <c:w val="0.23500288174878614"/>
          <c:h val="0.8275517643627879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Market Square" pitchFamily="50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Market Square" pitchFamily="50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MarketSquare-Regular ☞" pitchFamily="2" charset="0"/>
                <a:ea typeface="+mn-ea"/>
                <a:cs typeface="+mn-cs"/>
              </a:defRPr>
            </a:pPr>
            <a:r>
              <a:rPr lang="en-GB">
                <a:latin typeface="MarketSquare-Regular ☞" pitchFamily="2" charset="0"/>
              </a:rPr>
              <a:t>Author nationality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MarketSquare-Regular ☞" pitchFamily="2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778762029746284"/>
          <c:y val="0.23187518226888307"/>
          <c:w val="0.39331364829396326"/>
          <c:h val="0.6555227471566054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43-428C-B7E0-0CE50EA50A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43-428C-B7E0-0CE50EA50A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43-428C-B7E0-0CE50EA50A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43-428C-B7E0-0CE50EA50A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43-428C-B7E0-0CE50EA50A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043-428C-B7E0-0CE50EA50AE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043-428C-B7E0-0CE50EA50AE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043-428C-B7E0-0CE50EA50AE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043-428C-B7E0-0CE50EA50AE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043-428C-B7E0-0CE50EA50AE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043-428C-B7E0-0CE50EA50AE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043-428C-B7E0-0CE50EA50AE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F043-428C-B7E0-0CE50EA50AE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F043-428C-B7E0-0CE50EA50AE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F043-428C-B7E0-0CE50EA50AE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043-428C-B7E0-0CE50EA50AE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F043-428C-B7E0-0CE50EA50AE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F043-428C-B7E0-0CE50EA50AE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F043-428C-B7E0-0CE50EA50AE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F043-428C-B7E0-0CE50EA50AE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F043-428C-B7E0-0CE50EA50AE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F043-428C-B7E0-0CE50EA50AE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F043-428C-B7E0-0CE50EA50AE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F043-428C-B7E0-0CE50EA50AE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F043-428C-B7E0-0CE50EA50AE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F043-428C-B7E0-0CE50EA50AE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F043-428C-B7E0-0CE50EA50AE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F043-428C-B7E0-0CE50EA50AE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F043-428C-B7E0-0CE50EA50AE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F043-428C-B7E0-0CE50EA50AE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F043-428C-B7E0-0CE50EA50AE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F043-428C-B7E0-0CE50EA50AE7}"/>
              </c:ext>
            </c:extLst>
          </c:dPt>
          <c:cat>
            <c:strRef>
              <c:f>Data!$E$62:$E$93</c:f>
              <c:strCache>
                <c:ptCount val="32"/>
                <c:pt idx="0">
                  <c:v>Argentina</c:v>
                </c:pt>
                <c:pt idx="1">
                  <c:v>Australia</c:v>
                </c:pt>
                <c:pt idx="2">
                  <c:v>Belgium</c:v>
                </c:pt>
                <c:pt idx="3">
                  <c:v>Canada</c:v>
                </c:pt>
                <c:pt idx="4">
                  <c:v>China</c:v>
                </c:pt>
                <c:pt idx="5">
                  <c:v>Congo</c:v>
                </c:pt>
                <c:pt idx="6">
                  <c:v>Denmark</c:v>
                </c:pt>
                <c:pt idx="7">
                  <c:v>Equatorial Guinea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Iceland</c:v>
                </c:pt>
                <c:pt idx="12">
                  <c:v>Israel</c:v>
                </c:pt>
                <c:pt idx="13">
                  <c:v>Japan</c:v>
                </c:pt>
                <c:pt idx="14">
                  <c:v>Mexico</c:v>
                </c:pt>
                <c:pt idx="15">
                  <c:v>Netherlands</c:v>
                </c:pt>
                <c:pt idx="16">
                  <c:v>Norway</c:v>
                </c:pt>
                <c:pt idx="17">
                  <c:v>Pakistan</c:v>
                </c:pt>
                <c:pt idx="18">
                  <c:v>Palestine</c:v>
                </c:pt>
                <c:pt idx="19">
                  <c:v>Philippines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Russia</c:v>
                </c:pt>
                <c:pt idx="24">
                  <c:v>Somalia</c:v>
                </c:pt>
                <c:pt idx="25">
                  <c:v>Sweden</c:v>
                </c:pt>
                <c:pt idx="26">
                  <c:v>Switzerland</c:v>
                </c:pt>
                <c:pt idx="27">
                  <c:v>Turkmenistan</c:v>
                </c:pt>
                <c:pt idx="28">
                  <c:v>UK</c:v>
                </c:pt>
                <c:pt idx="29">
                  <c:v>United Arab Emirates</c:v>
                </c:pt>
                <c:pt idx="30">
                  <c:v>United States</c:v>
                </c:pt>
                <c:pt idx="31">
                  <c:v>Zimbabwe</c:v>
                </c:pt>
              </c:strCache>
            </c:strRef>
          </c:cat>
          <c:val>
            <c:numRef>
              <c:f>Data!$F$62:$F$93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043-428C-B7E0-0CE50EA5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573459813586294"/>
          <c:y val="0.13477726742490523"/>
          <c:w val="0.38759873519747035"/>
          <c:h val="0.8275517643627879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Market Square" pitchFamily="50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Market Square" pitchFamily="50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7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0</xdr:col>
      <xdr:colOff>1333500</xdr:colOff>
      <xdr:row>1</xdr:row>
      <xdr:rowOff>22414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89" t="20628" r="8621" b="22414"/>
        <a:stretch/>
      </xdr:blipFill>
      <xdr:spPr>
        <a:xfrm>
          <a:off x="0" y="68581"/>
          <a:ext cx="1333500" cy="723453"/>
        </a:xfrm>
        <a:prstGeom prst="rect">
          <a:avLst/>
        </a:prstGeom>
      </xdr:spPr>
    </xdr:pic>
    <xdr:clientData/>
  </xdr:twoCellAnchor>
  <xdr:twoCellAnchor editAs="oneCell">
    <xdr:from>
      <xdr:col>0</xdr:col>
      <xdr:colOff>1226820</xdr:colOff>
      <xdr:row>0</xdr:row>
      <xdr:rowOff>19050</xdr:rowOff>
    </xdr:from>
    <xdr:to>
      <xdr:col>0</xdr:col>
      <xdr:colOff>2729865</xdr:colOff>
      <xdr:row>1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790" r="1471" b="5079"/>
        <a:stretch/>
      </xdr:blipFill>
      <xdr:spPr>
        <a:xfrm>
          <a:off x="1226820" y="19050"/>
          <a:ext cx="1531620" cy="788670"/>
        </a:xfrm>
        <a:prstGeom prst="rect">
          <a:avLst/>
        </a:prstGeom>
      </xdr:spPr>
    </xdr:pic>
    <xdr:clientData/>
  </xdr:twoCellAnchor>
  <xdr:twoCellAnchor editAs="oneCell">
    <xdr:from>
      <xdr:col>0</xdr:col>
      <xdr:colOff>2693358</xdr:colOff>
      <xdr:row>0</xdr:row>
      <xdr:rowOff>0</xdr:rowOff>
    </xdr:from>
    <xdr:to>
      <xdr:col>1</xdr:col>
      <xdr:colOff>1516380</xdr:colOff>
      <xdr:row>1</xdr:row>
      <xdr:rowOff>22860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7807" r="1623" b="1356"/>
        <a:stretch/>
      </xdr:blipFill>
      <xdr:spPr>
        <a:xfrm>
          <a:off x="2693358" y="0"/>
          <a:ext cx="1634802" cy="792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1</xdr:row>
      <xdr:rowOff>21161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3980" cy="7679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213361</xdr:rowOff>
    </xdr:from>
    <xdr:to>
      <xdr:col>0</xdr:col>
      <xdr:colOff>1813560</xdr:colOff>
      <xdr:row>1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980" r="3146"/>
        <a:stretch/>
      </xdr:blipFill>
      <xdr:spPr>
        <a:xfrm>
          <a:off x="0" y="213361"/>
          <a:ext cx="1813560" cy="5638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335281</xdr:colOff>
      <xdr:row>0</xdr:row>
      <xdr:rowOff>0</xdr:rowOff>
    </xdr:from>
    <xdr:to>
      <xdr:col>0</xdr:col>
      <xdr:colOff>859573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1" y="0"/>
          <a:ext cx="524292" cy="762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38100</xdr:rowOff>
    </xdr:from>
    <xdr:to>
      <xdr:col>1</xdr:col>
      <xdr:colOff>601980</xdr:colOff>
      <xdr:row>1</xdr:row>
      <xdr:rowOff>33591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76" t="5405" r="22093"/>
        <a:stretch/>
      </xdr:blipFill>
      <xdr:spPr>
        <a:xfrm>
          <a:off x="723900" y="38100"/>
          <a:ext cx="731520" cy="75749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7</xdr:col>
      <xdr:colOff>243840</xdr:colOff>
      <xdr:row>17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16</xdr:col>
      <xdr:colOff>0</xdr:colOff>
      <xdr:row>17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228600</xdr:colOff>
      <xdr:row>35</xdr:row>
      <xdr:rowOff>83820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609600</xdr:colOff>
      <xdr:row>35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7</xdr:col>
      <xdr:colOff>228600</xdr:colOff>
      <xdr:row>52</xdr:row>
      <xdr:rowOff>175260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16</xdr:col>
      <xdr:colOff>7620</xdr:colOff>
      <xdr:row>53</xdr:row>
      <xdr:rowOff>7620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7</xdr:col>
      <xdr:colOff>236220</xdr:colOff>
      <xdr:row>71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7</xdr:col>
      <xdr:colOff>220980</xdr:colOff>
      <xdr:row>90</xdr:row>
      <xdr:rowOff>22860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74</xdr:row>
      <xdr:rowOff>0</xdr:rowOff>
    </xdr:from>
    <xdr:to>
      <xdr:col>16</xdr:col>
      <xdr:colOff>7620</xdr:colOff>
      <xdr:row>89</xdr:row>
      <xdr:rowOff>167640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7</xdr:col>
      <xdr:colOff>228600</xdr:colOff>
      <xdr:row>107</xdr:row>
      <xdr:rowOff>22860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91</xdr:row>
      <xdr:rowOff>0</xdr:rowOff>
    </xdr:from>
    <xdr:to>
      <xdr:col>16</xdr:col>
      <xdr:colOff>0</xdr:colOff>
      <xdr:row>107</xdr:row>
      <xdr:rowOff>7620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7</xdr:col>
      <xdr:colOff>213360</xdr:colOff>
      <xdr:row>126</xdr:row>
      <xdr:rowOff>7620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110</xdr:row>
      <xdr:rowOff>0</xdr:rowOff>
    </xdr:from>
    <xdr:to>
      <xdr:col>15</xdr:col>
      <xdr:colOff>617220</xdr:colOff>
      <xdr:row>126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0</xdr:rowOff>
    </xdr:from>
    <xdr:to>
      <xdr:col>1</xdr:col>
      <xdr:colOff>944880</xdr:colOff>
      <xdr:row>1</xdr:row>
      <xdr:rowOff>102398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062" t="13281" r="16407" b="11719"/>
        <a:stretch/>
      </xdr:blipFill>
      <xdr:spPr>
        <a:xfrm>
          <a:off x="502920" y="0"/>
          <a:ext cx="914400" cy="986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Violet">
    <a:dk1>
      <a:sysClr val="windowText" lastClr="000000"/>
    </a:dk1>
    <a:lt1>
      <a:sysClr val="window" lastClr="FFFFFF"/>
    </a:lt1>
    <a:dk2>
      <a:srgbClr val="373545"/>
    </a:dk2>
    <a:lt2>
      <a:srgbClr val="DCD8DC"/>
    </a:lt2>
    <a:accent1>
      <a:srgbClr val="AD84C6"/>
    </a:accent1>
    <a:accent2>
      <a:srgbClr val="8784C7"/>
    </a:accent2>
    <a:accent3>
      <a:srgbClr val="5D739A"/>
    </a:accent3>
    <a:accent4>
      <a:srgbClr val="6997AF"/>
    </a:accent4>
    <a:accent5>
      <a:srgbClr val="84ACB6"/>
    </a:accent5>
    <a:accent6>
      <a:srgbClr val="6F8183"/>
    </a:accent6>
    <a:hlink>
      <a:srgbClr val="69A020"/>
    </a:hlink>
    <a:folHlink>
      <a:srgbClr val="8C8C8C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Violet">
    <a:dk1>
      <a:sysClr val="windowText" lastClr="000000"/>
    </a:dk1>
    <a:lt1>
      <a:sysClr val="window" lastClr="FFFFFF"/>
    </a:lt1>
    <a:dk2>
      <a:srgbClr val="373545"/>
    </a:dk2>
    <a:lt2>
      <a:srgbClr val="DCD8DC"/>
    </a:lt2>
    <a:accent1>
      <a:srgbClr val="AD84C6"/>
    </a:accent1>
    <a:accent2>
      <a:srgbClr val="8784C7"/>
    </a:accent2>
    <a:accent3>
      <a:srgbClr val="5D739A"/>
    </a:accent3>
    <a:accent4>
      <a:srgbClr val="6997AF"/>
    </a:accent4>
    <a:accent5>
      <a:srgbClr val="84ACB6"/>
    </a:accent5>
    <a:accent6>
      <a:srgbClr val="6F8183"/>
    </a:accent6>
    <a:hlink>
      <a:srgbClr val="69A020"/>
    </a:hlink>
    <a:folHlink>
      <a:srgbClr val="8C8C8C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Violet">
    <a:dk1>
      <a:sysClr val="windowText" lastClr="000000"/>
    </a:dk1>
    <a:lt1>
      <a:sysClr val="window" lastClr="FFFFFF"/>
    </a:lt1>
    <a:dk2>
      <a:srgbClr val="373545"/>
    </a:dk2>
    <a:lt2>
      <a:srgbClr val="DCD8DC"/>
    </a:lt2>
    <a:accent1>
      <a:srgbClr val="AD84C6"/>
    </a:accent1>
    <a:accent2>
      <a:srgbClr val="8784C7"/>
    </a:accent2>
    <a:accent3>
      <a:srgbClr val="5D739A"/>
    </a:accent3>
    <a:accent4>
      <a:srgbClr val="6997AF"/>
    </a:accent4>
    <a:accent5>
      <a:srgbClr val="84ACB6"/>
    </a:accent5>
    <a:accent6>
      <a:srgbClr val="6F8183"/>
    </a:accent6>
    <a:hlink>
      <a:srgbClr val="69A020"/>
    </a:hlink>
    <a:folHlink>
      <a:srgbClr val="8C8C8C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Violet">
    <a:dk1>
      <a:sysClr val="windowText" lastClr="000000"/>
    </a:dk1>
    <a:lt1>
      <a:sysClr val="window" lastClr="FFFFFF"/>
    </a:lt1>
    <a:dk2>
      <a:srgbClr val="373545"/>
    </a:dk2>
    <a:lt2>
      <a:srgbClr val="DCD8DC"/>
    </a:lt2>
    <a:accent1>
      <a:srgbClr val="AD84C6"/>
    </a:accent1>
    <a:accent2>
      <a:srgbClr val="8784C7"/>
    </a:accent2>
    <a:accent3>
      <a:srgbClr val="5D739A"/>
    </a:accent3>
    <a:accent4>
      <a:srgbClr val="6997AF"/>
    </a:accent4>
    <a:accent5>
      <a:srgbClr val="84ACB6"/>
    </a:accent5>
    <a:accent6>
      <a:srgbClr val="6F8183"/>
    </a:accent6>
    <a:hlink>
      <a:srgbClr val="69A020"/>
    </a:hlink>
    <a:folHlink>
      <a:srgbClr val="8C8C8C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Violet">
    <a:dk1>
      <a:sysClr val="windowText" lastClr="000000"/>
    </a:dk1>
    <a:lt1>
      <a:sysClr val="window" lastClr="FFFFFF"/>
    </a:lt1>
    <a:dk2>
      <a:srgbClr val="373545"/>
    </a:dk2>
    <a:lt2>
      <a:srgbClr val="DCD8DC"/>
    </a:lt2>
    <a:accent1>
      <a:srgbClr val="AD84C6"/>
    </a:accent1>
    <a:accent2>
      <a:srgbClr val="8784C7"/>
    </a:accent2>
    <a:accent3>
      <a:srgbClr val="5D739A"/>
    </a:accent3>
    <a:accent4>
      <a:srgbClr val="6997AF"/>
    </a:accent4>
    <a:accent5>
      <a:srgbClr val="84ACB6"/>
    </a:accent5>
    <a:accent6>
      <a:srgbClr val="6F8183"/>
    </a:accent6>
    <a:hlink>
      <a:srgbClr val="69A020"/>
    </a:hlink>
    <a:folHlink>
      <a:srgbClr val="8C8C8C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Violet">
    <a:dk1>
      <a:sysClr val="windowText" lastClr="000000"/>
    </a:dk1>
    <a:lt1>
      <a:sysClr val="window" lastClr="FFFFFF"/>
    </a:lt1>
    <a:dk2>
      <a:srgbClr val="373545"/>
    </a:dk2>
    <a:lt2>
      <a:srgbClr val="DCD8DC"/>
    </a:lt2>
    <a:accent1>
      <a:srgbClr val="AD84C6"/>
    </a:accent1>
    <a:accent2>
      <a:srgbClr val="8784C7"/>
    </a:accent2>
    <a:accent3>
      <a:srgbClr val="5D739A"/>
    </a:accent3>
    <a:accent4>
      <a:srgbClr val="6997AF"/>
    </a:accent4>
    <a:accent5>
      <a:srgbClr val="84ACB6"/>
    </a:accent5>
    <a:accent6>
      <a:srgbClr val="6F8183"/>
    </a:accent6>
    <a:hlink>
      <a:srgbClr val="69A020"/>
    </a:hlink>
    <a:folHlink>
      <a:srgbClr val="8C8C8C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Violet">
    <a:dk1>
      <a:sysClr val="windowText" lastClr="000000"/>
    </a:dk1>
    <a:lt1>
      <a:sysClr val="window" lastClr="FFFFFF"/>
    </a:lt1>
    <a:dk2>
      <a:srgbClr val="373545"/>
    </a:dk2>
    <a:lt2>
      <a:srgbClr val="DCD8DC"/>
    </a:lt2>
    <a:accent1>
      <a:srgbClr val="AD84C6"/>
    </a:accent1>
    <a:accent2>
      <a:srgbClr val="8784C7"/>
    </a:accent2>
    <a:accent3>
      <a:srgbClr val="5D739A"/>
    </a:accent3>
    <a:accent4>
      <a:srgbClr val="6997AF"/>
    </a:accent4>
    <a:accent5>
      <a:srgbClr val="84ACB6"/>
    </a:accent5>
    <a:accent6>
      <a:srgbClr val="6F8183"/>
    </a:accent6>
    <a:hlink>
      <a:srgbClr val="69A020"/>
    </a:hlink>
    <a:folHlink>
      <a:srgbClr val="8C8C8C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Violet">
    <a:dk1>
      <a:sysClr val="windowText" lastClr="000000"/>
    </a:dk1>
    <a:lt1>
      <a:sysClr val="window" lastClr="FFFFFF"/>
    </a:lt1>
    <a:dk2>
      <a:srgbClr val="373545"/>
    </a:dk2>
    <a:lt2>
      <a:srgbClr val="DCD8DC"/>
    </a:lt2>
    <a:accent1>
      <a:srgbClr val="AD84C6"/>
    </a:accent1>
    <a:accent2>
      <a:srgbClr val="8784C7"/>
    </a:accent2>
    <a:accent3>
      <a:srgbClr val="5D739A"/>
    </a:accent3>
    <a:accent4>
      <a:srgbClr val="6997AF"/>
    </a:accent4>
    <a:accent5>
      <a:srgbClr val="84ACB6"/>
    </a:accent5>
    <a:accent6>
      <a:srgbClr val="6F8183"/>
    </a:accent6>
    <a:hlink>
      <a:srgbClr val="69A020"/>
    </a:hlink>
    <a:folHlink>
      <a:srgbClr val="8C8C8C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Violet">
    <a:dk1>
      <a:sysClr val="windowText" lastClr="000000"/>
    </a:dk1>
    <a:lt1>
      <a:sysClr val="window" lastClr="FFFFFF"/>
    </a:lt1>
    <a:dk2>
      <a:srgbClr val="373545"/>
    </a:dk2>
    <a:lt2>
      <a:srgbClr val="DCD8DC"/>
    </a:lt2>
    <a:accent1>
      <a:srgbClr val="AD84C6"/>
    </a:accent1>
    <a:accent2>
      <a:srgbClr val="8784C7"/>
    </a:accent2>
    <a:accent3>
      <a:srgbClr val="5D739A"/>
    </a:accent3>
    <a:accent4>
      <a:srgbClr val="6997AF"/>
    </a:accent4>
    <a:accent5>
      <a:srgbClr val="84ACB6"/>
    </a:accent5>
    <a:accent6>
      <a:srgbClr val="6F8183"/>
    </a:accent6>
    <a:hlink>
      <a:srgbClr val="69A020"/>
    </a:hlink>
    <a:folHlink>
      <a:srgbClr val="8C8C8C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Violet">
    <a:dk1>
      <a:sysClr val="windowText" lastClr="000000"/>
    </a:dk1>
    <a:lt1>
      <a:sysClr val="window" lastClr="FFFFFF"/>
    </a:lt1>
    <a:dk2>
      <a:srgbClr val="373545"/>
    </a:dk2>
    <a:lt2>
      <a:srgbClr val="DCD8DC"/>
    </a:lt2>
    <a:accent1>
      <a:srgbClr val="AD84C6"/>
    </a:accent1>
    <a:accent2>
      <a:srgbClr val="8784C7"/>
    </a:accent2>
    <a:accent3>
      <a:srgbClr val="5D739A"/>
    </a:accent3>
    <a:accent4>
      <a:srgbClr val="6997AF"/>
    </a:accent4>
    <a:accent5>
      <a:srgbClr val="84ACB6"/>
    </a:accent5>
    <a:accent6>
      <a:srgbClr val="6F8183"/>
    </a:accent6>
    <a:hlink>
      <a:srgbClr val="69A020"/>
    </a:hlink>
    <a:folHlink>
      <a:srgbClr val="8C8C8C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Violet">
    <a:dk1>
      <a:sysClr val="windowText" lastClr="000000"/>
    </a:dk1>
    <a:lt1>
      <a:sysClr val="window" lastClr="FFFFFF"/>
    </a:lt1>
    <a:dk2>
      <a:srgbClr val="373545"/>
    </a:dk2>
    <a:lt2>
      <a:srgbClr val="DCD8DC"/>
    </a:lt2>
    <a:accent1>
      <a:srgbClr val="AD84C6"/>
    </a:accent1>
    <a:accent2>
      <a:srgbClr val="8784C7"/>
    </a:accent2>
    <a:accent3>
      <a:srgbClr val="5D739A"/>
    </a:accent3>
    <a:accent4>
      <a:srgbClr val="6997AF"/>
    </a:accent4>
    <a:accent5>
      <a:srgbClr val="84ACB6"/>
    </a:accent5>
    <a:accent6>
      <a:srgbClr val="6F8183"/>
    </a:accent6>
    <a:hlink>
      <a:srgbClr val="69A020"/>
    </a:hlink>
    <a:folHlink>
      <a:srgbClr val="8C8C8C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EA1F7"/>
  </sheetPr>
  <dimension ref="A1:P147"/>
  <sheetViews>
    <sheetView tabSelected="1" zoomScaleNormal="100" workbookViewId="0">
      <selection activeCell="A13" sqref="A13"/>
    </sheetView>
  </sheetViews>
  <sheetFormatPr defaultColWidth="8.77734375" defaultRowHeight="18"/>
  <cols>
    <col min="1" max="1" width="41" style="9" customWidth="1"/>
    <col min="2" max="2" width="29.33203125" style="9" customWidth="1"/>
    <col min="3" max="3" width="17.33203125" style="9" bestFit="1" customWidth="1"/>
    <col min="4" max="4" width="6" style="9" customWidth="1"/>
    <col min="5" max="5" width="9.33203125" style="9" bestFit="1" customWidth="1"/>
    <col min="6" max="6" width="11.33203125" style="9" customWidth="1"/>
    <col min="7" max="7" width="9.77734375" style="9" bestFit="1" customWidth="1"/>
    <col min="8" max="8" width="12.21875" style="9" customWidth="1"/>
    <col min="9" max="9" width="11.109375" style="9" bestFit="1" customWidth="1"/>
    <col min="10" max="10" width="10.44140625" style="9" bestFit="1" customWidth="1"/>
    <col min="11" max="11" width="0.44140625" style="17" customWidth="1"/>
    <col min="12" max="12" width="9.77734375" style="9" bestFit="1" customWidth="1"/>
    <col min="13" max="13" width="8.44140625" style="9" customWidth="1"/>
    <col min="14" max="14" width="12.109375" style="9" bestFit="1" customWidth="1"/>
    <col min="15" max="15" width="4.6640625" style="9" bestFit="1" customWidth="1"/>
    <col min="16" max="16" width="14.33203125" style="9" customWidth="1"/>
    <col min="17" max="16384" width="8.77734375" style="9"/>
  </cols>
  <sheetData>
    <row r="1" spans="1:16" ht="60.45" customHeight="1">
      <c r="A1" s="107" t="s">
        <v>251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6" ht="21.45" customHeight="1">
      <c r="A2" s="108" t="s">
        <v>0</v>
      </c>
      <c r="B2" s="108"/>
      <c r="C2" s="108"/>
      <c r="D2" s="108"/>
      <c r="E2" s="108"/>
      <c r="F2" s="108"/>
      <c r="G2" s="108"/>
      <c r="H2" s="108"/>
      <c r="I2" s="108"/>
      <c r="J2" s="108"/>
      <c r="K2" s="32"/>
      <c r="L2" s="108" t="s">
        <v>1</v>
      </c>
      <c r="M2" s="108"/>
      <c r="N2" s="108"/>
      <c r="O2" s="108"/>
      <c r="P2" s="108"/>
    </row>
    <row r="3" spans="1:16">
      <c r="A3" s="33" t="s">
        <v>2</v>
      </c>
      <c r="B3" s="33" t="s">
        <v>3</v>
      </c>
      <c r="C3" s="33" t="s">
        <v>4</v>
      </c>
      <c r="D3" s="33" t="s">
        <v>5</v>
      </c>
      <c r="E3" s="33" t="s">
        <v>6</v>
      </c>
      <c r="F3" s="33" t="s">
        <v>7</v>
      </c>
      <c r="G3" s="33" t="s">
        <v>8</v>
      </c>
      <c r="H3" s="34" t="s">
        <v>9</v>
      </c>
      <c r="I3" s="34" t="s">
        <v>10</v>
      </c>
      <c r="J3" s="33" t="s">
        <v>11</v>
      </c>
      <c r="K3" s="35"/>
      <c r="L3" s="33" t="s">
        <v>12</v>
      </c>
      <c r="M3" s="33" t="s">
        <v>13</v>
      </c>
      <c r="N3" s="33" t="s">
        <v>14</v>
      </c>
      <c r="O3" s="33" t="s">
        <v>15</v>
      </c>
      <c r="P3" s="33" t="s">
        <v>16</v>
      </c>
    </row>
    <row r="4" spans="1:16" ht="3" customHeight="1">
      <c r="A4" s="36"/>
      <c r="B4" s="36"/>
      <c r="C4" s="36"/>
      <c r="D4" s="36"/>
      <c r="E4" s="36"/>
      <c r="F4" s="36"/>
      <c r="G4" s="36"/>
      <c r="H4" s="37"/>
      <c r="I4" s="37"/>
      <c r="J4" s="36"/>
      <c r="K4" s="36"/>
      <c r="L4" s="36"/>
      <c r="M4" s="36"/>
      <c r="N4" s="36"/>
      <c r="O4" s="36"/>
      <c r="P4" s="36"/>
    </row>
    <row r="5" spans="1:16" ht="20.399999999999999">
      <c r="A5" s="43" t="s">
        <v>245</v>
      </c>
      <c r="B5" s="38" t="s">
        <v>246</v>
      </c>
      <c r="C5" s="38" t="s">
        <v>248</v>
      </c>
      <c r="D5" s="38">
        <v>416</v>
      </c>
      <c r="E5" s="38" t="s">
        <v>18</v>
      </c>
      <c r="F5" s="38" t="s">
        <v>247</v>
      </c>
      <c r="G5" s="38">
        <v>3</v>
      </c>
      <c r="H5" s="39">
        <v>43745</v>
      </c>
      <c r="I5" s="39">
        <v>43748</v>
      </c>
      <c r="J5" s="38">
        <v>2017</v>
      </c>
      <c r="K5" s="36"/>
      <c r="L5" s="38" t="s">
        <v>20</v>
      </c>
      <c r="M5" s="38" t="s">
        <v>249</v>
      </c>
      <c r="N5" s="40" t="s">
        <v>250</v>
      </c>
      <c r="O5" s="38" t="s">
        <v>23</v>
      </c>
      <c r="P5" s="38" t="s">
        <v>24</v>
      </c>
    </row>
    <row r="6" spans="1:16">
      <c r="A6" s="39" t="s">
        <v>252</v>
      </c>
      <c r="B6" s="38" t="s">
        <v>253</v>
      </c>
      <c r="C6" s="38" t="s">
        <v>257</v>
      </c>
      <c r="D6" s="38">
        <v>925</v>
      </c>
      <c r="E6" s="38" t="s">
        <v>258</v>
      </c>
      <c r="F6" s="38" t="s">
        <v>19</v>
      </c>
      <c r="G6" s="38">
        <v>3</v>
      </c>
      <c r="H6" s="39">
        <v>43739</v>
      </c>
      <c r="I6" s="39">
        <v>43760</v>
      </c>
      <c r="J6" s="38">
        <v>1983</v>
      </c>
      <c r="K6" s="36"/>
      <c r="L6" s="38" t="s">
        <v>254</v>
      </c>
      <c r="M6" s="38" t="s">
        <v>255</v>
      </c>
      <c r="N6" s="40" t="s">
        <v>256</v>
      </c>
      <c r="O6" s="38" t="s">
        <v>23</v>
      </c>
      <c r="P6" s="38" t="s">
        <v>24</v>
      </c>
    </row>
    <row r="7" spans="1:16" s="101" customFormat="1">
      <c r="A7" s="39" t="s">
        <v>259</v>
      </c>
      <c r="B7" s="38" t="s">
        <v>260</v>
      </c>
      <c r="C7" s="38" t="s">
        <v>261</v>
      </c>
      <c r="D7" s="38">
        <v>112</v>
      </c>
      <c r="E7" s="38" t="s">
        <v>258</v>
      </c>
      <c r="F7" s="38" t="s">
        <v>33</v>
      </c>
      <c r="G7" s="38">
        <v>4</v>
      </c>
      <c r="H7" s="39">
        <v>43747</v>
      </c>
      <c r="I7" s="39">
        <v>43752</v>
      </c>
      <c r="J7" s="38">
        <v>2019</v>
      </c>
      <c r="K7" s="36"/>
      <c r="L7" s="38" t="s">
        <v>28</v>
      </c>
      <c r="M7" s="38" t="s">
        <v>262</v>
      </c>
      <c r="N7" s="40" t="s">
        <v>35</v>
      </c>
      <c r="O7" s="38" t="s">
        <v>263</v>
      </c>
      <c r="P7" s="38" t="s">
        <v>264</v>
      </c>
    </row>
    <row r="8" spans="1:16" s="101" customFormat="1" ht="19.2">
      <c r="A8" s="102" t="s">
        <v>265</v>
      </c>
      <c r="B8" s="102" t="s">
        <v>277</v>
      </c>
      <c r="C8" s="38" t="s">
        <v>266</v>
      </c>
      <c r="D8" s="38">
        <v>471</v>
      </c>
      <c r="E8" s="38" t="s">
        <v>18</v>
      </c>
      <c r="F8" s="38" t="s">
        <v>247</v>
      </c>
      <c r="G8" s="38">
        <v>3</v>
      </c>
      <c r="H8" s="39">
        <v>43595</v>
      </c>
      <c r="I8" s="39">
        <v>43756</v>
      </c>
      <c r="J8" s="38">
        <v>2017</v>
      </c>
      <c r="K8" s="36"/>
      <c r="L8" s="38" t="s">
        <v>20</v>
      </c>
      <c r="M8" s="38" t="s">
        <v>179</v>
      </c>
      <c r="N8" s="40" t="s">
        <v>35</v>
      </c>
      <c r="O8" s="38" t="s">
        <v>263</v>
      </c>
      <c r="P8" s="38" t="s">
        <v>42</v>
      </c>
    </row>
    <row r="9" spans="1:16" s="101" customFormat="1">
      <c r="A9" s="39" t="s">
        <v>278</v>
      </c>
      <c r="B9" s="40" t="s">
        <v>279</v>
      </c>
      <c r="C9" s="40" t="s">
        <v>280</v>
      </c>
      <c r="D9" s="38">
        <v>462</v>
      </c>
      <c r="E9" s="38" t="s">
        <v>258</v>
      </c>
      <c r="F9" s="38" t="s">
        <v>247</v>
      </c>
      <c r="G9" s="40">
        <v>3</v>
      </c>
      <c r="H9" s="39">
        <v>43760</v>
      </c>
      <c r="I9" s="39">
        <v>43764</v>
      </c>
      <c r="J9" s="38">
        <v>2017</v>
      </c>
      <c r="K9" s="36"/>
      <c r="L9" s="38" t="s">
        <v>281</v>
      </c>
      <c r="M9" s="38" t="s">
        <v>282</v>
      </c>
      <c r="N9" s="40" t="s">
        <v>256</v>
      </c>
      <c r="O9" s="38" t="s">
        <v>263</v>
      </c>
      <c r="P9" s="38" t="s">
        <v>24</v>
      </c>
    </row>
    <row r="10" spans="1:16" s="101" customFormat="1">
      <c r="A10" s="39" t="s">
        <v>284</v>
      </c>
      <c r="B10" s="40" t="s">
        <v>283</v>
      </c>
      <c r="C10" s="40" t="s">
        <v>285</v>
      </c>
      <c r="D10" s="38">
        <v>448</v>
      </c>
      <c r="E10" s="38" t="s">
        <v>258</v>
      </c>
      <c r="F10" s="38" t="s">
        <v>247</v>
      </c>
      <c r="G10" s="40">
        <v>4</v>
      </c>
      <c r="H10" s="39">
        <v>43764</v>
      </c>
      <c r="I10" s="41">
        <v>43767</v>
      </c>
      <c r="J10" s="38">
        <v>2018</v>
      </c>
      <c r="K10" s="36"/>
      <c r="L10" s="38" t="s">
        <v>281</v>
      </c>
      <c r="M10" s="38" t="s">
        <v>282</v>
      </c>
      <c r="N10" s="38" t="s">
        <v>256</v>
      </c>
      <c r="O10" s="38" t="s">
        <v>23</v>
      </c>
      <c r="P10" s="38" t="s">
        <v>24</v>
      </c>
    </row>
    <row r="11" spans="1:16" s="101" customFormat="1">
      <c r="A11" s="50" t="s">
        <v>287</v>
      </c>
      <c r="B11" s="40" t="s">
        <v>288</v>
      </c>
      <c r="C11" s="40" t="s">
        <v>289</v>
      </c>
      <c r="D11" s="38">
        <v>346</v>
      </c>
      <c r="E11" s="38" t="s">
        <v>292</v>
      </c>
      <c r="F11" s="38" t="s">
        <v>272</v>
      </c>
      <c r="G11" s="40">
        <v>5</v>
      </c>
      <c r="H11" s="39">
        <v>43766</v>
      </c>
      <c r="I11" s="41">
        <v>43771</v>
      </c>
      <c r="J11" s="38">
        <v>1997</v>
      </c>
      <c r="K11" s="36"/>
      <c r="L11" s="38" t="s">
        <v>281</v>
      </c>
      <c r="M11" s="38" t="s">
        <v>290</v>
      </c>
      <c r="N11" s="38" t="s">
        <v>250</v>
      </c>
      <c r="O11" s="38" t="s">
        <v>23</v>
      </c>
      <c r="P11" s="38" t="s">
        <v>291</v>
      </c>
    </row>
    <row r="12" spans="1:16" s="101" customFormat="1">
      <c r="A12" s="39" t="s">
        <v>297</v>
      </c>
      <c r="B12" s="40" t="s">
        <v>296</v>
      </c>
      <c r="C12" s="40" t="s">
        <v>289</v>
      </c>
      <c r="D12" s="38">
        <v>324</v>
      </c>
      <c r="E12" s="38" t="s">
        <v>258</v>
      </c>
      <c r="F12" s="38" t="s">
        <v>247</v>
      </c>
      <c r="G12" s="40">
        <v>4</v>
      </c>
      <c r="H12" s="39">
        <v>43770</v>
      </c>
      <c r="I12" s="41">
        <v>43774</v>
      </c>
      <c r="J12" s="38">
        <v>2013</v>
      </c>
      <c r="K12" s="36"/>
      <c r="L12" s="38" t="s">
        <v>281</v>
      </c>
      <c r="M12" s="38" t="s">
        <v>282</v>
      </c>
      <c r="N12" s="40" t="s">
        <v>256</v>
      </c>
      <c r="O12" s="38" t="s">
        <v>263</v>
      </c>
      <c r="P12" s="38" t="s">
        <v>37</v>
      </c>
    </row>
    <row r="13" spans="1:16" s="101" customFormat="1">
      <c r="A13" s="50" t="s">
        <v>298</v>
      </c>
      <c r="B13" s="40" t="s">
        <v>288</v>
      </c>
      <c r="C13" s="40" t="s">
        <v>289</v>
      </c>
      <c r="D13" s="38">
        <v>365</v>
      </c>
      <c r="E13" s="38" t="s">
        <v>32</v>
      </c>
      <c r="F13" s="38" t="s">
        <v>272</v>
      </c>
      <c r="G13" s="40">
        <v>4</v>
      </c>
      <c r="H13" s="39">
        <v>43772</v>
      </c>
      <c r="I13" s="41">
        <v>43783</v>
      </c>
      <c r="J13" s="38">
        <v>1998</v>
      </c>
      <c r="K13" s="36"/>
      <c r="L13" s="38" t="s">
        <v>281</v>
      </c>
      <c r="M13" s="38" t="s">
        <v>290</v>
      </c>
      <c r="N13" s="40" t="s">
        <v>250</v>
      </c>
      <c r="O13" s="38" t="s">
        <v>263</v>
      </c>
      <c r="P13" s="38" t="s">
        <v>42</v>
      </c>
    </row>
    <row r="14" spans="1:16" s="101" customFormat="1">
      <c r="A14" s="39" t="s">
        <v>299</v>
      </c>
      <c r="B14" s="40" t="s">
        <v>300</v>
      </c>
      <c r="C14" s="40" t="s">
        <v>301</v>
      </c>
      <c r="D14" s="38">
        <v>560</v>
      </c>
      <c r="E14" s="38" t="s">
        <v>18</v>
      </c>
      <c r="F14" s="38" t="s">
        <v>247</v>
      </c>
      <c r="G14" s="40">
        <v>3</v>
      </c>
      <c r="H14" s="39">
        <v>43773</v>
      </c>
      <c r="I14" s="41">
        <v>43777</v>
      </c>
      <c r="J14" s="38">
        <v>1992</v>
      </c>
      <c r="K14" s="36"/>
      <c r="L14" s="38" t="s">
        <v>20</v>
      </c>
      <c r="M14" s="38" t="s">
        <v>302</v>
      </c>
      <c r="N14" s="40" t="s">
        <v>35</v>
      </c>
      <c r="O14" s="38" t="s">
        <v>263</v>
      </c>
      <c r="P14" s="38" t="s">
        <v>24</v>
      </c>
    </row>
    <row r="15" spans="1:16" s="101" customFormat="1">
      <c r="A15" s="50" t="s">
        <v>303</v>
      </c>
      <c r="B15" s="40" t="s">
        <v>304</v>
      </c>
      <c r="C15" s="40" t="s">
        <v>305</v>
      </c>
      <c r="D15" s="58">
        <v>504</v>
      </c>
      <c r="E15" s="38" t="s">
        <v>258</v>
      </c>
      <c r="F15" s="38" t="s">
        <v>272</v>
      </c>
      <c r="G15" s="40">
        <v>3</v>
      </c>
      <c r="H15" s="39">
        <v>43777</v>
      </c>
      <c r="I15" s="41">
        <v>43787</v>
      </c>
      <c r="J15" s="38">
        <v>1990</v>
      </c>
      <c r="K15" s="36"/>
      <c r="L15" s="38" t="s">
        <v>281</v>
      </c>
      <c r="M15" s="38" t="s">
        <v>290</v>
      </c>
      <c r="N15" s="40" t="s">
        <v>250</v>
      </c>
      <c r="O15" s="38" t="s">
        <v>23</v>
      </c>
      <c r="P15" s="38" t="s">
        <v>291</v>
      </c>
    </row>
    <row r="16" spans="1:16" s="101" customFormat="1">
      <c r="A16" s="39" t="s">
        <v>306</v>
      </c>
      <c r="B16" s="40" t="s">
        <v>307</v>
      </c>
      <c r="C16" s="40" t="s">
        <v>308</v>
      </c>
      <c r="D16" s="38"/>
      <c r="E16" s="38" t="s">
        <v>258</v>
      </c>
      <c r="F16" s="38" t="s">
        <v>309</v>
      </c>
      <c r="G16" s="40">
        <v>3</v>
      </c>
      <c r="H16" s="39">
        <v>43779</v>
      </c>
      <c r="I16" s="41">
        <v>43786</v>
      </c>
      <c r="J16" s="38">
        <v>2018</v>
      </c>
      <c r="K16" s="36"/>
      <c r="L16" s="38" t="s">
        <v>281</v>
      </c>
      <c r="M16" s="38" t="s">
        <v>282</v>
      </c>
      <c r="N16" s="40" t="s">
        <v>256</v>
      </c>
      <c r="O16" s="38" t="s">
        <v>23</v>
      </c>
      <c r="P16" s="38" t="s">
        <v>291</v>
      </c>
    </row>
    <row r="17" spans="1:16" s="101" customFormat="1">
      <c r="A17" s="39" t="s">
        <v>313</v>
      </c>
      <c r="B17" s="40" t="s">
        <v>314</v>
      </c>
      <c r="C17" s="40" t="s">
        <v>261</v>
      </c>
      <c r="D17" s="40">
        <v>402</v>
      </c>
      <c r="E17" s="38" t="s">
        <v>258</v>
      </c>
      <c r="F17" s="38" t="s">
        <v>247</v>
      </c>
      <c r="G17" s="40">
        <v>3</v>
      </c>
      <c r="H17" s="39">
        <v>43784</v>
      </c>
      <c r="I17" s="39">
        <v>43787</v>
      </c>
      <c r="J17" s="38">
        <v>2019</v>
      </c>
      <c r="K17" s="36"/>
      <c r="L17" s="38" t="s">
        <v>254</v>
      </c>
      <c r="M17" s="38" t="s">
        <v>282</v>
      </c>
      <c r="N17" s="38" t="s">
        <v>256</v>
      </c>
      <c r="O17" s="38" t="s">
        <v>263</v>
      </c>
      <c r="P17" s="38" t="s">
        <v>264</v>
      </c>
    </row>
    <row r="18" spans="1:16" s="101" customFormat="1">
      <c r="A18" s="39" t="s">
        <v>315</v>
      </c>
      <c r="B18" s="40" t="s">
        <v>316</v>
      </c>
      <c r="C18" s="40" t="s">
        <v>289</v>
      </c>
      <c r="D18" s="105">
        <v>100</v>
      </c>
      <c r="E18" s="38" t="s">
        <v>292</v>
      </c>
      <c r="F18" s="38" t="s">
        <v>272</v>
      </c>
      <c r="G18" s="40">
        <v>5</v>
      </c>
      <c r="H18" s="39">
        <v>43785</v>
      </c>
      <c r="I18" s="41">
        <v>43807</v>
      </c>
      <c r="J18" s="105">
        <v>1940</v>
      </c>
      <c r="K18" s="36"/>
      <c r="L18" s="38" t="s">
        <v>281</v>
      </c>
      <c r="M18" s="38" t="s">
        <v>290</v>
      </c>
      <c r="N18" s="38" t="s">
        <v>250</v>
      </c>
      <c r="O18" s="38" t="s">
        <v>263</v>
      </c>
      <c r="P18" s="38" t="s">
        <v>42</v>
      </c>
    </row>
    <row r="19" spans="1:16" s="101" customFormat="1">
      <c r="A19" s="39" t="s">
        <v>317</v>
      </c>
      <c r="B19" s="40" t="s">
        <v>318</v>
      </c>
      <c r="C19" s="40" t="s">
        <v>289</v>
      </c>
      <c r="D19" s="38">
        <v>352</v>
      </c>
      <c r="E19" s="38" t="s">
        <v>258</v>
      </c>
      <c r="F19" s="38" t="s">
        <v>247</v>
      </c>
      <c r="G19" s="40">
        <v>5</v>
      </c>
      <c r="H19" s="39">
        <v>43788</v>
      </c>
      <c r="I19" s="41">
        <v>43791</v>
      </c>
      <c r="J19" s="38">
        <v>2018</v>
      </c>
      <c r="K19" s="36"/>
      <c r="L19" s="38" t="s">
        <v>281</v>
      </c>
      <c r="M19" s="38" t="s">
        <v>282</v>
      </c>
      <c r="N19" s="40" t="s">
        <v>256</v>
      </c>
      <c r="O19" s="38" t="s">
        <v>263</v>
      </c>
      <c r="P19" s="38" t="s">
        <v>291</v>
      </c>
    </row>
    <row r="20" spans="1:16" s="101" customFormat="1">
      <c r="A20" s="39" t="s">
        <v>321</v>
      </c>
      <c r="B20" s="40" t="s">
        <v>319</v>
      </c>
      <c r="C20" s="40" t="s">
        <v>320</v>
      </c>
      <c r="D20" s="40"/>
      <c r="E20" s="38" t="s">
        <v>258</v>
      </c>
      <c r="F20" s="38" t="s">
        <v>309</v>
      </c>
      <c r="G20" s="40">
        <v>4</v>
      </c>
      <c r="H20" s="39">
        <v>43786</v>
      </c>
      <c r="I20" s="41">
        <v>43790</v>
      </c>
      <c r="J20" s="38">
        <v>2017</v>
      </c>
      <c r="K20" s="36"/>
      <c r="L20" s="38" t="s">
        <v>254</v>
      </c>
      <c r="M20" s="38" t="s">
        <v>282</v>
      </c>
      <c r="N20" s="40" t="s">
        <v>256</v>
      </c>
      <c r="O20" s="38" t="s">
        <v>23</v>
      </c>
      <c r="P20" s="38" t="s">
        <v>291</v>
      </c>
    </row>
    <row r="21" spans="1:16" s="101" customFormat="1">
      <c r="A21" s="50" t="s">
        <v>324</v>
      </c>
      <c r="B21" s="40" t="s">
        <v>325</v>
      </c>
      <c r="C21" s="40" t="s">
        <v>257</v>
      </c>
      <c r="D21" s="38">
        <v>355</v>
      </c>
      <c r="E21" s="38" t="s">
        <v>258</v>
      </c>
      <c r="F21" s="38" t="s">
        <v>272</v>
      </c>
      <c r="G21" s="105"/>
      <c r="H21" s="39">
        <v>43791</v>
      </c>
      <c r="I21" s="104"/>
      <c r="J21" s="38">
        <v>1993</v>
      </c>
      <c r="K21" s="36"/>
      <c r="L21" s="38" t="s">
        <v>281</v>
      </c>
      <c r="M21" s="38" t="s">
        <v>282</v>
      </c>
      <c r="N21" s="40" t="s">
        <v>256</v>
      </c>
      <c r="O21" s="38" t="s">
        <v>263</v>
      </c>
      <c r="P21" s="38" t="s">
        <v>291</v>
      </c>
    </row>
    <row r="22" spans="1:16" s="106" customFormat="1">
      <c r="A22" s="41" t="s">
        <v>328</v>
      </c>
      <c r="B22" s="40" t="s">
        <v>326</v>
      </c>
      <c r="C22" s="40" t="s">
        <v>261</v>
      </c>
      <c r="D22" s="40">
        <v>497</v>
      </c>
      <c r="E22" s="40" t="s">
        <v>258</v>
      </c>
      <c r="F22" s="40" t="s">
        <v>327</v>
      </c>
      <c r="G22" s="40">
        <v>5</v>
      </c>
      <c r="H22" s="41">
        <v>43793</v>
      </c>
      <c r="I22" s="41">
        <v>43812</v>
      </c>
      <c r="J22" s="40">
        <v>2019</v>
      </c>
      <c r="K22" s="40"/>
      <c r="L22" s="40" t="s">
        <v>254</v>
      </c>
      <c r="M22" s="40" t="s">
        <v>329</v>
      </c>
      <c r="N22" s="40" t="s">
        <v>250</v>
      </c>
      <c r="O22" s="40" t="s">
        <v>263</v>
      </c>
      <c r="P22" s="40" t="s">
        <v>291</v>
      </c>
    </row>
    <row r="23" spans="1:16" s="101" customFormat="1">
      <c r="A23" s="39" t="s">
        <v>333</v>
      </c>
      <c r="B23" s="40" t="s">
        <v>334</v>
      </c>
      <c r="C23" s="40" t="s">
        <v>308</v>
      </c>
      <c r="D23" s="38"/>
      <c r="E23" s="38" t="s">
        <v>258</v>
      </c>
      <c r="F23" s="38" t="s">
        <v>309</v>
      </c>
      <c r="G23" s="40">
        <v>5</v>
      </c>
      <c r="H23" s="39">
        <v>43800</v>
      </c>
      <c r="I23" s="41">
        <v>43802</v>
      </c>
      <c r="J23" s="38">
        <v>2018</v>
      </c>
      <c r="K23" s="36"/>
      <c r="L23" s="38" t="s">
        <v>281</v>
      </c>
      <c r="M23" s="38" t="s">
        <v>290</v>
      </c>
      <c r="N23" s="40" t="s">
        <v>250</v>
      </c>
      <c r="O23" s="38" t="s">
        <v>263</v>
      </c>
      <c r="P23" s="38" t="s">
        <v>291</v>
      </c>
    </row>
    <row r="24" spans="1:16" s="101" customFormat="1">
      <c r="A24" s="39" t="s">
        <v>335</v>
      </c>
      <c r="B24" s="40" t="s">
        <v>334</v>
      </c>
      <c r="C24" s="40" t="s">
        <v>308</v>
      </c>
      <c r="D24" s="40"/>
      <c r="E24" s="38" t="s">
        <v>258</v>
      </c>
      <c r="F24" s="38" t="s">
        <v>309</v>
      </c>
      <c r="G24" s="40">
        <v>3</v>
      </c>
      <c r="H24" s="41">
        <v>43805</v>
      </c>
      <c r="I24" s="41">
        <v>43807</v>
      </c>
      <c r="J24" s="38">
        <v>2015</v>
      </c>
      <c r="K24" s="36"/>
      <c r="L24" s="38" t="s">
        <v>281</v>
      </c>
      <c r="M24" s="38" t="s">
        <v>290</v>
      </c>
      <c r="N24" s="40" t="s">
        <v>250</v>
      </c>
      <c r="O24" s="38" t="s">
        <v>263</v>
      </c>
      <c r="P24" s="38" t="s">
        <v>291</v>
      </c>
    </row>
    <row r="25" spans="1:16" s="101" customFormat="1">
      <c r="A25" s="50" t="s">
        <v>337</v>
      </c>
      <c r="B25" s="40" t="s">
        <v>338</v>
      </c>
      <c r="C25" s="40" t="s">
        <v>289</v>
      </c>
      <c r="D25" s="38">
        <v>440</v>
      </c>
      <c r="E25" s="38" t="s">
        <v>292</v>
      </c>
      <c r="F25" s="38" t="s">
        <v>327</v>
      </c>
      <c r="G25" s="105"/>
      <c r="H25" s="39">
        <v>43807</v>
      </c>
      <c r="I25" s="104"/>
      <c r="J25" s="38">
        <v>2019</v>
      </c>
      <c r="K25" s="36"/>
      <c r="L25" s="38" t="s">
        <v>281</v>
      </c>
      <c r="M25" s="38" t="s">
        <v>290</v>
      </c>
      <c r="N25" s="38" t="s">
        <v>250</v>
      </c>
      <c r="O25" s="38" t="s">
        <v>263</v>
      </c>
      <c r="P25" s="38" t="s">
        <v>291</v>
      </c>
    </row>
    <row r="26" spans="1:16" s="101" customFormat="1">
      <c r="A26" s="40" t="s">
        <v>339</v>
      </c>
      <c r="B26" s="40" t="s">
        <v>340</v>
      </c>
      <c r="C26" s="40" t="s">
        <v>308</v>
      </c>
      <c r="D26" s="38"/>
      <c r="E26" s="38" t="s">
        <v>258</v>
      </c>
      <c r="F26" s="38" t="s">
        <v>309</v>
      </c>
      <c r="G26" s="40">
        <v>2</v>
      </c>
      <c r="H26" s="39">
        <v>43809</v>
      </c>
      <c r="I26" s="39">
        <v>43810</v>
      </c>
      <c r="J26" s="38">
        <v>2019</v>
      </c>
      <c r="K26" s="36"/>
      <c r="L26" s="38" t="s">
        <v>281</v>
      </c>
      <c r="M26" s="38" t="s">
        <v>282</v>
      </c>
      <c r="N26" s="40" t="s">
        <v>256</v>
      </c>
      <c r="O26" s="38" t="s">
        <v>263</v>
      </c>
      <c r="P26" s="38" t="s">
        <v>291</v>
      </c>
    </row>
    <row r="27" spans="1:16">
      <c r="A27" s="100"/>
      <c r="B27" s="100"/>
      <c r="C27" s="100"/>
      <c r="D27" s="98"/>
      <c r="E27" s="98"/>
      <c r="F27" s="98"/>
      <c r="G27" s="100"/>
      <c r="H27" s="39"/>
      <c r="I27" s="39"/>
      <c r="J27" s="98"/>
      <c r="K27" s="99"/>
      <c r="L27" s="98"/>
      <c r="M27" s="98"/>
      <c r="N27" s="98"/>
      <c r="O27" s="98"/>
      <c r="P27" s="98"/>
    </row>
    <row r="28" spans="1:16">
      <c r="A28" s="40"/>
      <c r="B28" s="40"/>
      <c r="C28" s="40"/>
      <c r="D28" s="40"/>
      <c r="E28" s="40"/>
      <c r="F28" s="40"/>
      <c r="G28" s="40"/>
      <c r="H28" s="41"/>
      <c r="I28" s="41"/>
      <c r="J28" s="38"/>
      <c r="K28" s="36"/>
      <c r="L28" s="38"/>
      <c r="M28" s="38"/>
      <c r="N28" s="38"/>
      <c r="O28" s="38"/>
      <c r="P28" s="38"/>
    </row>
    <row r="29" spans="1:16">
      <c r="A29" s="40"/>
      <c r="B29" s="40"/>
      <c r="C29" s="40"/>
      <c r="D29" s="40"/>
      <c r="E29" s="40"/>
      <c r="F29" s="40"/>
      <c r="G29" s="40"/>
      <c r="H29" s="41"/>
      <c r="I29" s="41"/>
      <c r="J29" s="38"/>
      <c r="K29" s="36"/>
      <c r="L29" s="38"/>
      <c r="M29" s="38"/>
      <c r="N29" s="38"/>
      <c r="O29" s="38"/>
      <c r="P29" s="38"/>
    </row>
    <row r="30" spans="1:16">
      <c r="A30" s="40"/>
      <c r="B30" s="40"/>
      <c r="C30" s="40"/>
      <c r="D30" s="40"/>
      <c r="E30" s="40"/>
      <c r="F30" s="40"/>
      <c r="G30" s="40"/>
      <c r="H30" s="41"/>
      <c r="I30" s="41"/>
      <c r="J30" s="38"/>
      <c r="K30" s="36"/>
      <c r="L30" s="38"/>
      <c r="M30" s="38"/>
      <c r="N30" s="38"/>
      <c r="O30" s="38"/>
      <c r="P30" s="38"/>
    </row>
    <row r="31" spans="1:16">
      <c r="A31" s="40"/>
      <c r="B31" s="40"/>
      <c r="C31" s="40"/>
      <c r="D31" s="40"/>
      <c r="E31" s="40"/>
      <c r="F31" s="40"/>
      <c r="G31" s="40"/>
      <c r="H31" s="41"/>
      <c r="I31" s="41"/>
      <c r="J31" s="38"/>
      <c r="K31" s="36"/>
      <c r="L31" s="38"/>
      <c r="M31" s="38"/>
      <c r="N31" s="38"/>
      <c r="O31" s="38"/>
      <c r="P31" s="38"/>
    </row>
    <row r="32" spans="1:16">
      <c r="A32" s="40"/>
      <c r="B32" s="40"/>
      <c r="C32" s="40"/>
      <c r="D32" s="40"/>
      <c r="E32" s="40"/>
      <c r="F32" s="40"/>
      <c r="G32" s="40"/>
      <c r="H32" s="41"/>
      <c r="I32" s="41"/>
      <c r="J32" s="38"/>
      <c r="K32" s="36"/>
      <c r="L32" s="38"/>
      <c r="M32" s="38"/>
      <c r="N32" s="38"/>
      <c r="O32" s="38"/>
      <c r="P32" s="38"/>
    </row>
    <row r="33" spans="1:16">
      <c r="A33" s="40"/>
      <c r="B33" s="40"/>
      <c r="C33" s="40"/>
      <c r="D33" s="40"/>
      <c r="E33" s="40"/>
      <c r="F33" s="40"/>
      <c r="G33" s="40"/>
      <c r="H33" s="41"/>
      <c r="I33" s="41"/>
      <c r="J33" s="38"/>
      <c r="K33" s="36"/>
      <c r="L33" s="38"/>
      <c r="M33" s="38"/>
      <c r="N33" s="38"/>
      <c r="O33" s="38"/>
      <c r="P33" s="38"/>
    </row>
    <row r="34" spans="1:16">
      <c r="A34" s="40"/>
      <c r="B34" s="40"/>
      <c r="C34" s="40"/>
      <c r="D34" s="40"/>
      <c r="E34" s="40"/>
      <c r="F34" s="40"/>
      <c r="G34" s="40"/>
      <c r="H34" s="41"/>
      <c r="I34" s="41"/>
      <c r="J34" s="38"/>
      <c r="K34" s="36"/>
      <c r="L34" s="38"/>
      <c r="M34" s="38"/>
      <c r="N34" s="38"/>
      <c r="O34" s="38"/>
      <c r="P34" s="38"/>
    </row>
    <row r="35" spans="1:16">
      <c r="A35" s="40"/>
      <c r="B35" s="40"/>
      <c r="C35" s="40"/>
      <c r="D35" s="40"/>
      <c r="E35" s="40"/>
      <c r="F35" s="40"/>
      <c r="G35" s="40"/>
      <c r="H35" s="41"/>
      <c r="I35" s="41"/>
      <c r="J35" s="38"/>
      <c r="K35" s="36"/>
      <c r="L35" s="38"/>
      <c r="M35" s="38"/>
      <c r="N35" s="38"/>
      <c r="O35" s="38"/>
      <c r="P35" s="38"/>
    </row>
    <row r="36" spans="1:16">
      <c r="A36" s="40"/>
      <c r="B36" s="40"/>
      <c r="C36" s="40"/>
      <c r="D36" s="40"/>
      <c r="E36" s="40"/>
      <c r="F36" s="40"/>
      <c r="G36" s="40"/>
      <c r="H36" s="41"/>
      <c r="I36" s="41"/>
      <c r="J36" s="38"/>
      <c r="K36" s="36"/>
      <c r="L36" s="38"/>
      <c r="M36" s="38"/>
      <c r="N36" s="38"/>
      <c r="O36" s="38"/>
      <c r="P36" s="38"/>
    </row>
    <row r="37" spans="1:16">
      <c r="A37" s="42"/>
      <c r="B37" s="40"/>
      <c r="C37" s="40"/>
      <c r="D37" s="40"/>
      <c r="E37" s="40"/>
      <c r="F37" s="40"/>
      <c r="G37" s="40"/>
      <c r="H37" s="41"/>
      <c r="I37" s="39"/>
      <c r="J37" s="38"/>
      <c r="K37" s="36"/>
      <c r="L37" s="38"/>
      <c r="M37" s="38"/>
      <c r="N37" s="38"/>
      <c r="O37" s="38"/>
      <c r="P37" s="38"/>
    </row>
    <row r="38" spans="1:16">
      <c r="A38" s="40"/>
      <c r="B38" s="40"/>
      <c r="C38" s="40"/>
      <c r="D38" s="40"/>
      <c r="E38" s="40"/>
      <c r="F38" s="40"/>
      <c r="G38" s="40"/>
      <c r="H38" s="41"/>
      <c r="I38" s="39"/>
      <c r="J38" s="38"/>
      <c r="K38" s="36"/>
      <c r="L38" s="38"/>
      <c r="M38" s="38"/>
      <c r="N38" s="38"/>
      <c r="O38" s="38"/>
      <c r="P38" s="38"/>
    </row>
    <row r="39" spans="1:16">
      <c r="A39" s="40"/>
      <c r="B39" s="40"/>
      <c r="C39" s="40"/>
      <c r="D39" s="40"/>
      <c r="E39" s="40"/>
      <c r="F39" s="40"/>
      <c r="G39" s="40"/>
      <c r="H39" s="41"/>
      <c r="I39" s="39"/>
      <c r="J39" s="38"/>
      <c r="K39" s="36"/>
      <c r="L39" s="38"/>
      <c r="M39" s="38"/>
      <c r="N39" s="38"/>
      <c r="O39" s="38"/>
      <c r="P39" s="38"/>
    </row>
    <row r="40" spans="1:16">
      <c r="A40" s="40"/>
      <c r="B40" s="40"/>
      <c r="C40" s="40"/>
      <c r="D40" s="40"/>
      <c r="E40" s="40"/>
      <c r="F40" s="40"/>
      <c r="G40" s="40"/>
      <c r="H40" s="41"/>
      <c r="I40" s="39"/>
      <c r="J40" s="38"/>
      <c r="K40" s="36"/>
      <c r="L40" s="38"/>
      <c r="M40" s="38"/>
      <c r="N40" s="38"/>
      <c r="O40" s="38"/>
      <c r="P40" s="38"/>
    </row>
    <row r="41" spans="1:16">
      <c r="A41" s="40"/>
      <c r="B41" s="40"/>
      <c r="C41" s="40"/>
      <c r="D41" s="40"/>
      <c r="E41" s="40"/>
      <c r="F41" s="40"/>
      <c r="G41" s="40"/>
      <c r="H41" s="41"/>
      <c r="I41" s="39"/>
      <c r="J41" s="38"/>
      <c r="K41" s="36"/>
      <c r="L41" s="38"/>
      <c r="M41" s="38"/>
      <c r="N41" s="38"/>
      <c r="O41" s="38"/>
      <c r="P41" s="38"/>
    </row>
    <row r="42" spans="1:16">
      <c r="A42" s="40"/>
      <c r="B42" s="40"/>
      <c r="C42" s="40"/>
      <c r="D42" s="40"/>
      <c r="E42" s="40"/>
      <c r="F42" s="40"/>
      <c r="G42" s="40"/>
      <c r="H42" s="41"/>
      <c r="I42" s="41"/>
      <c r="J42" s="38"/>
      <c r="K42" s="36"/>
      <c r="L42" s="38"/>
      <c r="M42" s="38"/>
      <c r="N42" s="38"/>
      <c r="O42" s="38"/>
      <c r="P42" s="38"/>
    </row>
    <row r="43" spans="1:16">
      <c r="A43" s="40"/>
      <c r="B43" s="40"/>
      <c r="C43" s="40"/>
      <c r="D43" s="40"/>
      <c r="E43" s="40"/>
      <c r="F43" s="40"/>
      <c r="G43" s="40"/>
      <c r="H43" s="41"/>
      <c r="I43" s="41"/>
      <c r="J43" s="38"/>
      <c r="K43" s="36"/>
      <c r="L43" s="38"/>
      <c r="M43" s="38"/>
      <c r="N43" s="38"/>
      <c r="O43" s="38"/>
      <c r="P43" s="38"/>
    </row>
    <row r="44" spans="1:16">
      <c r="A44" s="40"/>
      <c r="B44" s="40"/>
      <c r="C44" s="40"/>
      <c r="D44" s="40"/>
      <c r="E44" s="40"/>
      <c r="F44" s="40"/>
      <c r="G44" s="40"/>
      <c r="H44" s="41"/>
      <c r="I44" s="41"/>
      <c r="J44" s="38"/>
      <c r="K44" s="36"/>
      <c r="L44" s="38"/>
      <c r="M44" s="38"/>
      <c r="N44" s="38"/>
      <c r="O44" s="38"/>
      <c r="P44" s="38"/>
    </row>
    <row r="45" spans="1:16">
      <c r="A45" s="13"/>
      <c r="B45" s="13"/>
      <c r="C45" s="13"/>
      <c r="D45" s="13"/>
      <c r="E45" s="13"/>
      <c r="F45" s="13"/>
      <c r="G45" s="13"/>
      <c r="H45" s="14"/>
      <c r="I45" s="14"/>
      <c r="J45" s="11"/>
      <c r="K45" s="16"/>
      <c r="L45" s="11"/>
      <c r="M45" s="11"/>
      <c r="N45" s="11"/>
      <c r="O45" s="11"/>
      <c r="P45" s="11"/>
    </row>
    <row r="46" spans="1:16">
      <c r="A46" s="13"/>
      <c r="B46" s="13"/>
      <c r="C46" s="13"/>
      <c r="D46" s="13"/>
      <c r="E46" s="13"/>
      <c r="F46" s="13"/>
      <c r="G46" s="13"/>
      <c r="H46" s="14"/>
      <c r="I46" s="14"/>
      <c r="J46" s="11"/>
      <c r="K46" s="16"/>
      <c r="L46" s="11"/>
      <c r="M46" s="11"/>
      <c r="N46" s="11"/>
      <c r="O46" s="11"/>
      <c r="P46" s="11"/>
    </row>
    <row r="47" spans="1:16" ht="18.600000000000001">
      <c r="A47" s="15"/>
      <c r="B47" s="13"/>
      <c r="C47" s="13"/>
      <c r="D47" s="13"/>
      <c r="E47" s="13"/>
      <c r="F47" s="13"/>
      <c r="G47" s="13"/>
      <c r="H47" s="14"/>
      <c r="I47" s="14"/>
      <c r="J47" s="11"/>
      <c r="K47" s="16"/>
      <c r="L47" s="11"/>
      <c r="M47" s="11"/>
      <c r="N47" s="11"/>
      <c r="O47" s="11"/>
      <c r="P47" s="11"/>
    </row>
    <row r="48" spans="1:16">
      <c r="A48" s="13"/>
      <c r="B48" s="13"/>
      <c r="C48" s="13"/>
      <c r="D48" s="13"/>
      <c r="E48" s="13"/>
      <c r="F48" s="13"/>
      <c r="G48" s="13"/>
      <c r="H48" s="14"/>
      <c r="I48" s="14"/>
      <c r="J48" s="11"/>
      <c r="K48" s="16"/>
      <c r="L48" s="11"/>
      <c r="M48" s="11"/>
      <c r="N48" s="11"/>
      <c r="O48" s="11"/>
      <c r="P48" s="11"/>
    </row>
    <row r="49" spans="1:16">
      <c r="A49" s="13"/>
      <c r="B49" s="13"/>
      <c r="C49" s="13"/>
      <c r="D49" s="13"/>
      <c r="E49" s="13"/>
      <c r="F49" s="13"/>
      <c r="G49" s="13"/>
      <c r="H49" s="14"/>
      <c r="I49" s="12"/>
      <c r="J49" s="11"/>
      <c r="K49" s="16"/>
      <c r="L49" s="11"/>
      <c r="M49" s="11"/>
      <c r="N49" s="11"/>
      <c r="O49" s="11"/>
      <c r="P49" s="11"/>
    </row>
    <row r="50" spans="1:16">
      <c r="A50" s="13"/>
      <c r="B50" s="13"/>
      <c r="C50" s="13"/>
      <c r="D50" s="13"/>
      <c r="E50" s="13"/>
      <c r="F50" s="13"/>
      <c r="G50" s="13"/>
      <c r="H50" s="14"/>
      <c r="I50" s="12"/>
      <c r="J50" s="11"/>
      <c r="K50" s="16"/>
      <c r="L50" s="11"/>
      <c r="M50" s="11"/>
      <c r="N50" s="11"/>
      <c r="O50" s="11"/>
      <c r="P50" s="11"/>
    </row>
    <row r="51" spans="1:16">
      <c r="A51" s="13"/>
      <c r="B51" s="13"/>
      <c r="C51" s="13"/>
      <c r="D51" s="13"/>
      <c r="E51" s="13"/>
      <c r="F51" s="13"/>
      <c r="G51" s="13"/>
      <c r="H51" s="14"/>
      <c r="I51" s="12"/>
      <c r="J51" s="11"/>
      <c r="K51" s="16"/>
      <c r="L51" s="11"/>
      <c r="M51" s="11"/>
      <c r="N51" s="11"/>
      <c r="O51" s="11"/>
      <c r="P51" s="11"/>
    </row>
    <row r="52" spans="1:16">
      <c r="A52" s="11"/>
      <c r="B52" s="11"/>
      <c r="C52" s="11"/>
      <c r="D52" s="11"/>
      <c r="E52" s="11"/>
      <c r="F52" s="11"/>
      <c r="G52" s="11"/>
      <c r="H52" s="12"/>
      <c r="I52" s="12"/>
      <c r="J52" s="11"/>
      <c r="K52" s="16"/>
      <c r="L52" s="11"/>
      <c r="M52" s="11"/>
      <c r="N52" s="11"/>
      <c r="O52" s="11"/>
      <c r="P52" s="11"/>
    </row>
    <row r="53" spans="1:16">
      <c r="A53" s="11"/>
      <c r="B53" s="11"/>
      <c r="C53" s="11"/>
      <c r="D53" s="11"/>
      <c r="E53" s="11"/>
      <c r="F53" s="11"/>
      <c r="G53" s="11"/>
      <c r="H53" s="12"/>
      <c r="I53" s="12"/>
      <c r="J53" s="11"/>
      <c r="K53" s="16"/>
      <c r="L53" s="11"/>
      <c r="M53" s="11"/>
      <c r="N53" s="11"/>
      <c r="O53" s="11"/>
      <c r="P53" s="11"/>
    </row>
    <row r="54" spans="1:16">
      <c r="A54" s="11"/>
      <c r="B54" s="11"/>
      <c r="C54" s="11"/>
      <c r="D54" s="11"/>
      <c r="E54" s="11"/>
      <c r="F54" s="11"/>
      <c r="G54" s="11"/>
      <c r="H54" s="12"/>
      <c r="I54" s="12"/>
      <c r="J54" s="11"/>
      <c r="K54" s="16"/>
      <c r="L54" s="11"/>
      <c r="M54" s="11"/>
      <c r="N54" s="11"/>
      <c r="O54" s="11"/>
      <c r="P54" s="11"/>
    </row>
    <row r="55" spans="1:16">
      <c r="A55" s="11"/>
      <c r="B55" s="11"/>
      <c r="C55" s="11"/>
      <c r="D55" s="11"/>
      <c r="E55" s="11"/>
      <c r="F55" s="11"/>
      <c r="G55" s="11"/>
      <c r="H55" s="12"/>
      <c r="I55" s="12"/>
      <c r="J55" s="11"/>
      <c r="K55" s="16"/>
      <c r="L55" s="11"/>
      <c r="M55" s="11"/>
      <c r="N55" s="11"/>
      <c r="O55" s="11"/>
      <c r="P55" s="11"/>
    </row>
    <row r="56" spans="1:16" ht="18.600000000000001">
      <c r="A56" s="10"/>
      <c r="B56" s="11"/>
      <c r="C56" s="11"/>
      <c r="D56" s="11"/>
      <c r="E56" s="11"/>
      <c r="F56" s="11"/>
      <c r="G56" s="11"/>
      <c r="H56" s="12"/>
      <c r="I56" s="12"/>
      <c r="J56" s="11"/>
      <c r="K56" s="16"/>
      <c r="L56" s="11"/>
      <c r="M56" s="11"/>
      <c r="N56" s="11"/>
      <c r="O56" s="11"/>
      <c r="P56" s="11"/>
    </row>
    <row r="57" spans="1:16">
      <c r="A57" s="11"/>
      <c r="B57" s="11"/>
      <c r="C57" s="11"/>
      <c r="D57" s="11"/>
      <c r="E57" s="11"/>
      <c r="F57" s="11"/>
      <c r="G57" s="11"/>
      <c r="H57" s="12"/>
      <c r="I57" s="12"/>
      <c r="J57" s="11"/>
      <c r="K57" s="16"/>
      <c r="L57" s="11"/>
      <c r="M57" s="11"/>
      <c r="N57" s="11"/>
      <c r="O57" s="11"/>
      <c r="P57" s="11"/>
    </row>
    <row r="58" spans="1:16">
      <c r="A58" s="11"/>
      <c r="B58" s="11"/>
      <c r="C58" s="11"/>
      <c r="D58" s="11"/>
      <c r="E58" s="11"/>
      <c r="F58" s="11"/>
      <c r="G58" s="11"/>
      <c r="H58" s="12"/>
      <c r="I58" s="12"/>
      <c r="J58" s="11"/>
      <c r="K58" s="16"/>
      <c r="L58" s="11"/>
      <c r="M58" s="11"/>
      <c r="N58" s="11"/>
      <c r="O58" s="11"/>
      <c r="P58" s="11"/>
    </row>
    <row r="59" spans="1:16">
      <c r="A59" s="11"/>
      <c r="B59" s="11"/>
      <c r="C59" s="11"/>
      <c r="D59" s="11"/>
      <c r="E59" s="11"/>
      <c r="F59" s="11"/>
      <c r="G59" s="11"/>
      <c r="H59" s="12"/>
      <c r="I59" s="12"/>
      <c r="J59" s="11"/>
      <c r="K59" s="16"/>
      <c r="L59" s="11"/>
      <c r="M59" s="11"/>
      <c r="N59" s="11"/>
      <c r="O59" s="11"/>
      <c r="P59" s="11"/>
    </row>
    <row r="60" spans="1:16">
      <c r="A60" s="11"/>
      <c r="B60" s="11"/>
      <c r="C60" s="11"/>
      <c r="D60" s="11"/>
      <c r="E60" s="11"/>
      <c r="F60" s="11"/>
      <c r="G60" s="11"/>
      <c r="H60" s="12"/>
      <c r="I60" s="12"/>
      <c r="J60" s="11"/>
      <c r="K60" s="16"/>
      <c r="L60" s="11"/>
      <c r="M60" s="11"/>
      <c r="N60" s="11"/>
      <c r="O60" s="11"/>
      <c r="P60" s="11"/>
    </row>
    <row r="61" spans="1:16">
      <c r="A61" s="11"/>
      <c r="B61" s="11"/>
      <c r="C61" s="11"/>
      <c r="D61" s="11"/>
      <c r="E61" s="11"/>
      <c r="F61" s="11"/>
      <c r="G61" s="11"/>
      <c r="H61" s="12"/>
      <c r="I61" s="12"/>
      <c r="J61" s="11"/>
      <c r="K61" s="16"/>
      <c r="L61" s="11"/>
      <c r="M61" s="11"/>
      <c r="N61" s="11"/>
      <c r="O61" s="11"/>
      <c r="P61" s="11"/>
    </row>
    <row r="62" spans="1:16">
      <c r="A62" s="11"/>
      <c r="B62" s="11"/>
      <c r="C62" s="11"/>
      <c r="D62" s="11"/>
      <c r="E62" s="11"/>
      <c r="F62" s="11"/>
      <c r="G62" s="11"/>
      <c r="H62" s="12"/>
      <c r="I62" s="12"/>
      <c r="J62" s="11"/>
      <c r="K62" s="16"/>
      <c r="L62" s="11"/>
      <c r="M62" s="11"/>
      <c r="N62" s="11"/>
      <c r="O62" s="11"/>
      <c r="P62" s="11"/>
    </row>
    <row r="63" spans="1:16">
      <c r="A63" s="11"/>
      <c r="B63" s="11"/>
      <c r="C63" s="11"/>
      <c r="D63" s="11"/>
      <c r="E63" s="11"/>
      <c r="F63" s="11"/>
      <c r="G63" s="11"/>
      <c r="H63" s="12"/>
      <c r="I63" s="12"/>
      <c r="J63" s="11"/>
      <c r="K63" s="16"/>
      <c r="L63" s="11"/>
      <c r="M63" s="11"/>
      <c r="N63" s="11"/>
      <c r="O63" s="11"/>
      <c r="P63" s="11"/>
    </row>
    <row r="64" spans="1:16">
      <c r="A64" s="11"/>
      <c r="B64" s="11"/>
      <c r="C64" s="11"/>
      <c r="D64" s="11"/>
      <c r="E64" s="11"/>
      <c r="F64" s="11"/>
      <c r="G64" s="11"/>
      <c r="H64" s="12"/>
      <c r="I64" s="12"/>
      <c r="J64" s="11"/>
      <c r="K64" s="16"/>
      <c r="L64" s="11"/>
      <c r="M64" s="11"/>
      <c r="N64" s="11"/>
      <c r="O64" s="11"/>
      <c r="P64" s="11"/>
    </row>
    <row r="65" spans="1:16">
      <c r="A65" s="11"/>
      <c r="B65" s="11"/>
      <c r="C65" s="11"/>
      <c r="D65" s="11"/>
      <c r="E65" s="11"/>
      <c r="F65" s="11"/>
      <c r="G65" s="11"/>
      <c r="H65" s="12"/>
      <c r="I65" s="12"/>
      <c r="J65" s="11"/>
      <c r="K65" s="16"/>
      <c r="L65" s="11"/>
      <c r="M65" s="11"/>
      <c r="N65" s="11"/>
      <c r="O65" s="11"/>
      <c r="P65" s="11"/>
    </row>
    <row r="66" spans="1:16">
      <c r="A66" s="11"/>
      <c r="B66" s="11"/>
      <c r="C66" s="11"/>
      <c r="D66" s="11"/>
      <c r="E66" s="11"/>
      <c r="F66" s="11"/>
      <c r="G66" s="11"/>
      <c r="H66" s="12"/>
      <c r="I66" s="12"/>
      <c r="J66" s="11"/>
      <c r="K66" s="16"/>
      <c r="L66" s="11"/>
      <c r="M66" s="11"/>
      <c r="N66" s="11"/>
      <c r="O66" s="11"/>
      <c r="P66" s="11"/>
    </row>
    <row r="67" spans="1:16">
      <c r="A67" s="11"/>
      <c r="B67" s="11"/>
      <c r="C67" s="11"/>
      <c r="D67" s="11"/>
      <c r="E67" s="11"/>
      <c r="F67" s="11"/>
      <c r="G67" s="11"/>
      <c r="H67" s="12"/>
      <c r="I67" s="12"/>
      <c r="J67" s="11"/>
      <c r="K67" s="16"/>
      <c r="L67" s="11"/>
      <c r="M67" s="11"/>
      <c r="N67" s="11"/>
      <c r="O67" s="11"/>
      <c r="P67" s="11"/>
    </row>
    <row r="68" spans="1:16">
      <c r="A68" s="11"/>
      <c r="B68" s="11"/>
      <c r="C68" s="11"/>
      <c r="D68" s="11"/>
      <c r="E68" s="11"/>
      <c r="F68" s="11"/>
      <c r="G68" s="11"/>
      <c r="H68" s="12"/>
      <c r="I68" s="12"/>
      <c r="J68" s="11"/>
      <c r="K68" s="16"/>
      <c r="L68" s="11"/>
      <c r="M68" s="11"/>
      <c r="N68" s="11"/>
      <c r="O68" s="11"/>
      <c r="P68" s="11"/>
    </row>
    <row r="69" spans="1:16">
      <c r="A69" s="11"/>
      <c r="B69" s="11"/>
      <c r="C69" s="11"/>
      <c r="D69" s="11"/>
      <c r="E69" s="11"/>
      <c r="F69" s="11"/>
      <c r="G69" s="11"/>
      <c r="H69" s="12"/>
      <c r="I69" s="12"/>
      <c r="J69" s="11"/>
      <c r="K69" s="16"/>
      <c r="L69" s="11"/>
      <c r="M69" s="11"/>
      <c r="N69" s="11"/>
      <c r="O69" s="11"/>
      <c r="P69" s="11"/>
    </row>
    <row r="70" spans="1:16">
      <c r="A70" s="11"/>
      <c r="B70" s="11"/>
      <c r="C70" s="11"/>
      <c r="D70" s="11"/>
      <c r="E70" s="11"/>
      <c r="F70" s="11"/>
      <c r="G70" s="11"/>
      <c r="H70" s="12"/>
      <c r="I70" s="12"/>
      <c r="J70" s="11"/>
      <c r="K70" s="16"/>
      <c r="L70" s="11"/>
      <c r="M70" s="11"/>
      <c r="N70" s="11"/>
      <c r="O70" s="11"/>
      <c r="P70" s="11"/>
    </row>
    <row r="71" spans="1:16" ht="18.600000000000001">
      <c r="A71" s="10"/>
      <c r="B71" s="11"/>
      <c r="C71" s="11"/>
      <c r="D71" s="11"/>
      <c r="E71" s="11"/>
      <c r="F71" s="11"/>
      <c r="G71" s="11"/>
      <c r="H71" s="12"/>
      <c r="I71" s="12"/>
      <c r="J71" s="11"/>
      <c r="K71" s="16"/>
      <c r="L71" s="11"/>
      <c r="M71" s="11"/>
      <c r="N71" s="11"/>
      <c r="O71" s="11"/>
      <c r="P71" s="11"/>
    </row>
    <row r="72" spans="1:16">
      <c r="A72" s="11"/>
      <c r="B72" s="11"/>
      <c r="C72" s="11"/>
      <c r="D72" s="11"/>
      <c r="E72" s="11"/>
      <c r="F72" s="11"/>
      <c r="G72" s="11"/>
      <c r="H72" s="12"/>
      <c r="I72" s="12"/>
      <c r="J72" s="11"/>
      <c r="K72" s="16"/>
      <c r="L72" s="11"/>
      <c r="M72" s="11"/>
      <c r="N72" s="11"/>
      <c r="O72" s="11"/>
      <c r="P72" s="11"/>
    </row>
    <row r="73" spans="1:16">
      <c r="A73" s="11"/>
      <c r="B73" s="11"/>
      <c r="C73" s="11"/>
      <c r="D73" s="11"/>
      <c r="E73" s="11"/>
      <c r="F73" s="11"/>
      <c r="G73" s="11"/>
      <c r="H73" s="12"/>
      <c r="I73" s="12"/>
      <c r="J73" s="11"/>
      <c r="K73" s="16"/>
      <c r="L73" s="11"/>
      <c r="M73" s="11"/>
      <c r="N73" s="11"/>
      <c r="O73" s="11"/>
      <c r="P73" s="11"/>
    </row>
    <row r="74" spans="1:16">
      <c r="A74" s="11"/>
      <c r="B74" s="11"/>
      <c r="C74" s="11"/>
      <c r="D74" s="11"/>
      <c r="E74" s="11"/>
      <c r="F74" s="11"/>
      <c r="G74" s="11"/>
      <c r="H74" s="12"/>
      <c r="I74" s="12"/>
      <c r="J74" s="11"/>
      <c r="K74" s="16"/>
      <c r="L74" s="11"/>
      <c r="M74" s="11"/>
      <c r="N74" s="11"/>
      <c r="O74" s="11"/>
      <c r="P74" s="11"/>
    </row>
    <row r="75" spans="1:16">
      <c r="A75" s="11"/>
      <c r="B75" s="11"/>
      <c r="C75" s="11"/>
      <c r="D75" s="11"/>
      <c r="E75" s="11"/>
      <c r="F75" s="11"/>
      <c r="G75" s="11"/>
      <c r="H75" s="12"/>
      <c r="I75" s="12"/>
      <c r="J75" s="11"/>
      <c r="K75" s="16"/>
      <c r="L75" s="11"/>
      <c r="M75" s="11"/>
      <c r="N75" s="11"/>
      <c r="O75" s="11"/>
      <c r="P75" s="11"/>
    </row>
    <row r="76" spans="1:16">
      <c r="A76" s="11"/>
      <c r="B76" s="11"/>
      <c r="C76" s="11"/>
      <c r="D76" s="11"/>
      <c r="E76" s="11"/>
      <c r="F76" s="11"/>
      <c r="G76" s="11"/>
      <c r="H76" s="12"/>
      <c r="I76" s="12"/>
      <c r="J76" s="11"/>
      <c r="K76" s="16"/>
      <c r="L76" s="11"/>
      <c r="M76" s="11"/>
      <c r="N76" s="11"/>
      <c r="O76" s="11"/>
      <c r="P76" s="11"/>
    </row>
    <row r="77" spans="1:16">
      <c r="A77" s="11"/>
      <c r="B77" s="11"/>
      <c r="C77" s="11"/>
      <c r="D77" s="11"/>
      <c r="E77" s="11"/>
      <c r="F77" s="11"/>
      <c r="G77" s="11"/>
      <c r="H77" s="12"/>
      <c r="I77" s="12"/>
      <c r="J77" s="11"/>
      <c r="K77" s="16"/>
      <c r="L77" s="11"/>
      <c r="M77" s="11"/>
      <c r="N77" s="11"/>
      <c r="O77" s="11"/>
      <c r="P77" s="11"/>
    </row>
    <row r="78" spans="1:16">
      <c r="A78" s="11"/>
      <c r="B78" s="11"/>
      <c r="C78" s="11"/>
      <c r="D78" s="11"/>
      <c r="E78" s="11"/>
      <c r="F78" s="11"/>
      <c r="G78" s="11"/>
      <c r="H78" s="12"/>
      <c r="I78" s="12"/>
      <c r="J78" s="11"/>
      <c r="K78" s="16"/>
      <c r="L78" s="11"/>
      <c r="M78" s="11"/>
      <c r="N78" s="11"/>
      <c r="O78" s="11"/>
      <c r="P78" s="11"/>
    </row>
    <row r="79" spans="1:16">
      <c r="A79" s="11"/>
      <c r="B79" s="11"/>
      <c r="C79" s="11"/>
      <c r="D79" s="11"/>
      <c r="E79" s="11"/>
      <c r="F79" s="11"/>
      <c r="G79" s="11"/>
      <c r="H79" s="12"/>
      <c r="I79" s="12"/>
      <c r="J79" s="11"/>
      <c r="K79" s="16"/>
      <c r="L79" s="11"/>
      <c r="M79" s="11"/>
      <c r="N79" s="11"/>
      <c r="O79" s="11"/>
      <c r="P79" s="11"/>
    </row>
    <row r="80" spans="1:16">
      <c r="A80" s="11"/>
      <c r="B80" s="11"/>
      <c r="C80" s="11"/>
      <c r="D80" s="11"/>
      <c r="E80" s="11"/>
      <c r="F80" s="11"/>
      <c r="G80" s="11"/>
      <c r="H80" s="12"/>
      <c r="I80" s="12"/>
      <c r="J80" s="11"/>
      <c r="K80" s="16"/>
      <c r="L80" s="11"/>
      <c r="M80" s="11"/>
      <c r="N80" s="11"/>
      <c r="O80" s="11"/>
      <c r="P80" s="11"/>
    </row>
    <row r="81" spans="1:16">
      <c r="A81" s="11"/>
      <c r="B81" s="11"/>
      <c r="C81" s="11"/>
      <c r="D81" s="11"/>
      <c r="E81" s="11"/>
      <c r="F81" s="11"/>
      <c r="G81" s="11"/>
      <c r="H81" s="12"/>
      <c r="I81" s="12"/>
      <c r="J81" s="11"/>
      <c r="K81" s="16"/>
      <c r="L81" s="11"/>
      <c r="M81" s="11"/>
      <c r="N81" s="11"/>
      <c r="O81" s="11"/>
      <c r="P81" s="11"/>
    </row>
    <row r="82" spans="1:16">
      <c r="A82" s="11"/>
      <c r="B82" s="11"/>
      <c r="C82" s="11"/>
      <c r="D82" s="11"/>
      <c r="E82" s="11"/>
      <c r="F82" s="11"/>
      <c r="G82" s="11"/>
      <c r="H82" s="12"/>
      <c r="I82" s="12"/>
      <c r="J82" s="11"/>
      <c r="K82" s="16"/>
      <c r="L82" s="11"/>
      <c r="M82" s="11"/>
      <c r="N82" s="11"/>
      <c r="O82" s="11"/>
      <c r="P82" s="11"/>
    </row>
    <row r="83" spans="1:16">
      <c r="A83" s="11"/>
      <c r="B83" s="11"/>
      <c r="C83" s="11"/>
      <c r="D83" s="11"/>
      <c r="E83" s="11"/>
      <c r="F83" s="11"/>
      <c r="G83" s="11"/>
      <c r="H83" s="12"/>
      <c r="I83" s="12"/>
      <c r="J83" s="11"/>
      <c r="K83" s="16"/>
      <c r="L83" s="11"/>
      <c r="M83" s="11"/>
      <c r="N83" s="11"/>
      <c r="O83" s="11"/>
      <c r="P83" s="11"/>
    </row>
    <row r="84" spans="1:16">
      <c r="A84" s="11"/>
      <c r="B84" s="11"/>
      <c r="C84" s="11"/>
      <c r="D84" s="11"/>
      <c r="E84" s="11"/>
      <c r="F84" s="11"/>
      <c r="G84" s="11"/>
      <c r="H84" s="12"/>
      <c r="I84" s="12"/>
      <c r="J84" s="11"/>
      <c r="K84" s="16"/>
      <c r="L84" s="11"/>
      <c r="M84" s="11"/>
      <c r="N84" s="11"/>
      <c r="O84" s="11"/>
      <c r="P84" s="11"/>
    </row>
    <row r="85" spans="1:16">
      <c r="A85" s="11"/>
      <c r="B85" s="11"/>
      <c r="C85" s="11"/>
      <c r="D85" s="11"/>
      <c r="E85" s="11"/>
      <c r="F85" s="11"/>
      <c r="G85" s="11"/>
      <c r="H85" s="12"/>
      <c r="I85" s="12"/>
      <c r="J85" s="11"/>
      <c r="K85" s="16"/>
      <c r="L85" s="11"/>
      <c r="M85" s="11"/>
      <c r="N85" s="11"/>
      <c r="O85" s="11"/>
      <c r="P85" s="11"/>
    </row>
    <row r="86" spans="1:16">
      <c r="A86" s="11"/>
      <c r="B86" s="11"/>
      <c r="C86" s="11"/>
      <c r="D86" s="11"/>
      <c r="E86" s="11"/>
      <c r="F86" s="11"/>
      <c r="G86" s="11"/>
      <c r="H86" s="12"/>
      <c r="I86" s="12"/>
      <c r="J86" s="11"/>
      <c r="K86" s="16"/>
      <c r="L86" s="11"/>
      <c r="M86" s="11"/>
      <c r="N86" s="11"/>
      <c r="O86" s="11"/>
      <c r="P86" s="11"/>
    </row>
    <row r="87" spans="1:16" ht="18.600000000000001">
      <c r="A87" s="10"/>
      <c r="B87" s="11"/>
      <c r="C87" s="11"/>
      <c r="D87" s="11"/>
      <c r="E87" s="11"/>
      <c r="F87" s="11"/>
      <c r="G87" s="11"/>
      <c r="H87" s="12"/>
      <c r="I87" s="12"/>
      <c r="J87" s="11"/>
      <c r="K87" s="16"/>
      <c r="L87" s="11"/>
      <c r="M87" s="11"/>
      <c r="N87" s="11"/>
      <c r="O87" s="11"/>
      <c r="P87" s="11"/>
    </row>
    <row r="88" spans="1:16">
      <c r="A88" s="11"/>
      <c r="B88" s="11"/>
      <c r="C88" s="11"/>
      <c r="D88" s="11"/>
      <c r="E88" s="11"/>
      <c r="F88" s="11"/>
      <c r="G88" s="11"/>
      <c r="H88" s="12"/>
      <c r="I88" s="12"/>
      <c r="J88" s="11"/>
      <c r="K88" s="16"/>
      <c r="L88" s="11"/>
      <c r="M88" s="11"/>
      <c r="N88" s="11"/>
      <c r="O88" s="11"/>
      <c r="P88" s="11"/>
    </row>
    <row r="89" spans="1:16">
      <c r="A89" s="11"/>
      <c r="B89" s="11"/>
      <c r="C89" s="11"/>
      <c r="D89" s="11"/>
      <c r="E89" s="11"/>
      <c r="F89" s="11"/>
      <c r="G89" s="11"/>
      <c r="H89" s="12"/>
      <c r="I89" s="12"/>
      <c r="J89" s="11"/>
      <c r="K89" s="16"/>
      <c r="L89" s="11"/>
      <c r="M89" s="11"/>
      <c r="N89" s="11"/>
      <c r="O89" s="11"/>
      <c r="P89" s="11"/>
    </row>
    <row r="90" spans="1:16">
      <c r="A90" s="11"/>
      <c r="B90" s="11"/>
      <c r="C90" s="11"/>
      <c r="D90" s="11"/>
      <c r="E90" s="11"/>
      <c r="F90" s="11"/>
      <c r="G90" s="11"/>
      <c r="H90" s="12"/>
      <c r="I90" s="12"/>
      <c r="J90" s="11"/>
      <c r="K90" s="16"/>
      <c r="L90" s="11"/>
      <c r="M90" s="11"/>
      <c r="N90" s="11"/>
      <c r="O90" s="11"/>
      <c r="P90" s="11"/>
    </row>
    <row r="91" spans="1:16">
      <c r="A91" s="11"/>
      <c r="B91" s="11"/>
      <c r="C91" s="11"/>
      <c r="D91" s="11"/>
      <c r="E91" s="11"/>
      <c r="F91" s="11"/>
      <c r="G91" s="11"/>
      <c r="H91" s="12"/>
      <c r="I91" s="12"/>
      <c r="J91" s="11"/>
      <c r="K91" s="16"/>
      <c r="L91" s="11"/>
      <c r="M91" s="11"/>
      <c r="N91" s="11"/>
      <c r="O91" s="11"/>
      <c r="P91" s="11"/>
    </row>
    <row r="92" spans="1:16">
      <c r="A92" s="11"/>
      <c r="B92" s="11"/>
      <c r="C92" s="11"/>
      <c r="D92" s="11"/>
      <c r="E92" s="11"/>
      <c r="F92" s="11"/>
      <c r="G92" s="11"/>
      <c r="H92" s="12"/>
      <c r="I92" s="12"/>
      <c r="J92" s="11"/>
      <c r="K92" s="16"/>
      <c r="L92" s="11"/>
      <c r="M92" s="11"/>
      <c r="N92" s="11"/>
      <c r="O92" s="11"/>
      <c r="P92" s="11"/>
    </row>
    <row r="93" spans="1:16" ht="18.600000000000001">
      <c r="A93" s="10"/>
      <c r="B93" s="11"/>
      <c r="C93" s="11"/>
      <c r="D93" s="11"/>
      <c r="E93" s="11"/>
      <c r="F93" s="11"/>
      <c r="G93" s="11"/>
      <c r="H93" s="12"/>
      <c r="I93" s="12"/>
      <c r="J93" s="11"/>
      <c r="K93" s="16"/>
      <c r="L93" s="11"/>
      <c r="M93" s="11"/>
      <c r="N93" s="11"/>
      <c r="O93" s="11"/>
      <c r="P93" s="11"/>
    </row>
    <row r="94" spans="1:16">
      <c r="A94" s="11"/>
      <c r="B94" s="11"/>
      <c r="C94" s="11"/>
      <c r="D94" s="11"/>
      <c r="E94" s="11"/>
      <c r="F94" s="11"/>
      <c r="G94" s="11"/>
      <c r="H94" s="12"/>
      <c r="I94" s="12"/>
      <c r="J94" s="11"/>
      <c r="K94" s="16"/>
      <c r="L94" s="11"/>
      <c r="M94" s="11"/>
      <c r="N94" s="11"/>
      <c r="O94" s="11"/>
      <c r="P94" s="11"/>
    </row>
    <row r="95" spans="1:16">
      <c r="A95" s="11"/>
      <c r="B95" s="11"/>
      <c r="C95" s="11"/>
      <c r="D95" s="11"/>
      <c r="E95" s="11"/>
      <c r="F95" s="11"/>
      <c r="G95" s="11"/>
      <c r="H95" s="12"/>
      <c r="I95" s="12"/>
      <c r="J95" s="11"/>
      <c r="K95" s="16"/>
      <c r="L95" s="11"/>
      <c r="M95" s="11"/>
      <c r="N95" s="11"/>
      <c r="O95" s="11"/>
      <c r="P95" s="11"/>
    </row>
    <row r="96" spans="1:16">
      <c r="A96" s="11"/>
      <c r="B96" s="11"/>
      <c r="C96" s="11"/>
      <c r="D96" s="11"/>
      <c r="E96" s="11"/>
      <c r="F96" s="11"/>
      <c r="G96" s="11"/>
      <c r="H96" s="12"/>
      <c r="I96" s="12"/>
      <c r="J96" s="11"/>
      <c r="K96" s="16"/>
      <c r="L96" s="11"/>
      <c r="M96" s="11"/>
      <c r="N96" s="11"/>
      <c r="O96" s="11"/>
      <c r="P96" s="11"/>
    </row>
    <row r="97" spans="1:16">
      <c r="A97" s="11"/>
      <c r="B97" s="11"/>
      <c r="C97" s="11"/>
      <c r="D97" s="11"/>
      <c r="E97" s="11"/>
      <c r="F97" s="11"/>
      <c r="G97" s="11"/>
      <c r="H97" s="12"/>
      <c r="I97" s="12"/>
      <c r="J97" s="11"/>
      <c r="K97" s="16"/>
      <c r="L97" s="11"/>
      <c r="M97" s="11"/>
      <c r="N97" s="11"/>
      <c r="O97" s="11"/>
      <c r="P97" s="11"/>
    </row>
    <row r="98" spans="1:16">
      <c r="A98" s="11"/>
      <c r="B98" s="11"/>
      <c r="C98" s="11"/>
      <c r="D98" s="11"/>
      <c r="E98" s="11"/>
      <c r="F98" s="11"/>
      <c r="G98" s="11"/>
      <c r="H98" s="12"/>
      <c r="I98" s="12"/>
      <c r="J98" s="11"/>
      <c r="K98" s="16"/>
      <c r="L98" s="11"/>
      <c r="M98" s="11"/>
      <c r="N98" s="11"/>
      <c r="O98" s="11"/>
      <c r="P98" s="11"/>
    </row>
    <row r="99" spans="1:16">
      <c r="A99" s="11"/>
      <c r="B99" s="11"/>
      <c r="C99" s="11"/>
      <c r="D99" s="11"/>
      <c r="E99" s="11"/>
      <c r="F99" s="11"/>
      <c r="G99" s="11"/>
      <c r="H99" s="12"/>
      <c r="I99" s="12"/>
      <c r="J99" s="11"/>
      <c r="K99" s="16"/>
      <c r="L99" s="11"/>
      <c r="M99" s="11"/>
      <c r="N99" s="11"/>
      <c r="O99" s="11"/>
      <c r="P99" s="11"/>
    </row>
    <row r="100" spans="1:16">
      <c r="A100" s="11"/>
      <c r="B100" s="11"/>
      <c r="C100" s="11"/>
      <c r="D100" s="11"/>
      <c r="E100" s="11"/>
      <c r="F100" s="11"/>
      <c r="G100" s="11"/>
      <c r="H100" s="12"/>
      <c r="I100" s="12"/>
      <c r="J100" s="11"/>
      <c r="K100" s="16"/>
      <c r="L100" s="11"/>
      <c r="M100" s="11"/>
      <c r="N100" s="11"/>
      <c r="O100" s="11"/>
      <c r="P100" s="11"/>
    </row>
    <row r="101" spans="1:16">
      <c r="A101" s="11"/>
      <c r="B101" s="11"/>
      <c r="C101" s="11"/>
      <c r="D101" s="11"/>
      <c r="E101" s="11"/>
      <c r="F101" s="11"/>
      <c r="G101" s="11"/>
      <c r="H101" s="12"/>
      <c r="I101" s="12"/>
      <c r="J101" s="11"/>
      <c r="K101" s="16"/>
      <c r="L101" s="11"/>
      <c r="M101" s="11"/>
      <c r="N101" s="11"/>
      <c r="O101" s="11"/>
      <c r="P101" s="11"/>
    </row>
    <row r="102" spans="1:16">
      <c r="A102" s="11"/>
      <c r="B102" s="11"/>
      <c r="C102" s="11"/>
      <c r="D102" s="11"/>
      <c r="E102" s="11"/>
      <c r="F102" s="11"/>
      <c r="G102" s="11"/>
      <c r="H102" s="12"/>
      <c r="I102" s="12"/>
      <c r="J102" s="11"/>
      <c r="K102" s="16"/>
      <c r="L102" s="11"/>
      <c r="M102" s="11"/>
      <c r="N102" s="11"/>
      <c r="O102" s="11"/>
      <c r="P102" s="11"/>
    </row>
    <row r="103" spans="1:16">
      <c r="A103" s="11"/>
      <c r="B103" s="11"/>
      <c r="C103" s="11"/>
      <c r="D103" s="11"/>
      <c r="E103" s="11"/>
      <c r="F103" s="11"/>
      <c r="G103" s="11"/>
      <c r="H103" s="12"/>
      <c r="I103" s="12"/>
      <c r="J103" s="11"/>
      <c r="K103" s="16"/>
      <c r="L103" s="11"/>
      <c r="M103" s="11"/>
      <c r="N103" s="11"/>
      <c r="O103" s="11"/>
      <c r="P103" s="11"/>
    </row>
    <row r="104" spans="1:16">
      <c r="A104" s="11"/>
      <c r="B104" s="11"/>
      <c r="C104" s="11"/>
      <c r="D104" s="11"/>
      <c r="E104" s="11"/>
      <c r="F104" s="11"/>
      <c r="G104" s="11"/>
      <c r="H104" s="12"/>
      <c r="I104" s="12"/>
      <c r="J104" s="11"/>
      <c r="K104" s="16"/>
      <c r="L104" s="11"/>
      <c r="M104" s="11"/>
      <c r="N104" s="11"/>
      <c r="O104" s="11"/>
      <c r="P104" s="11"/>
    </row>
    <row r="105" spans="1:16">
      <c r="A105" s="11"/>
      <c r="B105" s="11"/>
      <c r="C105" s="11"/>
      <c r="D105" s="11"/>
      <c r="E105" s="11"/>
      <c r="F105" s="11"/>
      <c r="G105" s="11"/>
      <c r="H105" s="12"/>
      <c r="I105" s="12"/>
      <c r="J105" s="11"/>
      <c r="K105" s="16"/>
      <c r="L105" s="11"/>
      <c r="M105" s="11"/>
      <c r="N105" s="11"/>
      <c r="O105" s="11"/>
      <c r="P105" s="11"/>
    </row>
    <row r="106" spans="1:16">
      <c r="A106" s="11"/>
      <c r="B106" s="11"/>
      <c r="C106" s="11"/>
      <c r="D106" s="11"/>
      <c r="E106" s="11"/>
      <c r="F106" s="11"/>
      <c r="G106" s="11"/>
      <c r="H106" s="12"/>
      <c r="I106" s="12"/>
      <c r="J106" s="11"/>
      <c r="K106" s="16"/>
      <c r="L106" s="11"/>
      <c r="M106" s="11"/>
      <c r="N106" s="11"/>
      <c r="O106" s="11"/>
      <c r="P106" s="11"/>
    </row>
    <row r="107" spans="1:16" ht="18.600000000000001">
      <c r="A107" s="10"/>
      <c r="B107" s="11"/>
      <c r="C107" s="11"/>
      <c r="D107" s="11"/>
      <c r="E107" s="11"/>
      <c r="F107" s="11"/>
      <c r="G107" s="11"/>
      <c r="H107" s="12"/>
      <c r="I107" s="12"/>
      <c r="J107" s="11"/>
      <c r="K107" s="16"/>
      <c r="L107" s="11"/>
      <c r="M107" s="11"/>
      <c r="N107" s="11"/>
      <c r="O107" s="11"/>
      <c r="P107" s="11"/>
    </row>
    <row r="108" spans="1:16">
      <c r="A108" s="11"/>
      <c r="B108" s="11"/>
      <c r="C108" s="11"/>
      <c r="D108" s="11"/>
      <c r="E108" s="11"/>
      <c r="F108" s="11"/>
      <c r="G108" s="11"/>
      <c r="H108" s="12"/>
      <c r="I108" s="12"/>
      <c r="J108" s="11"/>
      <c r="K108" s="16"/>
      <c r="L108" s="11"/>
      <c r="M108" s="11"/>
      <c r="N108" s="11"/>
      <c r="O108" s="11"/>
      <c r="P108" s="11"/>
    </row>
    <row r="109" spans="1:16">
      <c r="A109" s="11"/>
      <c r="B109" s="11"/>
      <c r="C109" s="11"/>
      <c r="D109" s="11"/>
      <c r="E109" s="11"/>
      <c r="F109" s="11"/>
      <c r="G109" s="11"/>
      <c r="H109" s="12"/>
      <c r="I109" s="12"/>
      <c r="J109" s="11"/>
      <c r="K109" s="16"/>
      <c r="L109" s="11"/>
      <c r="M109" s="11"/>
      <c r="N109" s="11"/>
      <c r="O109" s="11"/>
      <c r="P109" s="11"/>
    </row>
    <row r="110" spans="1:16">
      <c r="A110" s="11"/>
      <c r="B110" s="11"/>
      <c r="C110" s="11"/>
      <c r="D110" s="11"/>
      <c r="E110" s="11"/>
      <c r="F110" s="11"/>
      <c r="G110" s="11"/>
      <c r="H110" s="12"/>
      <c r="I110" s="12"/>
      <c r="J110" s="11"/>
      <c r="K110" s="16"/>
      <c r="L110" s="11"/>
      <c r="M110" s="11"/>
      <c r="N110" s="11"/>
      <c r="O110" s="11"/>
      <c r="P110" s="11"/>
    </row>
    <row r="111" spans="1:16">
      <c r="A111" s="11"/>
      <c r="B111" s="11"/>
      <c r="C111" s="11"/>
      <c r="D111" s="11"/>
      <c r="E111" s="11"/>
      <c r="F111" s="11"/>
      <c r="G111" s="11"/>
      <c r="H111" s="12"/>
      <c r="I111" s="12"/>
      <c r="J111" s="11"/>
      <c r="K111" s="16"/>
      <c r="L111" s="11"/>
      <c r="M111" s="11"/>
      <c r="N111" s="11"/>
      <c r="O111" s="11"/>
      <c r="P111" s="11"/>
    </row>
    <row r="112" spans="1:16">
      <c r="A112" s="11"/>
      <c r="B112" s="11"/>
      <c r="C112" s="11"/>
      <c r="D112" s="11"/>
      <c r="E112" s="11"/>
      <c r="F112" s="11"/>
      <c r="G112" s="11"/>
      <c r="H112" s="12"/>
      <c r="I112" s="12"/>
      <c r="J112" s="11"/>
      <c r="K112" s="16"/>
      <c r="L112" s="11"/>
      <c r="M112" s="11"/>
      <c r="N112" s="11"/>
      <c r="O112" s="11"/>
      <c r="P112" s="11"/>
    </row>
    <row r="113" spans="1:16">
      <c r="A113" s="11"/>
      <c r="B113" s="11"/>
      <c r="C113" s="11"/>
      <c r="D113" s="11"/>
      <c r="E113" s="11"/>
      <c r="F113" s="11"/>
      <c r="G113" s="11"/>
      <c r="H113" s="12"/>
      <c r="I113" s="12"/>
      <c r="J113" s="11"/>
      <c r="K113" s="16"/>
      <c r="L113" s="11"/>
      <c r="M113" s="11"/>
      <c r="N113" s="11"/>
      <c r="O113" s="11"/>
      <c r="P113" s="11"/>
    </row>
    <row r="114" spans="1:16">
      <c r="A114" s="11"/>
      <c r="B114" s="11"/>
      <c r="C114" s="11"/>
      <c r="D114" s="11"/>
      <c r="E114" s="11"/>
      <c r="F114" s="11"/>
      <c r="G114" s="11"/>
      <c r="H114" s="12"/>
      <c r="I114" s="12"/>
      <c r="J114" s="11"/>
      <c r="K114" s="16"/>
      <c r="L114" s="11"/>
      <c r="M114" s="11"/>
      <c r="N114" s="11"/>
      <c r="O114" s="11"/>
      <c r="P114" s="11"/>
    </row>
    <row r="115" spans="1:16">
      <c r="A115" s="13"/>
      <c r="B115" s="11"/>
      <c r="C115" s="11"/>
      <c r="D115" s="11"/>
      <c r="E115" s="11"/>
      <c r="F115" s="11"/>
      <c r="G115" s="11"/>
      <c r="H115" s="12"/>
      <c r="I115" s="12"/>
      <c r="J115" s="11"/>
      <c r="K115" s="16"/>
      <c r="L115" s="11"/>
      <c r="M115" s="11"/>
      <c r="N115" s="11"/>
      <c r="O115" s="11"/>
      <c r="P115" s="11"/>
    </row>
    <row r="116" spans="1:16">
      <c r="A116" s="11"/>
      <c r="B116" s="11"/>
      <c r="C116" s="11"/>
      <c r="D116" s="11"/>
      <c r="E116" s="11"/>
      <c r="F116" s="11"/>
      <c r="G116" s="11"/>
      <c r="H116" s="12"/>
      <c r="I116" s="12"/>
      <c r="J116" s="11"/>
      <c r="K116" s="16"/>
      <c r="L116" s="11"/>
      <c r="M116" s="11"/>
      <c r="N116" s="11"/>
      <c r="O116" s="11"/>
      <c r="P116" s="11"/>
    </row>
    <row r="117" spans="1:16">
      <c r="A117" s="11"/>
      <c r="B117" s="11"/>
      <c r="C117" s="11"/>
      <c r="D117" s="11"/>
      <c r="E117" s="11"/>
      <c r="F117" s="11"/>
      <c r="G117" s="11"/>
      <c r="H117" s="12"/>
      <c r="I117" s="12"/>
      <c r="J117" s="11"/>
      <c r="K117" s="16"/>
      <c r="L117" s="11"/>
      <c r="M117" s="11"/>
      <c r="N117" s="11"/>
      <c r="O117" s="11"/>
      <c r="P117" s="11"/>
    </row>
    <row r="118" spans="1:16">
      <c r="A118" s="11"/>
      <c r="B118" s="11"/>
      <c r="C118" s="11"/>
      <c r="D118" s="11"/>
      <c r="E118" s="11"/>
      <c r="F118" s="11"/>
      <c r="G118" s="11"/>
      <c r="H118" s="12"/>
      <c r="I118" s="12"/>
      <c r="J118" s="11"/>
      <c r="K118" s="16"/>
      <c r="L118" s="11"/>
      <c r="M118" s="11"/>
      <c r="N118" s="11"/>
      <c r="O118" s="11"/>
      <c r="P118" s="11"/>
    </row>
    <row r="119" spans="1:16">
      <c r="A119" s="11"/>
      <c r="B119" s="11"/>
      <c r="C119" s="11"/>
      <c r="D119" s="11"/>
      <c r="E119" s="11"/>
      <c r="F119" s="11"/>
      <c r="G119" s="11"/>
      <c r="H119" s="12"/>
      <c r="I119" s="12"/>
      <c r="J119" s="11"/>
      <c r="K119" s="16"/>
      <c r="L119" s="11"/>
      <c r="M119" s="11"/>
      <c r="N119" s="11"/>
      <c r="O119" s="11"/>
      <c r="P119" s="11"/>
    </row>
    <row r="120" spans="1:16">
      <c r="A120" s="11"/>
      <c r="B120" s="11"/>
      <c r="C120" s="11"/>
      <c r="D120" s="11"/>
      <c r="E120" s="11"/>
      <c r="F120" s="11"/>
      <c r="G120" s="11"/>
      <c r="H120" s="12"/>
      <c r="I120" s="12"/>
      <c r="J120" s="11"/>
      <c r="K120" s="16"/>
      <c r="L120" s="11"/>
      <c r="M120" s="11"/>
      <c r="N120" s="11"/>
      <c r="O120" s="11"/>
      <c r="P120" s="11"/>
    </row>
    <row r="121" spans="1:16">
      <c r="A121" s="11"/>
      <c r="B121" s="11"/>
      <c r="C121" s="11"/>
      <c r="D121" s="11"/>
      <c r="E121" s="11"/>
      <c r="F121" s="11"/>
      <c r="G121" s="11"/>
      <c r="H121" s="12"/>
      <c r="I121" s="12"/>
      <c r="J121" s="11"/>
      <c r="K121" s="16"/>
      <c r="L121" s="11"/>
      <c r="M121" s="11"/>
      <c r="N121" s="11"/>
      <c r="O121" s="11"/>
      <c r="P121" s="11"/>
    </row>
    <row r="122" spans="1:16">
      <c r="A122" s="11"/>
      <c r="B122" s="11"/>
      <c r="C122" s="11"/>
      <c r="D122" s="11"/>
      <c r="E122" s="11"/>
      <c r="F122" s="11"/>
      <c r="G122" s="11"/>
      <c r="H122" s="12"/>
      <c r="I122" s="12"/>
      <c r="J122" s="11"/>
      <c r="K122" s="16"/>
      <c r="L122" s="11"/>
      <c r="M122" s="11"/>
      <c r="N122" s="11"/>
      <c r="O122" s="11"/>
      <c r="P122" s="11"/>
    </row>
    <row r="123" spans="1:16">
      <c r="A123" s="11"/>
      <c r="B123" s="11"/>
      <c r="C123" s="11"/>
      <c r="D123" s="11"/>
      <c r="E123" s="11"/>
      <c r="F123" s="11"/>
      <c r="G123" s="11"/>
      <c r="H123" s="12"/>
      <c r="I123" s="12"/>
      <c r="J123" s="11"/>
      <c r="K123" s="16"/>
      <c r="L123" s="11"/>
      <c r="M123" s="11"/>
      <c r="N123" s="11"/>
      <c r="O123" s="11"/>
      <c r="P123" s="11"/>
    </row>
    <row r="124" spans="1:16">
      <c r="A124" s="11"/>
      <c r="B124" s="11"/>
      <c r="C124" s="11"/>
      <c r="D124" s="11"/>
      <c r="E124" s="11"/>
      <c r="F124" s="11"/>
      <c r="G124" s="11"/>
      <c r="H124" s="12"/>
      <c r="I124" s="12"/>
      <c r="J124" s="11"/>
      <c r="K124" s="16"/>
      <c r="L124" s="11"/>
      <c r="M124" s="11"/>
      <c r="N124" s="11"/>
      <c r="O124" s="11"/>
      <c r="P124" s="11"/>
    </row>
    <row r="125" spans="1:16">
      <c r="A125" s="11"/>
      <c r="B125" s="11"/>
      <c r="C125" s="11"/>
      <c r="D125" s="11"/>
      <c r="E125" s="11"/>
      <c r="F125" s="11"/>
      <c r="G125" s="11"/>
      <c r="H125" s="12"/>
      <c r="I125" s="12"/>
      <c r="J125" s="11"/>
      <c r="K125" s="16"/>
      <c r="L125" s="11"/>
      <c r="M125" s="11"/>
      <c r="N125" s="11"/>
      <c r="O125" s="11"/>
      <c r="P125" s="11"/>
    </row>
    <row r="126" spans="1:16">
      <c r="A126" s="11"/>
      <c r="B126" s="11"/>
      <c r="C126" s="11"/>
      <c r="D126" s="11"/>
      <c r="E126" s="11"/>
      <c r="F126" s="11"/>
      <c r="G126" s="11"/>
      <c r="H126" s="12"/>
      <c r="I126" s="12"/>
      <c r="J126" s="11"/>
      <c r="K126" s="16"/>
      <c r="L126" s="11"/>
      <c r="M126" s="11"/>
      <c r="N126" s="11"/>
      <c r="O126" s="11"/>
      <c r="P126" s="11"/>
    </row>
    <row r="127" spans="1:16">
      <c r="A127" s="11"/>
      <c r="B127" s="11"/>
      <c r="C127" s="11"/>
      <c r="D127" s="11"/>
      <c r="E127" s="11"/>
      <c r="F127" s="11"/>
      <c r="G127" s="11"/>
      <c r="H127" s="12"/>
      <c r="I127" s="12"/>
      <c r="J127" s="11"/>
      <c r="K127" s="16"/>
      <c r="L127" s="11"/>
      <c r="M127" s="11"/>
      <c r="N127" s="11"/>
      <c r="O127" s="11"/>
      <c r="P127" s="11"/>
    </row>
    <row r="128" spans="1:16">
      <c r="A128" s="11"/>
      <c r="B128" s="11"/>
      <c r="C128" s="11"/>
      <c r="D128" s="11"/>
      <c r="E128" s="11"/>
      <c r="F128" s="11"/>
      <c r="G128" s="11"/>
      <c r="H128" s="12"/>
      <c r="I128" s="12"/>
      <c r="J128" s="11"/>
      <c r="K128" s="16"/>
      <c r="L128" s="11"/>
      <c r="M128" s="11"/>
      <c r="N128" s="11"/>
      <c r="O128" s="11"/>
      <c r="P128" s="11"/>
    </row>
    <row r="129" spans="1:16">
      <c r="A129" s="11"/>
      <c r="B129" s="11"/>
      <c r="C129" s="11"/>
      <c r="D129" s="11"/>
      <c r="E129" s="11"/>
      <c r="F129" s="11"/>
      <c r="G129" s="11"/>
      <c r="H129" s="12"/>
      <c r="I129" s="12"/>
      <c r="J129" s="11"/>
      <c r="K129" s="16"/>
      <c r="L129" s="11"/>
      <c r="M129" s="11"/>
      <c r="N129" s="11"/>
      <c r="O129" s="11"/>
      <c r="P129" s="11"/>
    </row>
    <row r="130" spans="1:16">
      <c r="A130" s="11"/>
      <c r="B130" s="11"/>
      <c r="C130" s="11"/>
      <c r="D130" s="11"/>
      <c r="E130" s="11"/>
      <c r="F130" s="11"/>
      <c r="G130" s="11"/>
      <c r="H130" s="12"/>
      <c r="I130" s="12"/>
      <c r="J130" s="11"/>
      <c r="K130" s="16"/>
      <c r="L130" s="11"/>
      <c r="M130" s="11"/>
      <c r="N130" s="11"/>
      <c r="O130" s="11"/>
      <c r="P130" s="11"/>
    </row>
    <row r="131" spans="1:16">
      <c r="A131" s="11"/>
      <c r="B131" s="11"/>
      <c r="C131" s="11"/>
      <c r="D131" s="11"/>
      <c r="E131" s="11"/>
      <c r="F131" s="11"/>
      <c r="G131" s="11"/>
      <c r="H131" s="12"/>
      <c r="I131" s="12"/>
      <c r="J131" s="11"/>
      <c r="K131" s="16"/>
      <c r="L131" s="11"/>
      <c r="M131" s="11"/>
      <c r="N131" s="11"/>
      <c r="O131" s="11"/>
      <c r="P131" s="11"/>
    </row>
    <row r="132" spans="1:16">
      <c r="A132" s="11"/>
      <c r="B132" s="11"/>
      <c r="C132" s="11"/>
      <c r="D132" s="11"/>
      <c r="E132" s="11"/>
      <c r="F132" s="11"/>
      <c r="G132" s="11"/>
      <c r="H132" s="12"/>
      <c r="I132" s="12"/>
      <c r="J132" s="11"/>
      <c r="K132" s="16"/>
      <c r="L132" s="11"/>
      <c r="M132" s="11"/>
      <c r="N132" s="11"/>
      <c r="O132" s="11"/>
      <c r="P132" s="11"/>
    </row>
    <row r="133" spans="1:16">
      <c r="A133" s="11"/>
      <c r="B133" s="11"/>
      <c r="C133" s="11"/>
      <c r="D133" s="11"/>
      <c r="E133" s="11"/>
      <c r="F133" s="11"/>
      <c r="G133" s="11"/>
      <c r="H133" s="12"/>
      <c r="I133" s="12"/>
      <c r="J133" s="11"/>
      <c r="K133" s="16"/>
      <c r="L133" s="11"/>
      <c r="M133" s="11"/>
      <c r="N133" s="11"/>
      <c r="O133" s="11"/>
      <c r="P133" s="11"/>
    </row>
    <row r="134" spans="1:16">
      <c r="A134" s="11"/>
      <c r="B134" s="11"/>
      <c r="C134" s="11"/>
      <c r="D134" s="11"/>
      <c r="E134" s="11"/>
      <c r="F134" s="11"/>
      <c r="G134" s="11"/>
      <c r="H134" s="12"/>
      <c r="I134" s="12"/>
      <c r="J134" s="11"/>
      <c r="K134" s="16"/>
      <c r="L134" s="11"/>
      <c r="M134" s="11"/>
      <c r="N134" s="11"/>
      <c r="O134" s="11"/>
      <c r="P134" s="11"/>
    </row>
    <row r="135" spans="1:16">
      <c r="A135" s="11"/>
      <c r="B135" s="11"/>
      <c r="C135" s="11"/>
      <c r="D135" s="11"/>
      <c r="E135" s="11"/>
      <c r="F135" s="11"/>
      <c r="G135" s="11"/>
      <c r="H135" s="12"/>
      <c r="I135" s="12"/>
      <c r="J135" s="11"/>
      <c r="K135" s="16"/>
      <c r="L135" s="11"/>
      <c r="M135" s="11"/>
      <c r="N135" s="11"/>
      <c r="O135" s="11"/>
      <c r="P135" s="11"/>
    </row>
    <row r="136" spans="1:16">
      <c r="A136" s="11"/>
      <c r="B136" s="11"/>
      <c r="C136" s="11"/>
      <c r="D136" s="11"/>
      <c r="E136" s="11"/>
      <c r="F136" s="11"/>
      <c r="G136" s="11"/>
      <c r="H136" s="12"/>
      <c r="I136" s="12"/>
      <c r="J136" s="11"/>
      <c r="K136" s="16"/>
      <c r="L136" s="11"/>
      <c r="M136" s="11"/>
      <c r="N136" s="11"/>
      <c r="O136" s="11"/>
      <c r="P136" s="11"/>
    </row>
    <row r="137" spans="1:16">
      <c r="A137" s="11"/>
      <c r="B137" s="11"/>
      <c r="C137" s="11"/>
      <c r="D137" s="11"/>
      <c r="E137" s="11"/>
      <c r="F137" s="11"/>
      <c r="G137" s="11"/>
      <c r="H137" s="12"/>
      <c r="I137" s="12"/>
      <c r="J137" s="11"/>
      <c r="K137" s="16"/>
      <c r="L137" s="11"/>
      <c r="M137" s="11"/>
      <c r="N137" s="11"/>
      <c r="O137" s="11"/>
      <c r="P137" s="11"/>
    </row>
    <row r="138" spans="1:16" ht="18.600000000000001">
      <c r="A138" s="10"/>
      <c r="B138" s="11"/>
      <c r="C138" s="11"/>
      <c r="D138" s="11"/>
      <c r="E138" s="11"/>
      <c r="F138" s="11"/>
      <c r="G138" s="11"/>
      <c r="H138" s="12"/>
      <c r="I138" s="12"/>
      <c r="J138" s="11"/>
      <c r="K138" s="16"/>
      <c r="L138" s="11"/>
      <c r="M138" s="11"/>
      <c r="N138" s="11"/>
      <c r="O138" s="11"/>
      <c r="P138" s="11"/>
    </row>
    <row r="139" spans="1:16">
      <c r="A139" s="11"/>
      <c r="B139" s="11"/>
      <c r="C139" s="11"/>
      <c r="D139" s="11"/>
      <c r="E139" s="11"/>
      <c r="F139" s="11"/>
      <c r="G139" s="11"/>
      <c r="H139" s="12"/>
      <c r="I139" s="12"/>
      <c r="J139" s="11"/>
      <c r="K139" s="16"/>
      <c r="L139" s="11"/>
      <c r="M139" s="11"/>
      <c r="N139" s="11"/>
      <c r="O139" s="11"/>
      <c r="P139" s="11"/>
    </row>
    <row r="140" spans="1:16">
      <c r="A140" s="11"/>
      <c r="B140" s="11"/>
      <c r="C140" s="11"/>
      <c r="D140" s="11"/>
      <c r="E140" s="11"/>
      <c r="F140" s="11"/>
      <c r="G140" s="11"/>
      <c r="H140" s="12"/>
      <c r="I140" s="12"/>
      <c r="J140" s="11"/>
      <c r="K140" s="16"/>
      <c r="L140" s="11"/>
      <c r="M140" s="11"/>
      <c r="N140" s="11"/>
      <c r="O140" s="11"/>
      <c r="P140" s="11"/>
    </row>
    <row r="141" spans="1:16">
      <c r="A141" s="11"/>
      <c r="B141" s="11"/>
      <c r="C141" s="11"/>
      <c r="D141" s="11"/>
      <c r="E141" s="11"/>
      <c r="F141" s="11"/>
      <c r="G141" s="11"/>
      <c r="H141" s="12"/>
      <c r="I141" s="12"/>
      <c r="J141" s="11"/>
      <c r="K141" s="16"/>
      <c r="L141" s="11"/>
      <c r="M141" s="11"/>
      <c r="N141" s="11"/>
      <c r="O141" s="11"/>
      <c r="P141" s="11"/>
    </row>
    <row r="142" spans="1:16">
      <c r="A142" s="11"/>
      <c r="B142" s="11"/>
      <c r="C142" s="11"/>
      <c r="D142" s="11"/>
      <c r="E142" s="11"/>
      <c r="F142" s="11"/>
      <c r="G142" s="11"/>
      <c r="H142" s="12"/>
      <c r="I142" s="12"/>
      <c r="J142" s="11"/>
      <c r="K142" s="16"/>
      <c r="L142" s="11"/>
      <c r="M142" s="11"/>
      <c r="N142" s="11"/>
      <c r="O142" s="11"/>
      <c r="P142" s="11"/>
    </row>
    <row r="143" spans="1:16">
      <c r="A143" s="11"/>
      <c r="B143" s="11"/>
      <c r="C143" s="11"/>
      <c r="D143" s="11"/>
      <c r="E143" s="11"/>
      <c r="F143" s="11"/>
      <c r="G143" s="11"/>
      <c r="H143" s="12"/>
      <c r="I143" s="12"/>
      <c r="J143" s="11"/>
      <c r="K143" s="16"/>
      <c r="L143" s="11"/>
      <c r="M143" s="11"/>
      <c r="N143" s="11"/>
      <c r="O143" s="11"/>
      <c r="P143" s="11"/>
    </row>
    <row r="144" spans="1:16">
      <c r="A144" s="11"/>
      <c r="B144" s="11"/>
      <c r="C144" s="11"/>
      <c r="D144" s="11"/>
      <c r="E144" s="11"/>
      <c r="F144" s="11"/>
      <c r="G144" s="11"/>
      <c r="H144" s="12"/>
      <c r="I144" s="12"/>
      <c r="J144" s="11"/>
      <c r="K144" s="16"/>
      <c r="L144" s="11"/>
      <c r="M144" s="11"/>
      <c r="N144" s="11"/>
      <c r="O144" s="11"/>
      <c r="P144" s="11"/>
    </row>
    <row r="145" spans="1:16">
      <c r="A145" s="11"/>
      <c r="B145" s="11"/>
      <c r="C145" s="11"/>
      <c r="D145" s="11"/>
      <c r="E145" s="11"/>
      <c r="F145" s="11"/>
      <c r="G145" s="11"/>
      <c r="H145" s="12"/>
      <c r="I145" s="12"/>
      <c r="J145" s="11"/>
      <c r="K145" s="16"/>
      <c r="L145" s="11"/>
      <c r="M145" s="11"/>
      <c r="N145" s="11"/>
      <c r="O145" s="11"/>
      <c r="P145" s="11"/>
    </row>
    <row r="146" spans="1:16">
      <c r="A146" s="11"/>
      <c r="B146" s="11"/>
      <c r="C146" s="11"/>
      <c r="D146" s="11"/>
      <c r="E146" s="11"/>
      <c r="F146" s="11"/>
      <c r="G146" s="11"/>
      <c r="H146" s="12"/>
      <c r="I146" s="12"/>
      <c r="J146" s="11"/>
      <c r="K146" s="16"/>
      <c r="L146" s="11"/>
      <c r="M146" s="11"/>
      <c r="N146" s="11"/>
      <c r="O146" s="11"/>
      <c r="P146" s="11"/>
    </row>
    <row r="147" spans="1:16">
      <c r="A147" s="11"/>
      <c r="B147" s="11"/>
      <c r="C147" s="11"/>
      <c r="D147" s="11"/>
      <c r="E147" s="11"/>
      <c r="F147" s="11"/>
      <c r="G147" s="11"/>
      <c r="H147" s="12"/>
      <c r="I147" s="12"/>
      <c r="J147" s="11"/>
      <c r="K147" s="16"/>
      <c r="L147" s="11"/>
      <c r="M147" s="11"/>
      <c r="N147" s="11"/>
      <c r="O147" s="11"/>
      <c r="P147" s="11"/>
    </row>
  </sheetData>
  <mergeCells count="3">
    <mergeCell ref="A1:P1"/>
    <mergeCell ref="L2:P2"/>
    <mergeCell ref="A2:J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2E3F0"/>
  </sheetPr>
  <dimension ref="A1:Q193"/>
  <sheetViews>
    <sheetView workbookViewId="0">
      <selection activeCell="B13" sqref="B13"/>
    </sheetView>
  </sheetViews>
  <sheetFormatPr defaultColWidth="9.109375" defaultRowHeight="14.4"/>
  <cols>
    <col min="1" max="1" width="15.33203125" style="5" bestFit="1" customWidth="1"/>
    <col min="2" max="2" width="25.77734375" style="4" customWidth="1"/>
    <col min="3" max="3" width="12.44140625" style="4" customWidth="1"/>
    <col min="4" max="4" width="10.33203125" style="4" customWidth="1"/>
    <col min="5" max="5" width="23.44140625" style="4" customWidth="1"/>
    <col min="6" max="6" width="10.44140625" style="24" customWidth="1"/>
    <col min="7" max="7" width="13.33203125" style="4" customWidth="1"/>
    <col min="8" max="8" width="10.44140625" style="4" customWidth="1"/>
    <col min="9" max="16384" width="9.109375" style="4"/>
  </cols>
  <sheetData>
    <row r="1" spans="1:17" ht="58.95" customHeight="1">
      <c r="A1" s="107" t="s">
        <v>267</v>
      </c>
      <c r="B1" s="107"/>
      <c r="C1" s="107"/>
      <c r="D1" s="107"/>
      <c r="E1" s="107"/>
      <c r="F1" s="107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s="3" customFormat="1" ht="20.399999999999999">
      <c r="A2" s="44" t="s">
        <v>85</v>
      </c>
      <c r="B2" s="45" t="s">
        <v>2</v>
      </c>
      <c r="C2" s="45" t="s">
        <v>4</v>
      </c>
      <c r="D2" s="45" t="s">
        <v>86</v>
      </c>
      <c r="E2" s="45" t="s">
        <v>87</v>
      </c>
      <c r="F2" s="46" t="s">
        <v>88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s="6" customFormat="1" ht="3" customHeight="1">
      <c r="A3" s="47"/>
      <c r="B3" s="48"/>
      <c r="C3" s="48"/>
      <c r="D3" s="48"/>
      <c r="E3" s="48"/>
      <c r="F3" s="49"/>
    </row>
    <row r="4" spans="1:17" ht="17.399999999999999">
      <c r="A4" s="39">
        <v>43760</v>
      </c>
      <c r="B4" s="50" t="s">
        <v>268</v>
      </c>
      <c r="C4" s="50" t="s">
        <v>17</v>
      </c>
      <c r="D4" s="50" t="s">
        <v>258</v>
      </c>
      <c r="E4" s="50" t="s">
        <v>269</v>
      </c>
      <c r="F4" s="103">
        <v>100</v>
      </c>
    </row>
    <row r="5" spans="1:17" ht="17.399999999999999">
      <c r="A5" s="39">
        <v>43760</v>
      </c>
      <c r="B5" s="50" t="s">
        <v>270</v>
      </c>
      <c r="C5" s="50" t="s">
        <v>271</v>
      </c>
      <c r="D5" s="50" t="s">
        <v>18</v>
      </c>
      <c r="E5" s="50" t="s">
        <v>269</v>
      </c>
      <c r="F5" s="103">
        <v>100</v>
      </c>
    </row>
    <row r="6" spans="1:17" ht="17.399999999999999">
      <c r="A6" s="39">
        <v>43760</v>
      </c>
      <c r="B6" s="50" t="s">
        <v>273</v>
      </c>
      <c r="C6" s="50" t="s">
        <v>52</v>
      </c>
      <c r="D6" s="50" t="s">
        <v>18</v>
      </c>
      <c r="E6" s="50" t="s">
        <v>269</v>
      </c>
      <c r="F6" s="103">
        <v>100</v>
      </c>
    </row>
    <row r="7" spans="1:17" ht="17.399999999999999">
      <c r="A7" s="39">
        <v>43766</v>
      </c>
      <c r="B7" s="50" t="s">
        <v>286</v>
      </c>
      <c r="C7" s="50" t="s">
        <v>294</v>
      </c>
      <c r="D7" s="50" t="s">
        <v>26</v>
      </c>
      <c r="E7" s="50" t="s">
        <v>89</v>
      </c>
      <c r="F7" s="103">
        <v>860</v>
      </c>
    </row>
    <row r="8" spans="1:17" ht="17.399999999999999">
      <c r="A8" s="39">
        <v>43771</v>
      </c>
      <c r="B8" s="50" t="s">
        <v>293</v>
      </c>
      <c r="C8" s="50" t="s">
        <v>294</v>
      </c>
      <c r="D8" s="50" t="s">
        <v>26</v>
      </c>
      <c r="E8" s="50" t="s">
        <v>89</v>
      </c>
      <c r="F8" s="103">
        <v>520</v>
      </c>
    </row>
    <row r="9" spans="1:17" ht="17.399999999999999">
      <c r="A9" s="39">
        <v>43771</v>
      </c>
      <c r="B9" s="50" t="s">
        <v>295</v>
      </c>
      <c r="C9" s="50" t="s">
        <v>294</v>
      </c>
      <c r="D9" s="50" t="s">
        <v>26</v>
      </c>
      <c r="E9" s="50" t="s">
        <v>89</v>
      </c>
      <c r="F9" s="103">
        <v>520</v>
      </c>
    </row>
    <row r="10" spans="1:17" ht="17.399999999999999">
      <c r="A10" s="39">
        <v>43782</v>
      </c>
      <c r="B10" s="50" t="s">
        <v>310</v>
      </c>
      <c r="C10" s="50" t="s">
        <v>311</v>
      </c>
      <c r="D10" s="50" t="s">
        <v>312</v>
      </c>
      <c r="E10" s="50" t="s">
        <v>269</v>
      </c>
      <c r="F10" s="103">
        <v>1300</v>
      </c>
    </row>
    <row r="11" spans="1:17" ht="17.399999999999999">
      <c r="A11" s="39">
        <v>43785</v>
      </c>
      <c r="B11" s="50" t="s">
        <v>322</v>
      </c>
      <c r="C11" s="50" t="s">
        <v>271</v>
      </c>
      <c r="D11" s="50" t="s">
        <v>18</v>
      </c>
      <c r="E11" s="50" t="s">
        <v>323</v>
      </c>
      <c r="F11" s="103">
        <v>650</v>
      </c>
    </row>
    <row r="12" spans="1:17" ht="17.399999999999999">
      <c r="A12" s="39">
        <v>43792</v>
      </c>
      <c r="B12" s="39" t="s">
        <v>332</v>
      </c>
      <c r="C12" s="50" t="s">
        <v>330</v>
      </c>
      <c r="D12" s="50" t="s">
        <v>18</v>
      </c>
      <c r="E12" s="50" t="s">
        <v>331</v>
      </c>
      <c r="F12" s="103">
        <v>616</v>
      </c>
    </row>
    <row r="13" spans="1:17" ht="17.399999999999999">
      <c r="A13" s="39">
        <v>43807</v>
      </c>
      <c r="B13" s="50" t="s">
        <v>336</v>
      </c>
      <c r="C13" s="50" t="s">
        <v>311</v>
      </c>
      <c r="D13" s="50" t="s">
        <v>312</v>
      </c>
      <c r="E13" s="50" t="s">
        <v>269</v>
      </c>
      <c r="F13" s="103">
        <v>2000</v>
      </c>
    </row>
    <row r="14" spans="1:17" ht="17.399999999999999">
      <c r="A14" s="39">
        <v>43760</v>
      </c>
      <c r="B14" s="51"/>
      <c r="C14" s="50" t="s">
        <v>74</v>
      </c>
      <c r="D14" s="50" t="s">
        <v>18</v>
      </c>
      <c r="E14" s="50" t="s">
        <v>93</v>
      </c>
      <c r="F14" s="103">
        <v>0</v>
      </c>
    </row>
    <row r="15" spans="1:17" ht="17.399999999999999">
      <c r="A15" s="39">
        <v>43760</v>
      </c>
      <c r="B15" s="51"/>
      <c r="C15" s="50" t="s">
        <v>74</v>
      </c>
      <c r="D15" s="50" t="s">
        <v>18</v>
      </c>
      <c r="E15" s="50" t="s">
        <v>94</v>
      </c>
      <c r="F15" s="103">
        <v>6.99</v>
      </c>
    </row>
    <row r="16" spans="1:17" ht="17.399999999999999">
      <c r="A16" s="39">
        <v>43760</v>
      </c>
      <c r="B16" s="51"/>
      <c r="C16" s="50" t="s">
        <v>74</v>
      </c>
      <c r="D16" s="50" t="s">
        <v>18</v>
      </c>
      <c r="E16" s="50" t="s">
        <v>95</v>
      </c>
      <c r="F16" s="103">
        <v>6.99</v>
      </c>
    </row>
    <row r="17" spans="1:11" ht="17.399999999999999">
      <c r="A17" s="39">
        <v>43760</v>
      </c>
      <c r="B17" s="51"/>
      <c r="C17" s="50" t="s">
        <v>74</v>
      </c>
      <c r="D17" s="50" t="s">
        <v>18</v>
      </c>
      <c r="E17" s="50" t="s">
        <v>97</v>
      </c>
      <c r="F17" s="103">
        <v>6.99</v>
      </c>
    </row>
    <row r="18" spans="1:11" ht="17.399999999999999">
      <c r="A18" s="39">
        <v>43760</v>
      </c>
      <c r="B18" s="19"/>
      <c r="C18" s="19"/>
      <c r="D18" s="19"/>
      <c r="E18" s="19"/>
      <c r="F18" s="20"/>
    </row>
    <row r="19" spans="1:11">
      <c r="A19" s="21"/>
      <c r="B19" s="19"/>
      <c r="C19" s="19"/>
      <c r="D19" s="19"/>
      <c r="E19" s="19"/>
      <c r="F19" s="20"/>
    </row>
    <row r="20" spans="1:11">
      <c r="A20" s="21"/>
      <c r="B20" s="19"/>
      <c r="C20" s="19"/>
      <c r="D20" s="19"/>
      <c r="E20" s="19"/>
      <c r="F20" s="20"/>
    </row>
    <row r="21" spans="1:11">
      <c r="A21" s="21"/>
      <c r="B21" s="19"/>
      <c r="C21" s="19"/>
      <c r="D21" s="19"/>
      <c r="E21" s="19"/>
      <c r="F21" s="20"/>
    </row>
    <row r="22" spans="1:11">
      <c r="A22" s="21"/>
      <c r="B22" s="19"/>
      <c r="C22" s="19"/>
      <c r="D22" s="19"/>
      <c r="F22" s="20"/>
    </row>
    <row r="23" spans="1:11">
      <c r="A23" s="21"/>
      <c r="B23" s="19"/>
      <c r="C23" s="19"/>
      <c r="D23" s="19"/>
      <c r="F23" s="20"/>
      <c r="G23" s="6"/>
      <c r="H23" s="6"/>
      <c r="I23" s="6"/>
      <c r="J23" s="6"/>
      <c r="K23" s="6"/>
    </row>
    <row r="24" spans="1:11">
      <c r="A24" s="21"/>
      <c r="B24" s="19"/>
      <c r="C24" s="19"/>
      <c r="D24" s="19"/>
      <c r="F24" s="20"/>
      <c r="G24" s="6"/>
      <c r="H24" s="6"/>
      <c r="I24" s="6"/>
      <c r="J24" s="6"/>
      <c r="K24" s="6"/>
    </row>
    <row r="25" spans="1:11">
      <c r="A25" s="21"/>
      <c r="B25" s="19"/>
      <c r="C25" s="19"/>
      <c r="D25" s="19"/>
      <c r="E25" s="19"/>
      <c r="F25" s="20"/>
      <c r="G25" s="6"/>
      <c r="H25" s="6"/>
      <c r="I25" s="6"/>
      <c r="J25" s="6"/>
      <c r="K25" s="6"/>
    </row>
    <row r="26" spans="1:11">
      <c r="A26" s="21"/>
      <c r="B26" s="19"/>
      <c r="C26" s="19"/>
      <c r="D26" s="19"/>
      <c r="E26" s="19"/>
      <c r="F26" s="20"/>
      <c r="G26" s="6"/>
      <c r="H26" s="6"/>
      <c r="I26" s="6"/>
      <c r="J26" s="6"/>
      <c r="K26" s="6"/>
    </row>
    <row r="27" spans="1:11">
      <c r="A27" s="21"/>
      <c r="B27" s="19"/>
      <c r="C27" s="19"/>
      <c r="D27" s="19"/>
      <c r="E27" s="19"/>
      <c r="F27" s="20"/>
      <c r="G27" s="6"/>
      <c r="H27" s="6"/>
      <c r="I27" s="6"/>
      <c r="J27" s="6"/>
      <c r="K27" s="6"/>
    </row>
    <row r="28" spans="1:11">
      <c r="A28" s="21"/>
      <c r="B28" s="19"/>
      <c r="C28" s="19"/>
      <c r="D28" s="19"/>
      <c r="E28" s="19"/>
      <c r="F28" s="20"/>
      <c r="G28" s="6"/>
      <c r="H28" s="6"/>
      <c r="I28" s="6"/>
      <c r="J28" s="6"/>
      <c r="K28" s="6"/>
    </row>
    <row r="29" spans="1:11">
      <c r="A29" s="21"/>
      <c r="B29" s="19"/>
      <c r="C29" s="19"/>
      <c r="D29" s="19"/>
      <c r="E29" s="19"/>
      <c r="F29" s="20"/>
      <c r="G29" s="6"/>
      <c r="H29" s="6"/>
      <c r="I29" s="6"/>
      <c r="J29" s="6"/>
      <c r="K29" s="6"/>
    </row>
    <row r="30" spans="1:11">
      <c r="A30" s="21"/>
      <c r="B30" s="19"/>
      <c r="C30" s="19"/>
      <c r="D30" s="19"/>
      <c r="E30" s="19"/>
      <c r="F30" s="20"/>
      <c r="G30" s="6"/>
      <c r="H30" s="6"/>
      <c r="I30" s="6"/>
      <c r="J30" s="6"/>
      <c r="K30" s="6"/>
    </row>
    <row r="31" spans="1:11">
      <c r="A31" s="21"/>
      <c r="B31" s="19"/>
      <c r="C31" s="19"/>
      <c r="D31" s="19"/>
      <c r="E31" s="19"/>
      <c r="F31" s="20"/>
      <c r="G31" s="6"/>
      <c r="H31" s="6"/>
      <c r="I31" s="6"/>
      <c r="J31" s="6"/>
      <c r="K31" s="6"/>
    </row>
    <row r="32" spans="1:11">
      <c r="A32" s="21"/>
      <c r="B32" s="19"/>
      <c r="C32" s="19"/>
      <c r="D32" s="19"/>
      <c r="E32" s="19"/>
      <c r="F32" s="20"/>
      <c r="G32" s="6"/>
      <c r="H32" s="6"/>
      <c r="I32" s="6"/>
      <c r="J32" s="6"/>
      <c r="K32" s="6"/>
    </row>
    <row r="33" spans="1:11">
      <c r="A33" s="21"/>
      <c r="B33" s="19"/>
      <c r="C33" s="19"/>
      <c r="D33" s="19"/>
      <c r="E33" s="19"/>
      <c r="F33" s="20"/>
      <c r="G33" s="6"/>
      <c r="H33" s="6"/>
      <c r="I33" s="6"/>
      <c r="J33" s="6"/>
      <c r="K33" s="6"/>
    </row>
    <row r="34" spans="1:11">
      <c r="A34" s="21"/>
      <c r="B34" s="19"/>
      <c r="C34" s="19"/>
      <c r="D34" s="19"/>
      <c r="E34" s="19"/>
      <c r="F34" s="20"/>
    </row>
    <row r="35" spans="1:11">
      <c r="A35" s="21"/>
      <c r="B35" s="19"/>
      <c r="C35" s="19"/>
      <c r="D35" s="19"/>
      <c r="E35" s="19"/>
      <c r="F35" s="20"/>
    </row>
    <row r="36" spans="1:11">
      <c r="A36" s="21"/>
      <c r="B36" s="19"/>
      <c r="C36" s="19"/>
      <c r="D36" s="19"/>
      <c r="E36" s="19"/>
      <c r="F36" s="20"/>
    </row>
    <row r="37" spans="1:11">
      <c r="A37" s="21"/>
      <c r="B37" s="19"/>
      <c r="C37" s="19"/>
      <c r="D37" s="19"/>
      <c r="E37" s="19"/>
      <c r="F37" s="20"/>
    </row>
    <row r="38" spans="1:11">
      <c r="A38" s="21"/>
      <c r="B38" s="19"/>
      <c r="C38" s="19"/>
      <c r="D38" s="19"/>
      <c r="E38" s="19"/>
      <c r="F38" s="20"/>
    </row>
    <row r="39" spans="1:11">
      <c r="A39" s="21"/>
      <c r="B39" s="19"/>
      <c r="C39" s="19"/>
      <c r="D39" s="19"/>
      <c r="E39" s="19"/>
      <c r="F39" s="20"/>
    </row>
    <row r="40" spans="1:11">
      <c r="A40" s="21"/>
      <c r="B40" s="19"/>
      <c r="C40" s="19"/>
      <c r="D40" s="19"/>
      <c r="E40" s="19"/>
      <c r="F40" s="20"/>
    </row>
    <row r="41" spans="1:11">
      <c r="A41" s="21"/>
      <c r="B41" s="19"/>
      <c r="C41" s="19"/>
      <c r="D41" s="19"/>
      <c r="E41" s="19"/>
      <c r="F41" s="20"/>
    </row>
    <row r="42" spans="1:11">
      <c r="A42" s="21"/>
      <c r="B42" s="19"/>
      <c r="C42" s="19"/>
      <c r="D42" s="19"/>
      <c r="E42" s="19"/>
      <c r="F42" s="20"/>
    </row>
    <row r="43" spans="1:11">
      <c r="A43" s="21"/>
      <c r="B43" s="19"/>
      <c r="C43" s="19"/>
      <c r="D43" s="19"/>
      <c r="E43" s="19"/>
      <c r="F43" s="20"/>
    </row>
    <row r="44" spans="1:11">
      <c r="A44" s="21"/>
      <c r="B44" s="19"/>
      <c r="C44" s="19"/>
      <c r="D44" s="19"/>
      <c r="E44" s="19"/>
      <c r="F44" s="20"/>
    </row>
    <row r="45" spans="1:11">
      <c r="A45" s="21"/>
      <c r="B45" s="19"/>
      <c r="C45" s="19"/>
      <c r="D45" s="19"/>
      <c r="E45" s="19"/>
      <c r="F45" s="20"/>
    </row>
    <row r="46" spans="1:11">
      <c r="A46" s="21"/>
      <c r="B46" s="19"/>
      <c r="C46" s="19"/>
      <c r="D46" s="19"/>
      <c r="E46" s="19"/>
      <c r="F46" s="20"/>
    </row>
    <row r="47" spans="1:11">
      <c r="A47" s="21"/>
      <c r="B47" s="19"/>
      <c r="C47" s="19"/>
      <c r="D47" s="19"/>
      <c r="E47" s="19"/>
      <c r="F47" s="20"/>
    </row>
    <row r="48" spans="1:11">
      <c r="A48" s="21"/>
      <c r="B48" s="19"/>
      <c r="C48" s="19"/>
      <c r="D48" s="19"/>
      <c r="E48" s="19"/>
      <c r="F48" s="20"/>
    </row>
    <row r="49" spans="1:6">
      <c r="A49" s="21"/>
      <c r="B49" s="19"/>
      <c r="C49" s="19"/>
      <c r="D49" s="19"/>
      <c r="E49" s="19"/>
      <c r="F49" s="20"/>
    </row>
    <row r="50" spans="1:6">
      <c r="A50" s="21"/>
      <c r="B50" s="19"/>
      <c r="C50" s="19"/>
      <c r="D50" s="19"/>
      <c r="E50" s="19"/>
      <c r="F50" s="20"/>
    </row>
    <row r="51" spans="1:6">
      <c r="A51" s="21"/>
      <c r="B51" s="19"/>
      <c r="C51" s="19"/>
      <c r="D51" s="19"/>
      <c r="E51" s="19"/>
      <c r="F51" s="20"/>
    </row>
    <row r="52" spans="1:6">
      <c r="A52" s="21"/>
      <c r="B52" s="19"/>
      <c r="C52" s="19"/>
      <c r="D52" s="19"/>
      <c r="E52" s="19"/>
      <c r="F52" s="20"/>
    </row>
    <row r="53" spans="1:6">
      <c r="A53" s="21"/>
      <c r="B53" s="19"/>
      <c r="C53" s="19"/>
      <c r="D53" s="19"/>
      <c r="E53" s="19"/>
      <c r="F53" s="20"/>
    </row>
    <row r="54" spans="1:6">
      <c r="A54" s="21"/>
      <c r="B54" s="19"/>
      <c r="C54" s="19"/>
      <c r="D54" s="19"/>
      <c r="E54" s="19"/>
      <c r="F54" s="20"/>
    </row>
    <row r="55" spans="1:6">
      <c r="A55" s="21"/>
      <c r="B55" s="19"/>
      <c r="C55" s="19"/>
      <c r="D55" s="19"/>
      <c r="E55" s="19"/>
      <c r="F55" s="20"/>
    </row>
    <row r="56" spans="1:6">
      <c r="A56" s="21"/>
      <c r="B56" s="19"/>
      <c r="C56" s="19"/>
      <c r="D56" s="19"/>
      <c r="E56" s="19"/>
      <c r="F56" s="20"/>
    </row>
    <row r="57" spans="1:6">
      <c r="A57" s="21"/>
      <c r="B57" s="19"/>
      <c r="C57" s="19"/>
      <c r="D57" s="19"/>
      <c r="E57" s="19"/>
      <c r="F57" s="20"/>
    </row>
    <row r="58" spans="1:6">
      <c r="A58" s="21"/>
      <c r="B58" s="19"/>
      <c r="C58" s="19"/>
      <c r="D58" s="19"/>
      <c r="E58" s="19"/>
      <c r="F58" s="20"/>
    </row>
    <row r="59" spans="1:6">
      <c r="A59" s="21"/>
      <c r="B59" s="19"/>
      <c r="C59" s="19"/>
      <c r="D59" s="19"/>
      <c r="E59" s="19"/>
      <c r="F59" s="20"/>
    </row>
    <row r="60" spans="1:6">
      <c r="A60" s="21"/>
      <c r="B60" s="19"/>
      <c r="C60" s="19"/>
      <c r="D60" s="19"/>
      <c r="E60" s="19"/>
      <c r="F60" s="20"/>
    </row>
    <row r="61" spans="1:6">
      <c r="A61" s="21"/>
      <c r="B61" s="19"/>
      <c r="C61" s="19"/>
      <c r="D61" s="19"/>
      <c r="E61" s="19"/>
      <c r="F61" s="20"/>
    </row>
    <row r="62" spans="1:6">
      <c r="A62" s="21"/>
      <c r="B62" s="19"/>
      <c r="C62" s="19"/>
      <c r="D62" s="19"/>
      <c r="E62" s="19"/>
      <c r="F62" s="20"/>
    </row>
    <row r="63" spans="1:6">
      <c r="A63" s="21"/>
      <c r="B63" s="19"/>
      <c r="C63" s="19"/>
      <c r="D63" s="19"/>
      <c r="E63" s="19"/>
      <c r="F63" s="20"/>
    </row>
    <row r="64" spans="1:6">
      <c r="A64" s="21"/>
      <c r="B64" s="19"/>
      <c r="C64" s="19"/>
      <c r="D64" s="19"/>
      <c r="E64" s="19"/>
      <c r="F64" s="20"/>
    </row>
    <row r="65" spans="1:6">
      <c r="A65" s="21"/>
      <c r="B65" s="19"/>
      <c r="C65" s="19"/>
      <c r="D65" s="19"/>
      <c r="E65" s="19"/>
      <c r="F65" s="20"/>
    </row>
    <row r="66" spans="1:6">
      <c r="A66" s="21"/>
      <c r="B66" s="19"/>
      <c r="C66" s="19"/>
      <c r="D66" s="19"/>
      <c r="E66" s="19"/>
      <c r="F66" s="20"/>
    </row>
    <row r="67" spans="1:6">
      <c r="A67" s="21"/>
      <c r="B67" s="19"/>
      <c r="C67" s="19"/>
      <c r="D67" s="19"/>
      <c r="E67" s="19"/>
      <c r="F67" s="20"/>
    </row>
    <row r="68" spans="1:6">
      <c r="A68" s="21"/>
      <c r="B68" s="19"/>
      <c r="C68" s="19"/>
      <c r="D68" s="19"/>
      <c r="E68" s="19"/>
      <c r="F68" s="20"/>
    </row>
    <row r="69" spans="1:6">
      <c r="A69" s="21"/>
      <c r="B69" s="19"/>
      <c r="C69" s="19"/>
      <c r="D69" s="19"/>
      <c r="E69" s="19"/>
      <c r="F69" s="20"/>
    </row>
    <row r="70" spans="1:6">
      <c r="A70" s="21"/>
      <c r="B70" s="19"/>
      <c r="C70" s="19"/>
      <c r="D70" s="19"/>
      <c r="E70" s="19"/>
      <c r="F70" s="20"/>
    </row>
    <row r="71" spans="1:6">
      <c r="A71" s="21"/>
      <c r="B71" s="19"/>
      <c r="C71" s="19"/>
      <c r="D71" s="19"/>
      <c r="E71" s="19"/>
      <c r="F71" s="20"/>
    </row>
    <row r="72" spans="1:6">
      <c r="A72" s="21"/>
      <c r="B72" s="19"/>
      <c r="C72" s="19"/>
      <c r="D72" s="19"/>
      <c r="E72" s="19"/>
      <c r="F72" s="20"/>
    </row>
    <row r="73" spans="1:6">
      <c r="A73" s="21"/>
      <c r="B73" s="19"/>
      <c r="C73" s="19"/>
      <c r="D73" s="19"/>
      <c r="E73" s="19"/>
      <c r="F73" s="20"/>
    </row>
    <row r="74" spans="1:6">
      <c r="A74" s="21"/>
      <c r="B74" s="19"/>
      <c r="C74" s="19"/>
      <c r="D74" s="19"/>
      <c r="E74" s="19"/>
      <c r="F74" s="20"/>
    </row>
    <row r="75" spans="1:6">
      <c r="A75" s="21"/>
      <c r="B75" s="19"/>
      <c r="C75" s="19"/>
      <c r="D75" s="19"/>
      <c r="E75" s="19"/>
      <c r="F75" s="20"/>
    </row>
    <row r="76" spans="1:6">
      <c r="A76" s="21"/>
      <c r="B76" s="19"/>
      <c r="C76" s="19"/>
      <c r="D76" s="19"/>
      <c r="E76" s="19"/>
      <c r="F76" s="20"/>
    </row>
    <row r="77" spans="1:6">
      <c r="A77" s="21"/>
      <c r="B77" s="19"/>
      <c r="C77" s="19"/>
      <c r="D77" s="19"/>
      <c r="E77" s="19"/>
      <c r="F77" s="20"/>
    </row>
    <row r="78" spans="1:6">
      <c r="A78" s="21"/>
      <c r="B78" s="19"/>
      <c r="C78" s="19"/>
      <c r="D78" s="19"/>
      <c r="E78" s="19"/>
      <c r="F78" s="20"/>
    </row>
    <row r="79" spans="1:6">
      <c r="A79" s="21"/>
      <c r="B79" s="19"/>
      <c r="C79" s="19"/>
      <c r="D79" s="19"/>
      <c r="E79" s="19"/>
      <c r="F79" s="20"/>
    </row>
    <row r="80" spans="1:6">
      <c r="A80" s="21"/>
      <c r="B80" s="19"/>
      <c r="C80" s="19"/>
      <c r="D80" s="19"/>
      <c r="E80" s="19"/>
      <c r="F80" s="20"/>
    </row>
    <row r="81" spans="1:6">
      <c r="A81" s="21"/>
      <c r="B81" s="19"/>
      <c r="C81" s="19"/>
      <c r="D81" s="19"/>
      <c r="E81" s="19"/>
      <c r="F81" s="20"/>
    </row>
    <row r="82" spans="1:6">
      <c r="A82" s="21"/>
      <c r="B82" s="19"/>
      <c r="C82" s="19"/>
      <c r="D82" s="19"/>
      <c r="E82" s="19"/>
      <c r="F82" s="20"/>
    </row>
    <row r="83" spans="1:6">
      <c r="A83" s="21"/>
      <c r="B83" s="19"/>
      <c r="C83" s="19"/>
      <c r="D83" s="19"/>
      <c r="E83" s="19"/>
      <c r="F83" s="20"/>
    </row>
    <row r="84" spans="1:6">
      <c r="A84" s="21"/>
      <c r="B84" s="19"/>
      <c r="C84" s="19"/>
      <c r="D84" s="19"/>
      <c r="E84" s="19"/>
      <c r="F84" s="20"/>
    </row>
    <row r="85" spans="1:6">
      <c r="A85" s="21"/>
      <c r="B85" s="19"/>
      <c r="C85" s="19"/>
      <c r="D85" s="19"/>
      <c r="E85" s="19"/>
      <c r="F85" s="20"/>
    </row>
    <row r="86" spans="1:6">
      <c r="A86" s="21"/>
      <c r="B86" s="19"/>
      <c r="C86" s="19"/>
      <c r="D86" s="19"/>
      <c r="E86" s="19"/>
      <c r="F86" s="20"/>
    </row>
    <row r="87" spans="1:6">
      <c r="A87" s="21"/>
      <c r="B87" s="19"/>
      <c r="C87" s="19"/>
      <c r="D87" s="19"/>
      <c r="E87" s="19"/>
      <c r="F87" s="20"/>
    </row>
    <row r="88" spans="1:6">
      <c r="A88" s="21"/>
      <c r="B88" s="19"/>
      <c r="C88" s="19"/>
      <c r="D88" s="19"/>
      <c r="E88" s="19"/>
      <c r="F88" s="20"/>
    </row>
    <row r="89" spans="1:6">
      <c r="A89" s="21"/>
      <c r="B89" s="19"/>
      <c r="C89" s="19"/>
      <c r="D89" s="19"/>
      <c r="E89" s="19"/>
      <c r="F89" s="20"/>
    </row>
    <row r="90" spans="1:6">
      <c r="A90" s="21"/>
      <c r="B90" s="19"/>
      <c r="C90" s="19"/>
      <c r="D90" s="19"/>
      <c r="E90" s="19"/>
      <c r="F90" s="20"/>
    </row>
    <row r="91" spans="1:6">
      <c r="A91" s="21"/>
      <c r="B91" s="19"/>
      <c r="C91" s="19"/>
      <c r="D91" s="19"/>
      <c r="E91" s="19"/>
      <c r="F91" s="20"/>
    </row>
    <row r="92" spans="1:6">
      <c r="A92" s="21"/>
      <c r="B92" s="19"/>
      <c r="C92" s="19"/>
      <c r="D92" s="19"/>
      <c r="E92" s="19"/>
      <c r="F92" s="20"/>
    </row>
    <row r="93" spans="1:6">
      <c r="A93" s="21"/>
      <c r="B93" s="19"/>
      <c r="C93" s="19"/>
      <c r="D93" s="19"/>
      <c r="E93" s="19"/>
      <c r="F93" s="20"/>
    </row>
    <row r="94" spans="1:6">
      <c r="A94" s="21"/>
      <c r="B94" s="19"/>
      <c r="C94" s="19"/>
      <c r="D94" s="19"/>
      <c r="E94" s="19"/>
      <c r="F94" s="20"/>
    </row>
    <row r="95" spans="1:6">
      <c r="A95" s="21"/>
      <c r="B95" s="19"/>
      <c r="C95" s="19"/>
      <c r="D95" s="19"/>
      <c r="E95" s="19"/>
      <c r="F95" s="20"/>
    </row>
    <row r="96" spans="1:6">
      <c r="A96" s="21"/>
      <c r="B96" s="19"/>
      <c r="C96" s="19"/>
      <c r="D96" s="19"/>
      <c r="E96" s="19"/>
      <c r="F96" s="20"/>
    </row>
    <row r="97" spans="1:6">
      <c r="A97" s="21"/>
      <c r="B97" s="19"/>
      <c r="C97" s="19"/>
      <c r="D97" s="19"/>
      <c r="E97" s="19"/>
      <c r="F97" s="20"/>
    </row>
    <row r="98" spans="1:6">
      <c r="A98" s="21"/>
      <c r="B98" s="19"/>
      <c r="C98" s="19"/>
      <c r="D98" s="19"/>
      <c r="E98" s="19"/>
      <c r="F98" s="20"/>
    </row>
    <row r="99" spans="1:6">
      <c r="A99" s="21"/>
      <c r="B99" s="19"/>
      <c r="C99" s="19"/>
      <c r="D99" s="19"/>
      <c r="E99" s="19"/>
      <c r="F99" s="20"/>
    </row>
    <row r="100" spans="1:6">
      <c r="A100" s="21"/>
      <c r="B100" s="19"/>
      <c r="C100" s="19"/>
      <c r="D100" s="19"/>
      <c r="E100" s="19"/>
      <c r="F100" s="20"/>
    </row>
    <row r="101" spans="1:6">
      <c r="A101" s="21"/>
      <c r="B101" s="19"/>
      <c r="C101" s="19"/>
      <c r="D101" s="19"/>
      <c r="E101" s="19"/>
      <c r="F101" s="20"/>
    </row>
    <row r="102" spans="1:6">
      <c r="A102" s="21"/>
      <c r="B102" s="19"/>
      <c r="C102" s="19"/>
      <c r="D102" s="19"/>
      <c r="E102" s="19"/>
      <c r="F102" s="20"/>
    </row>
    <row r="103" spans="1:6">
      <c r="A103" s="21"/>
      <c r="B103" s="19"/>
      <c r="C103" s="19"/>
      <c r="D103" s="19"/>
      <c r="E103" s="19"/>
      <c r="F103" s="20"/>
    </row>
    <row r="104" spans="1:6">
      <c r="A104" s="21"/>
      <c r="B104" s="19"/>
      <c r="C104" s="19"/>
      <c r="D104" s="19"/>
      <c r="E104" s="19"/>
      <c r="F104" s="20"/>
    </row>
    <row r="105" spans="1:6">
      <c r="A105" s="21"/>
      <c r="B105" s="19"/>
      <c r="C105" s="19"/>
      <c r="D105" s="19"/>
      <c r="E105" s="19"/>
      <c r="F105" s="20"/>
    </row>
    <row r="106" spans="1:6">
      <c r="A106" s="21"/>
      <c r="B106" s="19"/>
      <c r="C106" s="19"/>
      <c r="D106" s="19"/>
      <c r="E106" s="19"/>
      <c r="F106" s="20"/>
    </row>
    <row r="107" spans="1:6">
      <c r="A107" s="21"/>
      <c r="B107" s="19"/>
      <c r="C107" s="19"/>
      <c r="D107" s="19"/>
      <c r="E107" s="19"/>
      <c r="F107" s="20"/>
    </row>
    <row r="108" spans="1:6">
      <c r="A108" s="21"/>
      <c r="B108" s="19"/>
      <c r="C108" s="19"/>
      <c r="D108" s="19"/>
      <c r="E108" s="19"/>
      <c r="F108" s="20"/>
    </row>
    <row r="109" spans="1:6">
      <c r="A109" s="21"/>
      <c r="B109" s="19"/>
      <c r="C109" s="19"/>
      <c r="D109" s="19"/>
      <c r="E109" s="19"/>
      <c r="F109" s="20"/>
    </row>
    <row r="110" spans="1:6">
      <c r="A110" s="21"/>
      <c r="B110" s="19"/>
      <c r="C110" s="19"/>
      <c r="D110" s="19"/>
      <c r="E110" s="19"/>
      <c r="F110" s="20"/>
    </row>
    <row r="111" spans="1:6">
      <c r="A111" s="21"/>
      <c r="B111" s="19"/>
      <c r="C111" s="19"/>
      <c r="D111" s="19"/>
      <c r="E111" s="19"/>
      <c r="F111" s="20"/>
    </row>
    <row r="112" spans="1:6">
      <c r="A112" s="21"/>
      <c r="B112" s="19"/>
      <c r="C112" s="19"/>
      <c r="D112" s="19"/>
      <c r="E112" s="19"/>
      <c r="F112" s="20"/>
    </row>
    <row r="113" spans="1:6">
      <c r="A113" s="21"/>
      <c r="B113" s="19"/>
      <c r="C113" s="19"/>
      <c r="D113" s="19"/>
      <c r="E113" s="19"/>
      <c r="F113" s="20"/>
    </row>
    <row r="114" spans="1:6">
      <c r="A114" s="21"/>
      <c r="B114" s="19"/>
      <c r="C114" s="19"/>
      <c r="D114" s="19"/>
      <c r="E114" s="19"/>
      <c r="F114" s="20"/>
    </row>
    <row r="115" spans="1:6">
      <c r="A115" s="21"/>
      <c r="B115" s="19"/>
      <c r="C115" s="19"/>
      <c r="D115" s="19"/>
      <c r="E115" s="19"/>
      <c r="F115" s="20"/>
    </row>
    <row r="116" spans="1:6">
      <c r="A116" s="21"/>
      <c r="B116" s="19"/>
      <c r="C116" s="19"/>
      <c r="D116" s="19"/>
      <c r="E116" s="19"/>
      <c r="F116" s="20"/>
    </row>
    <row r="117" spans="1:6">
      <c r="A117" s="21"/>
      <c r="B117" s="19"/>
      <c r="C117" s="19"/>
      <c r="D117" s="19"/>
      <c r="E117" s="19"/>
      <c r="F117" s="20"/>
    </row>
    <row r="118" spans="1:6">
      <c r="A118" s="21"/>
      <c r="B118" s="19"/>
      <c r="C118" s="19"/>
      <c r="D118" s="19"/>
      <c r="E118" s="19"/>
      <c r="F118" s="20"/>
    </row>
    <row r="119" spans="1:6">
      <c r="A119" s="21"/>
      <c r="B119" s="19"/>
      <c r="C119" s="19"/>
      <c r="D119" s="19"/>
      <c r="E119" s="19"/>
      <c r="F119" s="20"/>
    </row>
    <row r="120" spans="1:6">
      <c r="A120" s="21"/>
      <c r="B120" s="19"/>
      <c r="C120" s="19"/>
      <c r="D120" s="19"/>
      <c r="E120" s="19"/>
      <c r="F120" s="20"/>
    </row>
    <row r="121" spans="1:6">
      <c r="A121" s="21"/>
      <c r="B121" s="19"/>
      <c r="C121" s="19"/>
      <c r="D121" s="19"/>
      <c r="E121" s="19"/>
      <c r="F121" s="20"/>
    </row>
    <row r="122" spans="1:6">
      <c r="A122" s="21"/>
      <c r="B122" s="19"/>
      <c r="C122" s="19"/>
      <c r="D122" s="19"/>
      <c r="E122" s="19"/>
      <c r="F122" s="20"/>
    </row>
    <row r="123" spans="1:6">
      <c r="A123" s="21"/>
      <c r="B123" s="19"/>
      <c r="C123" s="19"/>
      <c r="D123" s="19"/>
      <c r="E123" s="19"/>
      <c r="F123" s="20"/>
    </row>
    <row r="124" spans="1:6">
      <c r="A124" s="21"/>
      <c r="B124" s="19"/>
      <c r="C124" s="19"/>
      <c r="D124" s="19"/>
      <c r="E124" s="19"/>
      <c r="F124" s="20"/>
    </row>
    <row r="125" spans="1:6">
      <c r="A125" s="21"/>
      <c r="B125" s="19"/>
      <c r="C125" s="19"/>
      <c r="D125" s="19"/>
      <c r="E125" s="19"/>
      <c r="F125" s="20"/>
    </row>
    <row r="126" spans="1:6">
      <c r="A126" s="21"/>
      <c r="B126" s="19"/>
      <c r="C126" s="19"/>
      <c r="D126" s="19"/>
      <c r="E126" s="19"/>
      <c r="F126" s="20"/>
    </row>
    <row r="127" spans="1:6">
      <c r="A127" s="21"/>
      <c r="B127" s="19"/>
      <c r="C127" s="19"/>
      <c r="D127" s="19"/>
      <c r="E127" s="19"/>
      <c r="F127" s="20"/>
    </row>
    <row r="128" spans="1:6">
      <c r="A128" s="21"/>
      <c r="B128" s="19"/>
      <c r="C128" s="19"/>
      <c r="D128" s="19"/>
      <c r="E128" s="19"/>
      <c r="F128" s="20"/>
    </row>
    <row r="129" spans="1:6">
      <c r="A129" s="21"/>
      <c r="B129" s="19"/>
      <c r="C129" s="19"/>
      <c r="D129" s="19"/>
      <c r="E129" s="19"/>
      <c r="F129" s="20"/>
    </row>
    <row r="130" spans="1:6">
      <c r="A130" s="21"/>
      <c r="B130" s="19"/>
      <c r="C130" s="19"/>
      <c r="D130" s="19"/>
      <c r="E130" s="19"/>
      <c r="F130" s="20"/>
    </row>
    <row r="131" spans="1:6">
      <c r="A131" s="21"/>
      <c r="B131" s="19"/>
      <c r="C131" s="19"/>
      <c r="D131" s="19"/>
      <c r="E131" s="19"/>
      <c r="F131" s="20"/>
    </row>
    <row r="132" spans="1:6">
      <c r="A132" s="21"/>
      <c r="B132" s="19"/>
      <c r="C132" s="19"/>
      <c r="D132" s="19"/>
      <c r="E132" s="19"/>
      <c r="F132" s="20"/>
    </row>
    <row r="133" spans="1:6">
      <c r="A133" s="21"/>
      <c r="B133" s="19"/>
      <c r="C133" s="19"/>
      <c r="D133" s="19"/>
      <c r="E133" s="19"/>
      <c r="F133" s="20"/>
    </row>
    <row r="134" spans="1:6">
      <c r="A134" s="21"/>
      <c r="B134" s="19"/>
      <c r="C134" s="19"/>
      <c r="D134" s="19"/>
      <c r="E134" s="19"/>
      <c r="F134" s="20"/>
    </row>
    <row r="135" spans="1:6">
      <c r="A135" s="21"/>
      <c r="B135" s="19"/>
      <c r="C135" s="19"/>
      <c r="D135" s="19"/>
      <c r="E135" s="19"/>
      <c r="F135" s="20"/>
    </row>
    <row r="136" spans="1:6">
      <c r="A136" s="21"/>
      <c r="B136" s="19"/>
      <c r="C136" s="19"/>
      <c r="D136" s="19"/>
      <c r="E136" s="19"/>
      <c r="F136" s="20"/>
    </row>
    <row r="137" spans="1:6">
      <c r="A137" s="21"/>
      <c r="B137" s="19"/>
      <c r="C137" s="19"/>
      <c r="D137" s="19"/>
      <c r="E137" s="19"/>
      <c r="F137" s="20"/>
    </row>
    <row r="138" spans="1:6">
      <c r="A138" s="21"/>
      <c r="B138" s="19"/>
      <c r="C138" s="19"/>
      <c r="D138" s="19"/>
      <c r="E138" s="19"/>
      <c r="F138" s="20"/>
    </row>
    <row r="139" spans="1:6">
      <c r="A139" s="21"/>
      <c r="B139" s="19"/>
      <c r="C139" s="19"/>
      <c r="D139" s="19"/>
      <c r="E139" s="19"/>
      <c r="F139" s="20"/>
    </row>
    <row r="140" spans="1:6">
      <c r="A140" s="21"/>
      <c r="B140" s="19"/>
      <c r="C140" s="19"/>
      <c r="D140" s="19"/>
      <c r="E140" s="19"/>
      <c r="F140" s="20"/>
    </row>
    <row r="141" spans="1:6">
      <c r="A141" s="21"/>
      <c r="B141" s="19"/>
      <c r="C141" s="19"/>
      <c r="D141" s="19"/>
      <c r="E141" s="19"/>
      <c r="F141" s="20"/>
    </row>
    <row r="142" spans="1:6">
      <c r="A142" s="21"/>
      <c r="B142" s="19"/>
      <c r="C142" s="19"/>
      <c r="D142" s="19"/>
      <c r="E142" s="19"/>
      <c r="F142" s="20"/>
    </row>
    <row r="143" spans="1:6">
      <c r="A143" s="21"/>
      <c r="B143" s="19"/>
      <c r="C143" s="19"/>
      <c r="D143" s="19"/>
      <c r="E143" s="19"/>
      <c r="F143" s="20"/>
    </row>
    <row r="144" spans="1:6">
      <c r="A144" s="21"/>
      <c r="B144" s="19"/>
      <c r="C144" s="19"/>
      <c r="D144" s="19"/>
      <c r="E144" s="19"/>
      <c r="F144" s="20"/>
    </row>
    <row r="145" spans="1:6">
      <c r="A145" s="21"/>
      <c r="B145" s="19"/>
      <c r="C145" s="19"/>
      <c r="D145" s="19"/>
      <c r="E145" s="19"/>
      <c r="F145" s="20"/>
    </row>
    <row r="146" spans="1:6">
      <c r="A146" s="21"/>
      <c r="B146" s="19"/>
      <c r="C146" s="19"/>
      <c r="D146" s="19"/>
      <c r="E146" s="19"/>
      <c r="F146" s="20"/>
    </row>
    <row r="147" spans="1:6">
      <c r="A147" s="21"/>
      <c r="B147" s="22"/>
      <c r="C147" s="19"/>
      <c r="D147" s="19"/>
      <c r="E147" s="19"/>
      <c r="F147" s="20"/>
    </row>
    <row r="148" spans="1:6">
      <c r="A148" s="21"/>
      <c r="B148" s="19"/>
      <c r="C148" s="19"/>
      <c r="D148" s="19"/>
      <c r="E148" s="19"/>
      <c r="F148" s="20"/>
    </row>
    <row r="149" spans="1:6">
      <c r="A149" s="21"/>
      <c r="B149" s="19"/>
      <c r="C149" s="19"/>
      <c r="D149" s="19"/>
      <c r="E149" s="19"/>
      <c r="F149" s="20"/>
    </row>
    <row r="150" spans="1:6">
      <c r="A150" s="21"/>
      <c r="B150" s="19"/>
      <c r="C150" s="19"/>
      <c r="D150" s="19"/>
      <c r="E150" s="19"/>
      <c r="F150" s="20"/>
    </row>
    <row r="151" spans="1:6">
      <c r="A151" s="21"/>
      <c r="B151" s="19"/>
      <c r="C151" s="19"/>
      <c r="D151" s="19"/>
      <c r="E151" s="19"/>
      <c r="F151" s="20"/>
    </row>
    <row r="152" spans="1:6">
      <c r="A152" s="21"/>
      <c r="B152" s="19"/>
      <c r="C152" s="19"/>
      <c r="D152" s="19"/>
      <c r="E152" s="19"/>
      <c r="F152" s="20"/>
    </row>
    <row r="153" spans="1:6">
      <c r="A153" s="21"/>
      <c r="B153" s="19"/>
      <c r="C153" s="19"/>
      <c r="D153" s="19"/>
      <c r="E153" s="19"/>
      <c r="F153" s="20"/>
    </row>
    <row r="154" spans="1:6">
      <c r="A154" s="21"/>
      <c r="B154" s="19"/>
      <c r="C154" s="19"/>
      <c r="D154" s="19"/>
      <c r="E154" s="19"/>
      <c r="F154" s="20"/>
    </row>
    <row r="155" spans="1:6">
      <c r="A155" s="21"/>
      <c r="B155" s="19"/>
      <c r="C155" s="19"/>
      <c r="D155" s="19"/>
      <c r="E155" s="19"/>
      <c r="F155" s="20"/>
    </row>
    <row r="156" spans="1:6">
      <c r="A156" s="21"/>
      <c r="B156" s="19"/>
      <c r="C156" s="19"/>
      <c r="D156" s="19"/>
      <c r="E156" s="19"/>
      <c r="F156" s="20"/>
    </row>
    <row r="157" spans="1:6">
      <c r="A157" s="21"/>
      <c r="B157" s="19"/>
      <c r="C157" s="19"/>
      <c r="D157" s="19"/>
      <c r="E157" s="19"/>
      <c r="F157" s="20"/>
    </row>
    <row r="158" spans="1:6">
      <c r="A158" s="21"/>
      <c r="B158" s="19"/>
      <c r="C158" s="19"/>
      <c r="D158" s="19"/>
      <c r="E158" s="19"/>
      <c r="F158" s="20"/>
    </row>
    <row r="159" spans="1:6">
      <c r="A159" s="21"/>
      <c r="B159" s="19"/>
      <c r="C159" s="19"/>
      <c r="D159" s="19"/>
      <c r="E159" s="19"/>
      <c r="F159" s="20"/>
    </row>
    <row r="160" spans="1:6">
      <c r="A160" s="21"/>
      <c r="B160" s="19"/>
      <c r="C160" s="19"/>
      <c r="D160" s="19"/>
      <c r="E160" s="19"/>
      <c r="F160" s="20"/>
    </row>
    <row r="161" spans="1:6">
      <c r="A161" s="21"/>
      <c r="B161" s="19"/>
      <c r="C161" s="19"/>
      <c r="D161" s="19"/>
      <c r="E161" s="19"/>
      <c r="F161" s="20"/>
    </row>
    <row r="162" spans="1:6">
      <c r="A162" s="21"/>
      <c r="B162" s="19"/>
      <c r="C162" s="19"/>
      <c r="D162" s="19"/>
      <c r="E162" s="19"/>
      <c r="F162" s="20"/>
    </row>
    <row r="163" spans="1:6">
      <c r="A163" s="21"/>
      <c r="B163" s="19"/>
      <c r="C163" s="19"/>
      <c r="D163" s="19"/>
      <c r="E163" s="19"/>
      <c r="F163" s="20"/>
    </row>
    <row r="164" spans="1:6">
      <c r="A164" s="21"/>
      <c r="B164" s="19"/>
      <c r="C164" s="19"/>
      <c r="D164" s="19"/>
      <c r="E164" s="19"/>
      <c r="F164" s="20"/>
    </row>
    <row r="165" spans="1:6">
      <c r="A165" s="21"/>
      <c r="B165" s="19"/>
      <c r="C165" s="19"/>
      <c r="D165" s="19"/>
      <c r="E165" s="19"/>
      <c r="F165" s="20"/>
    </row>
    <row r="166" spans="1:6">
      <c r="A166" s="21"/>
      <c r="B166" s="19"/>
      <c r="C166" s="19"/>
      <c r="D166" s="19"/>
      <c r="E166" s="19"/>
      <c r="F166" s="20"/>
    </row>
    <row r="167" spans="1:6">
      <c r="A167" s="21"/>
      <c r="B167" s="19"/>
      <c r="C167" s="19"/>
      <c r="D167" s="19"/>
      <c r="E167" s="19"/>
      <c r="F167" s="20"/>
    </row>
    <row r="168" spans="1:6">
      <c r="A168" s="21"/>
      <c r="B168" s="19"/>
      <c r="C168" s="19"/>
      <c r="D168" s="19"/>
      <c r="E168" s="19"/>
      <c r="F168" s="20"/>
    </row>
    <row r="169" spans="1:6">
      <c r="A169" s="21"/>
      <c r="B169" s="19"/>
      <c r="C169" s="19"/>
      <c r="D169" s="19"/>
      <c r="E169" s="19"/>
      <c r="F169" s="20"/>
    </row>
    <row r="170" spans="1:6">
      <c r="A170" s="21"/>
      <c r="B170" s="19"/>
      <c r="C170" s="19"/>
      <c r="D170" s="19"/>
      <c r="E170" s="19"/>
      <c r="F170" s="20"/>
    </row>
    <row r="171" spans="1:6">
      <c r="A171" s="21"/>
      <c r="B171" s="19"/>
      <c r="C171" s="19"/>
      <c r="D171" s="19"/>
      <c r="E171" s="19"/>
      <c r="F171" s="20"/>
    </row>
    <row r="172" spans="1:6">
      <c r="A172" s="21"/>
      <c r="B172" s="19"/>
      <c r="C172" s="19"/>
      <c r="D172" s="19"/>
      <c r="E172" s="19"/>
      <c r="F172" s="20"/>
    </row>
    <row r="173" spans="1:6">
      <c r="A173" s="7"/>
      <c r="B173" s="6"/>
      <c r="C173" s="6"/>
      <c r="D173" s="6"/>
      <c r="E173" s="6"/>
      <c r="F173" s="23"/>
    </row>
    <row r="174" spans="1:6">
      <c r="A174" s="7"/>
      <c r="B174" s="6"/>
      <c r="C174" s="6"/>
      <c r="D174" s="6"/>
      <c r="E174" s="6"/>
      <c r="F174" s="23"/>
    </row>
    <row r="175" spans="1:6">
      <c r="A175" s="7"/>
      <c r="B175" s="6"/>
      <c r="C175" s="6"/>
      <c r="D175" s="6"/>
      <c r="E175" s="6"/>
      <c r="F175" s="23"/>
    </row>
    <row r="176" spans="1:6">
      <c r="A176" s="7"/>
      <c r="B176" s="6"/>
      <c r="C176" s="6"/>
      <c r="D176" s="6"/>
      <c r="E176" s="6"/>
      <c r="F176" s="23"/>
    </row>
    <row r="177" spans="1:6">
      <c r="A177" s="7"/>
      <c r="B177" s="6"/>
      <c r="C177" s="6"/>
      <c r="D177" s="6"/>
      <c r="E177" s="6"/>
      <c r="F177" s="23"/>
    </row>
    <row r="178" spans="1:6">
      <c r="A178" s="7"/>
      <c r="B178" s="6"/>
      <c r="C178" s="6"/>
      <c r="D178" s="6"/>
      <c r="E178" s="6"/>
      <c r="F178" s="23"/>
    </row>
    <row r="179" spans="1:6">
      <c r="A179" s="7"/>
      <c r="B179" s="6"/>
      <c r="C179" s="6"/>
      <c r="D179" s="6"/>
      <c r="E179" s="6"/>
      <c r="F179" s="23"/>
    </row>
    <row r="180" spans="1:6">
      <c r="A180" s="7"/>
      <c r="B180" s="6"/>
      <c r="C180" s="6"/>
      <c r="D180" s="6"/>
      <c r="E180" s="6"/>
      <c r="F180" s="23"/>
    </row>
    <row r="181" spans="1:6">
      <c r="A181" s="7"/>
      <c r="B181" s="6"/>
      <c r="C181" s="6"/>
      <c r="D181" s="6"/>
      <c r="E181" s="6"/>
      <c r="F181" s="23"/>
    </row>
    <row r="182" spans="1:6">
      <c r="A182" s="7"/>
      <c r="B182" s="6"/>
      <c r="C182" s="6"/>
      <c r="D182" s="6"/>
      <c r="E182" s="6"/>
      <c r="F182" s="23"/>
    </row>
    <row r="183" spans="1:6">
      <c r="A183" s="7"/>
      <c r="B183" s="6"/>
      <c r="C183" s="6"/>
      <c r="D183" s="6"/>
      <c r="E183" s="6"/>
      <c r="F183" s="23"/>
    </row>
    <row r="184" spans="1:6">
      <c r="A184" s="7"/>
      <c r="B184" s="6"/>
      <c r="C184" s="6"/>
      <c r="D184" s="6"/>
      <c r="E184" s="6"/>
      <c r="F184" s="23"/>
    </row>
    <row r="185" spans="1:6">
      <c r="A185" s="7"/>
      <c r="B185" s="6"/>
      <c r="C185" s="6"/>
      <c r="D185" s="6"/>
      <c r="E185" s="6"/>
      <c r="F185" s="23"/>
    </row>
    <row r="186" spans="1:6">
      <c r="A186" s="7"/>
      <c r="B186" s="6"/>
      <c r="C186" s="6"/>
      <c r="D186" s="6"/>
      <c r="E186" s="6"/>
      <c r="F186" s="23"/>
    </row>
    <row r="187" spans="1:6">
      <c r="A187" s="7"/>
      <c r="B187" s="6"/>
      <c r="C187" s="6"/>
      <c r="D187" s="6"/>
      <c r="E187" s="6"/>
      <c r="F187" s="23"/>
    </row>
    <row r="188" spans="1:6">
      <c r="A188" s="7"/>
      <c r="B188" s="6"/>
      <c r="C188" s="6"/>
      <c r="D188" s="6"/>
      <c r="E188" s="6"/>
      <c r="F188" s="23"/>
    </row>
    <row r="189" spans="1:6">
      <c r="A189" s="7"/>
      <c r="B189" s="6"/>
      <c r="C189" s="6"/>
      <c r="D189" s="6"/>
      <c r="E189" s="6"/>
      <c r="F189" s="23"/>
    </row>
    <row r="190" spans="1:6">
      <c r="A190" s="7"/>
      <c r="B190" s="6"/>
      <c r="C190" s="6"/>
      <c r="D190" s="6"/>
      <c r="E190" s="6"/>
      <c r="F190" s="23"/>
    </row>
    <row r="191" spans="1:6">
      <c r="A191" s="7"/>
      <c r="B191" s="6"/>
      <c r="C191" s="6"/>
      <c r="D191" s="6"/>
      <c r="E191" s="6"/>
      <c r="F191" s="23"/>
    </row>
    <row r="192" spans="1:6">
      <c r="A192" s="7"/>
      <c r="B192" s="6"/>
      <c r="C192" s="6"/>
      <c r="D192" s="6"/>
      <c r="E192" s="6"/>
      <c r="F192" s="23"/>
    </row>
    <row r="193" spans="1:6">
      <c r="A193" s="7"/>
      <c r="B193" s="6"/>
      <c r="C193" s="6"/>
      <c r="D193" s="6"/>
      <c r="E193" s="6"/>
      <c r="F193" s="23"/>
    </row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BB9F9"/>
  </sheetPr>
  <dimension ref="A1:R147"/>
  <sheetViews>
    <sheetView workbookViewId="0">
      <selection activeCell="E4" sqref="E4"/>
    </sheetView>
  </sheetViews>
  <sheetFormatPr defaultColWidth="8.77734375" defaultRowHeight="18"/>
  <cols>
    <col min="1" max="1" width="31.6640625" customWidth="1"/>
    <col min="2" max="2" width="14.6640625" bestFit="1" customWidth="1"/>
    <col min="4" max="4" width="14.44140625" customWidth="1"/>
    <col min="5" max="5" width="8.6640625" style="29" bestFit="1" customWidth="1"/>
    <col min="6" max="6" width="15.33203125" style="28" bestFit="1" customWidth="1"/>
    <col min="7" max="7" width="0.44140625" style="17" customWidth="1"/>
    <col min="8" max="8" width="21.109375" bestFit="1" customWidth="1"/>
    <col min="9" max="9" width="10.33203125" style="28" bestFit="1" customWidth="1"/>
    <col min="10" max="10" width="24.77734375" style="30" bestFit="1" customWidth="1"/>
  </cols>
  <sheetData>
    <row r="1" spans="1:18" s="4" customFormat="1" ht="58.95" customHeight="1">
      <c r="A1" s="107" t="s">
        <v>274</v>
      </c>
      <c r="B1" s="107"/>
      <c r="C1" s="107"/>
      <c r="D1" s="107"/>
      <c r="E1" s="107"/>
      <c r="F1" s="107"/>
      <c r="G1" s="107"/>
      <c r="H1" s="107"/>
      <c r="I1" s="52"/>
      <c r="J1" s="53"/>
      <c r="K1" s="18"/>
      <c r="L1" s="18"/>
      <c r="M1" s="18"/>
      <c r="N1" s="18"/>
      <c r="O1" s="18"/>
      <c r="P1" s="18"/>
      <c r="Q1" s="18"/>
      <c r="R1" s="18"/>
    </row>
    <row r="2" spans="1:18" s="3" customFormat="1" ht="20.399999999999999">
      <c r="A2" s="45" t="s">
        <v>2</v>
      </c>
      <c r="B2" s="45" t="s">
        <v>4</v>
      </c>
      <c r="C2" s="45" t="s">
        <v>86</v>
      </c>
      <c r="D2" s="45" t="s">
        <v>98</v>
      </c>
      <c r="E2" s="54" t="s">
        <v>5</v>
      </c>
      <c r="F2" s="44" t="s">
        <v>85</v>
      </c>
      <c r="G2" s="32"/>
      <c r="H2" s="45" t="s">
        <v>99</v>
      </c>
      <c r="I2" s="44" t="s">
        <v>100</v>
      </c>
      <c r="J2" s="55" t="s">
        <v>101</v>
      </c>
      <c r="K2" s="8"/>
      <c r="L2" s="8"/>
      <c r="M2" s="8"/>
      <c r="N2" s="8"/>
      <c r="O2" s="8"/>
      <c r="P2" s="8"/>
      <c r="Q2" s="8"/>
      <c r="R2" s="8"/>
    </row>
    <row r="3" spans="1:18" s="6" customFormat="1" ht="3" customHeight="1">
      <c r="A3" s="47"/>
      <c r="B3" s="48"/>
      <c r="C3" s="48"/>
      <c r="D3" s="48"/>
      <c r="E3" s="56"/>
      <c r="F3" s="47"/>
      <c r="G3" s="35"/>
      <c r="H3" s="48"/>
      <c r="I3" s="47"/>
      <c r="J3" s="57"/>
    </row>
    <row r="4" spans="1:18" ht="17.399999999999999">
      <c r="A4" s="50" t="s">
        <v>268</v>
      </c>
      <c r="B4" s="50" t="s">
        <v>17</v>
      </c>
      <c r="C4" s="50" t="s">
        <v>258</v>
      </c>
      <c r="D4" s="38" t="s">
        <v>272</v>
      </c>
      <c r="E4" s="58">
        <v>504</v>
      </c>
      <c r="F4" s="59">
        <v>43760</v>
      </c>
      <c r="G4" s="36"/>
      <c r="H4" s="60">
        <f t="shared" ref="H4:H13" ca="1" si="0">(TODAY()-F4)/365</f>
        <v>0.24109589041095891</v>
      </c>
      <c r="I4" s="59" t="e">
        <f>VLOOKUP(A4,'Book Survey'!A:P,9,FALSE)</f>
        <v>#N/A</v>
      </c>
      <c r="J4" s="61" t="str">
        <f t="shared" ref="J4:J13" si="1">IFERROR(((I4-F4)/365), "Not yet read")</f>
        <v>Not yet read</v>
      </c>
    </row>
    <row r="5" spans="1:18" ht="17.399999999999999">
      <c r="A5" s="50" t="s">
        <v>270</v>
      </c>
      <c r="B5" s="50" t="s">
        <v>271</v>
      </c>
      <c r="C5" s="50" t="s">
        <v>18</v>
      </c>
      <c r="D5" s="38" t="s">
        <v>27</v>
      </c>
      <c r="E5" s="58">
        <v>311</v>
      </c>
      <c r="F5" s="59">
        <v>43760</v>
      </c>
      <c r="G5" s="36"/>
      <c r="H5" s="60">
        <f t="shared" ca="1" si="0"/>
        <v>0.24109589041095891</v>
      </c>
      <c r="I5" s="59" t="e">
        <f>VLOOKUP(A5,'Book Survey'!A:P,9,FALSE)</f>
        <v>#N/A</v>
      </c>
      <c r="J5" s="61" t="str">
        <f t="shared" si="1"/>
        <v>Not yet read</v>
      </c>
    </row>
    <row r="6" spans="1:18" ht="17.399999999999999">
      <c r="A6" s="50" t="s">
        <v>273</v>
      </c>
      <c r="B6" s="50" t="s">
        <v>52</v>
      </c>
      <c r="C6" s="50" t="s">
        <v>18</v>
      </c>
      <c r="D6" s="38" t="s">
        <v>272</v>
      </c>
      <c r="E6" s="58">
        <v>333</v>
      </c>
      <c r="F6" s="59">
        <v>43760</v>
      </c>
      <c r="G6" s="36"/>
      <c r="H6" s="60">
        <f t="shared" ca="1" si="0"/>
        <v>0.24109589041095891</v>
      </c>
      <c r="I6" s="59" t="e">
        <f>VLOOKUP(A6,'Book Survey'!A:P,9,FALSE)</f>
        <v>#N/A</v>
      </c>
      <c r="J6" s="61" t="str">
        <f t="shared" si="1"/>
        <v>Not yet read</v>
      </c>
    </row>
    <row r="7" spans="1:18" ht="17.399999999999999">
      <c r="A7" s="39"/>
      <c r="B7" s="50" t="s">
        <v>31</v>
      </c>
      <c r="C7" s="50" t="s">
        <v>18</v>
      </c>
      <c r="D7" s="38" t="s">
        <v>39</v>
      </c>
      <c r="E7" s="58">
        <v>65</v>
      </c>
      <c r="F7" s="59">
        <v>42555</v>
      </c>
      <c r="G7" s="36"/>
      <c r="H7" s="60">
        <f t="shared" ca="1" si="0"/>
        <v>3.5424657534246577</v>
      </c>
      <c r="I7" s="59" t="e">
        <f>VLOOKUP(A7,'Book Survey'!A:P,9,FALSE)</f>
        <v>#N/A</v>
      </c>
      <c r="J7" s="61" t="str">
        <f t="shared" si="1"/>
        <v>Not yet read</v>
      </c>
    </row>
    <row r="8" spans="1:18" ht="17.399999999999999">
      <c r="A8" s="39"/>
      <c r="B8" s="50" t="s">
        <v>38</v>
      </c>
      <c r="C8" s="50" t="s">
        <v>18</v>
      </c>
      <c r="D8" s="38" t="s">
        <v>19</v>
      </c>
      <c r="E8" s="58">
        <v>545</v>
      </c>
      <c r="F8" s="59">
        <v>42556</v>
      </c>
      <c r="G8" s="36"/>
      <c r="H8" s="60">
        <f t="shared" ca="1" si="0"/>
        <v>3.5397260273972604</v>
      </c>
      <c r="I8" s="59" t="e">
        <f>VLOOKUP(A8,'Book Survey'!A:P,9,FALSE)</f>
        <v>#N/A</v>
      </c>
      <c r="J8" s="61" t="str">
        <f t="shared" si="1"/>
        <v>Not yet read</v>
      </c>
    </row>
    <row r="9" spans="1:18" ht="17.399999999999999">
      <c r="A9" s="39"/>
      <c r="B9" s="50" t="s">
        <v>46</v>
      </c>
      <c r="C9" s="50" t="s">
        <v>18</v>
      </c>
      <c r="D9" s="38" t="s">
        <v>27</v>
      </c>
      <c r="E9" s="58">
        <v>55</v>
      </c>
      <c r="F9" s="59">
        <v>38207</v>
      </c>
      <c r="G9" s="36"/>
      <c r="H9" s="60">
        <f t="shared" ca="1" si="0"/>
        <v>15.454794520547946</v>
      </c>
      <c r="I9" s="59" t="e">
        <f>VLOOKUP(A9,'Book Survey'!A:P,9,FALSE)</f>
        <v>#N/A</v>
      </c>
      <c r="J9" s="61" t="str">
        <f t="shared" si="1"/>
        <v>Not yet read</v>
      </c>
    </row>
    <row r="10" spans="1:18" ht="17.399999999999999">
      <c r="A10" s="39"/>
      <c r="B10" s="50" t="s">
        <v>96</v>
      </c>
      <c r="C10" s="50" t="s">
        <v>18</v>
      </c>
      <c r="D10" s="38" t="s">
        <v>33</v>
      </c>
      <c r="E10" s="58">
        <v>6</v>
      </c>
      <c r="F10" s="59">
        <v>43079</v>
      </c>
      <c r="G10" s="36"/>
      <c r="H10" s="60">
        <f t="shared" ca="1" si="0"/>
        <v>2.106849315068493</v>
      </c>
      <c r="I10" s="59" t="e">
        <f>VLOOKUP(A10,'Book Survey'!A:P,9,FALSE)</f>
        <v>#N/A</v>
      </c>
      <c r="J10" s="61" t="str">
        <f t="shared" si="1"/>
        <v>Not yet read</v>
      </c>
    </row>
    <row r="11" spans="1:18" ht="17.399999999999999">
      <c r="A11" s="39"/>
      <c r="B11" s="50" t="s">
        <v>56</v>
      </c>
      <c r="C11" s="50" t="s">
        <v>18</v>
      </c>
      <c r="D11" s="38" t="s">
        <v>39</v>
      </c>
      <c r="E11" s="58">
        <v>6</v>
      </c>
      <c r="F11" s="59">
        <v>42979</v>
      </c>
      <c r="G11" s="36"/>
      <c r="H11" s="60">
        <f t="shared" ca="1" si="0"/>
        <v>2.3808219178082193</v>
      </c>
      <c r="I11" s="59" t="e">
        <f>VLOOKUP(A11,'Book Survey'!A:P,9,FALSE)</f>
        <v>#N/A</v>
      </c>
      <c r="J11" s="61" t="str">
        <f t="shared" si="1"/>
        <v>Not yet read</v>
      </c>
    </row>
    <row r="12" spans="1:18" ht="17.399999999999999">
      <c r="A12" s="39"/>
      <c r="B12" s="50" t="s">
        <v>74</v>
      </c>
      <c r="C12" s="50" t="s">
        <v>18</v>
      </c>
      <c r="D12" s="38" t="s">
        <v>19</v>
      </c>
      <c r="E12" s="58">
        <v>6</v>
      </c>
      <c r="F12" s="59">
        <v>42980</v>
      </c>
      <c r="G12" s="36"/>
      <c r="H12" s="60">
        <f t="shared" ca="1" si="0"/>
        <v>2.3780821917808219</v>
      </c>
      <c r="I12" s="59" t="e">
        <f>VLOOKUP(A12,'Book Survey'!A:P,9,FALSE)</f>
        <v>#N/A</v>
      </c>
      <c r="J12" s="61" t="str">
        <f t="shared" si="1"/>
        <v>Not yet read</v>
      </c>
    </row>
    <row r="13" spans="1:18" ht="17.399999999999999">
      <c r="A13" s="39"/>
      <c r="B13" s="50" t="s">
        <v>74</v>
      </c>
      <c r="C13" s="50" t="s">
        <v>18</v>
      </c>
      <c r="D13" s="38" t="s">
        <v>27</v>
      </c>
      <c r="E13" s="58">
        <v>1615</v>
      </c>
      <c r="F13" s="59">
        <v>42981</v>
      </c>
      <c r="G13" s="36"/>
      <c r="H13" s="60">
        <f t="shared" ca="1" si="0"/>
        <v>2.3753424657534246</v>
      </c>
      <c r="I13" s="59" t="e">
        <f>VLOOKUP(A13,'Book Survey'!A:P,9,FALSE)</f>
        <v>#N/A</v>
      </c>
      <c r="J13" s="61" t="str">
        <f t="shared" si="1"/>
        <v>Not yet read</v>
      </c>
    </row>
    <row r="14" spans="1:18" ht="17.399999999999999">
      <c r="A14" s="39"/>
      <c r="B14" s="50" t="s">
        <v>17</v>
      </c>
      <c r="C14" s="50" t="s">
        <v>18</v>
      </c>
      <c r="D14" s="38" t="s">
        <v>33</v>
      </c>
      <c r="E14" s="58">
        <v>152</v>
      </c>
      <c r="F14" s="59">
        <v>42982</v>
      </c>
      <c r="G14" s="36"/>
      <c r="H14" s="60">
        <f t="shared" ref="H14:H17" ca="1" si="2">(TODAY()-F14)/365</f>
        <v>2.3726027397260272</v>
      </c>
      <c r="I14" s="59" t="e">
        <f>VLOOKUP(A14,'Book Survey'!A:P,9,FALSE)</f>
        <v>#N/A</v>
      </c>
      <c r="J14" s="61" t="str">
        <f t="shared" ref="J14:J17" si="3">IFERROR(((I14-F14)/365), "Not yet read")</f>
        <v>Not yet read</v>
      </c>
    </row>
    <row r="15" spans="1:18" ht="17.399999999999999">
      <c r="A15" s="39"/>
      <c r="B15" s="50" t="s">
        <v>17</v>
      </c>
      <c r="C15" s="50" t="s">
        <v>18</v>
      </c>
      <c r="D15" s="38" t="s">
        <v>39</v>
      </c>
      <c r="E15" s="58">
        <v>558</v>
      </c>
      <c r="F15" s="59">
        <v>42618</v>
      </c>
      <c r="G15" s="36"/>
      <c r="H15" s="60">
        <f t="shared" ca="1" si="2"/>
        <v>3.3698630136986303</v>
      </c>
      <c r="I15" s="59" t="e">
        <f>VLOOKUP(A15,'Book Survey'!A:P,9,FALSE)</f>
        <v>#N/A</v>
      </c>
      <c r="J15" s="61" t="str">
        <f t="shared" si="3"/>
        <v>Not yet read</v>
      </c>
    </row>
    <row r="16" spans="1:18" ht="17.399999999999999">
      <c r="A16" s="41"/>
      <c r="B16" s="50" t="s">
        <v>17</v>
      </c>
      <c r="C16" s="50" t="s">
        <v>18</v>
      </c>
      <c r="D16" s="38" t="s">
        <v>19</v>
      </c>
      <c r="E16" s="58">
        <v>586</v>
      </c>
      <c r="F16" s="59">
        <v>42005</v>
      </c>
      <c r="G16" s="36"/>
      <c r="H16" s="60">
        <f t="shared" ca="1" si="2"/>
        <v>5.0493150684931507</v>
      </c>
      <c r="I16" s="59" t="e">
        <f>VLOOKUP(A16,'Book Survey'!A:P,9,FALSE)</f>
        <v>#N/A</v>
      </c>
      <c r="J16" s="61" t="str">
        <f t="shared" si="3"/>
        <v>Not yet read</v>
      </c>
    </row>
    <row r="17" spans="1:10" ht="17.399999999999999">
      <c r="A17" s="41"/>
      <c r="B17" s="50" t="s">
        <v>74</v>
      </c>
      <c r="C17" s="50" t="s">
        <v>18</v>
      </c>
      <c r="D17" s="38" t="s">
        <v>19</v>
      </c>
      <c r="E17" s="58">
        <v>148</v>
      </c>
      <c r="F17" s="59">
        <v>42979</v>
      </c>
      <c r="G17" s="36"/>
      <c r="H17" s="60">
        <f t="shared" ca="1" si="2"/>
        <v>2.3808219178082193</v>
      </c>
      <c r="I17" s="59" t="e">
        <f>VLOOKUP(A17,'Book Survey'!A:P,9,FALSE)</f>
        <v>#N/A</v>
      </c>
      <c r="J17" s="61" t="str">
        <f t="shared" si="3"/>
        <v>Not yet read</v>
      </c>
    </row>
    <row r="18" spans="1:10" ht="17.399999999999999">
      <c r="A18" s="62"/>
      <c r="B18" s="62"/>
      <c r="C18" s="62"/>
      <c r="D18" s="62"/>
      <c r="E18" s="63"/>
      <c r="F18" s="64"/>
      <c r="G18" s="36"/>
      <c r="H18" s="62"/>
      <c r="I18" s="64"/>
      <c r="J18" s="65"/>
    </row>
    <row r="19" spans="1:10" ht="17.399999999999999">
      <c r="A19" s="62"/>
      <c r="B19" s="62"/>
      <c r="C19" s="62"/>
      <c r="D19" s="62"/>
      <c r="E19" s="63"/>
      <c r="F19" s="64"/>
      <c r="G19" s="36"/>
      <c r="H19" s="62"/>
      <c r="I19" s="64"/>
      <c r="J19" s="65"/>
    </row>
    <row r="20" spans="1:10">
      <c r="G20" s="16"/>
    </row>
    <row r="21" spans="1:10">
      <c r="G21" s="16"/>
    </row>
    <row r="22" spans="1:10">
      <c r="G22" s="16"/>
    </row>
    <row r="23" spans="1:10">
      <c r="G23" s="16"/>
    </row>
    <row r="24" spans="1:10">
      <c r="G24" s="16"/>
    </row>
    <row r="25" spans="1:10">
      <c r="G25" s="16"/>
    </row>
    <row r="26" spans="1:10">
      <c r="G26" s="16"/>
    </row>
    <row r="27" spans="1:10">
      <c r="G27" s="16"/>
    </row>
    <row r="28" spans="1:10">
      <c r="G28" s="16"/>
    </row>
    <row r="29" spans="1:10">
      <c r="G29" s="16"/>
    </row>
    <row r="30" spans="1:10">
      <c r="G30" s="16"/>
    </row>
    <row r="31" spans="1:10">
      <c r="G31" s="16"/>
    </row>
    <row r="32" spans="1:10">
      <c r="G32" s="16"/>
    </row>
    <row r="33" spans="7:7">
      <c r="G33" s="16"/>
    </row>
    <row r="34" spans="7:7">
      <c r="G34" s="16"/>
    </row>
    <row r="35" spans="7:7">
      <c r="G35" s="16"/>
    </row>
    <row r="36" spans="7:7">
      <c r="G36" s="16"/>
    </row>
    <row r="37" spans="7:7">
      <c r="G37" s="16"/>
    </row>
    <row r="38" spans="7:7">
      <c r="G38" s="16"/>
    </row>
    <row r="39" spans="7:7">
      <c r="G39" s="16"/>
    </row>
    <row r="40" spans="7:7">
      <c r="G40" s="16"/>
    </row>
    <row r="41" spans="7:7">
      <c r="G41" s="16"/>
    </row>
    <row r="42" spans="7:7">
      <c r="G42" s="16"/>
    </row>
    <row r="43" spans="7:7">
      <c r="G43" s="16"/>
    </row>
    <row r="44" spans="7:7">
      <c r="G44" s="16"/>
    </row>
    <row r="45" spans="7:7">
      <c r="G45" s="16"/>
    </row>
    <row r="46" spans="7:7">
      <c r="G46" s="16"/>
    </row>
    <row r="47" spans="7:7">
      <c r="G47" s="16"/>
    </row>
    <row r="48" spans="7:7">
      <c r="G48" s="16"/>
    </row>
    <row r="49" spans="7:7">
      <c r="G49" s="16"/>
    </row>
    <row r="50" spans="7:7">
      <c r="G50" s="16"/>
    </row>
    <row r="51" spans="7:7">
      <c r="G51" s="16"/>
    </row>
    <row r="52" spans="7:7">
      <c r="G52" s="16"/>
    </row>
    <row r="53" spans="7:7">
      <c r="G53" s="16"/>
    </row>
    <row r="54" spans="7:7">
      <c r="G54" s="16"/>
    </row>
    <row r="55" spans="7:7">
      <c r="G55" s="16"/>
    </row>
    <row r="56" spans="7:7">
      <c r="G56" s="16"/>
    </row>
    <row r="57" spans="7:7">
      <c r="G57" s="16"/>
    </row>
    <row r="58" spans="7:7">
      <c r="G58" s="16"/>
    </row>
    <row r="59" spans="7:7">
      <c r="G59" s="16"/>
    </row>
    <row r="60" spans="7:7">
      <c r="G60" s="16"/>
    </row>
    <row r="61" spans="7:7">
      <c r="G61" s="16"/>
    </row>
    <row r="62" spans="7:7">
      <c r="G62" s="16"/>
    </row>
    <row r="63" spans="7:7">
      <c r="G63" s="16"/>
    </row>
    <row r="64" spans="7:7">
      <c r="G64" s="16"/>
    </row>
    <row r="65" spans="7:7">
      <c r="G65" s="16"/>
    </row>
    <row r="66" spans="7:7">
      <c r="G66" s="16"/>
    </row>
    <row r="67" spans="7:7">
      <c r="G67" s="16"/>
    </row>
    <row r="68" spans="7:7">
      <c r="G68" s="16"/>
    </row>
    <row r="69" spans="7:7">
      <c r="G69" s="16"/>
    </row>
    <row r="70" spans="7:7">
      <c r="G70" s="16"/>
    </row>
    <row r="71" spans="7:7">
      <c r="G71" s="16"/>
    </row>
    <row r="72" spans="7:7">
      <c r="G72" s="16"/>
    </row>
    <row r="73" spans="7:7">
      <c r="G73" s="16"/>
    </row>
    <row r="74" spans="7:7">
      <c r="G74" s="16"/>
    </row>
    <row r="75" spans="7:7">
      <c r="G75" s="16"/>
    </row>
    <row r="76" spans="7:7">
      <c r="G76" s="16"/>
    </row>
    <row r="77" spans="7:7">
      <c r="G77" s="16"/>
    </row>
    <row r="78" spans="7:7">
      <c r="G78" s="16"/>
    </row>
    <row r="79" spans="7:7">
      <c r="G79" s="16"/>
    </row>
    <row r="80" spans="7:7">
      <c r="G80" s="16"/>
    </row>
    <row r="81" spans="7:7">
      <c r="G81" s="16"/>
    </row>
    <row r="82" spans="7:7">
      <c r="G82" s="16"/>
    </row>
    <row r="83" spans="7:7">
      <c r="G83" s="16"/>
    </row>
    <row r="84" spans="7:7">
      <c r="G84" s="16"/>
    </row>
    <row r="85" spans="7:7">
      <c r="G85" s="16"/>
    </row>
    <row r="86" spans="7:7">
      <c r="G86" s="16"/>
    </row>
    <row r="87" spans="7:7">
      <c r="G87" s="16"/>
    </row>
    <row r="88" spans="7:7">
      <c r="G88" s="16"/>
    </row>
    <row r="89" spans="7:7">
      <c r="G89" s="16"/>
    </row>
    <row r="90" spans="7:7">
      <c r="G90" s="16"/>
    </row>
    <row r="91" spans="7:7">
      <c r="G91" s="16"/>
    </row>
    <row r="92" spans="7:7">
      <c r="G92" s="16"/>
    </row>
    <row r="93" spans="7:7">
      <c r="G93" s="16"/>
    </row>
    <row r="94" spans="7:7">
      <c r="G94" s="16"/>
    </row>
    <row r="95" spans="7:7">
      <c r="G95" s="16"/>
    </row>
    <row r="96" spans="7:7">
      <c r="G96" s="16"/>
    </row>
    <row r="97" spans="7:7">
      <c r="G97" s="16"/>
    </row>
    <row r="98" spans="7:7">
      <c r="G98" s="16"/>
    </row>
    <row r="99" spans="7:7">
      <c r="G99" s="16"/>
    </row>
    <row r="100" spans="7:7">
      <c r="G100" s="16"/>
    </row>
    <row r="101" spans="7:7">
      <c r="G101" s="16"/>
    </row>
    <row r="102" spans="7:7">
      <c r="G102" s="16"/>
    </row>
    <row r="103" spans="7:7">
      <c r="G103" s="16"/>
    </row>
    <row r="104" spans="7:7">
      <c r="G104" s="16"/>
    </row>
    <row r="105" spans="7:7">
      <c r="G105" s="16"/>
    </row>
    <row r="106" spans="7:7">
      <c r="G106" s="16"/>
    </row>
    <row r="107" spans="7:7">
      <c r="G107" s="16"/>
    </row>
    <row r="108" spans="7:7">
      <c r="G108" s="16"/>
    </row>
    <row r="109" spans="7:7">
      <c r="G109" s="16"/>
    </row>
    <row r="110" spans="7:7">
      <c r="G110" s="16"/>
    </row>
    <row r="111" spans="7:7">
      <c r="G111" s="16"/>
    </row>
    <row r="112" spans="7:7">
      <c r="G112" s="16"/>
    </row>
    <row r="113" spans="7:7">
      <c r="G113" s="16"/>
    </row>
    <row r="114" spans="7:7">
      <c r="G114" s="16"/>
    </row>
    <row r="115" spans="7:7">
      <c r="G115" s="16"/>
    </row>
    <row r="116" spans="7:7">
      <c r="G116" s="16"/>
    </row>
    <row r="117" spans="7:7">
      <c r="G117" s="16"/>
    </row>
    <row r="118" spans="7:7">
      <c r="G118" s="16"/>
    </row>
    <row r="119" spans="7:7">
      <c r="G119" s="16"/>
    </row>
    <row r="120" spans="7:7">
      <c r="G120" s="16"/>
    </row>
    <row r="121" spans="7:7">
      <c r="G121" s="16"/>
    </row>
    <row r="122" spans="7:7">
      <c r="G122" s="16"/>
    </row>
    <row r="123" spans="7:7">
      <c r="G123" s="16"/>
    </row>
    <row r="124" spans="7:7">
      <c r="G124" s="16"/>
    </row>
    <row r="125" spans="7:7">
      <c r="G125" s="16"/>
    </row>
    <row r="126" spans="7:7">
      <c r="G126" s="16"/>
    </row>
    <row r="127" spans="7:7">
      <c r="G127" s="16"/>
    </row>
    <row r="128" spans="7:7">
      <c r="G128" s="16"/>
    </row>
    <row r="129" spans="7:7">
      <c r="G129" s="16"/>
    </row>
    <row r="130" spans="7:7">
      <c r="G130" s="16"/>
    </row>
    <row r="131" spans="7:7">
      <c r="G131" s="16"/>
    </row>
    <row r="132" spans="7:7">
      <c r="G132" s="16"/>
    </row>
    <row r="133" spans="7:7">
      <c r="G133" s="16"/>
    </row>
    <row r="134" spans="7:7">
      <c r="G134" s="16"/>
    </row>
    <row r="135" spans="7:7">
      <c r="G135" s="16"/>
    </row>
    <row r="136" spans="7:7">
      <c r="G136" s="16"/>
    </row>
    <row r="137" spans="7:7">
      <c r="G137" s="16"/>
    </row>
    <row r="138" spans="7:7">
      <c r="G138" s="16"/>
    </row>
    <row r="139" spans="7:7">
      <c r="G139" s="16"/>
    </row>
    <row r="140" spans="7:7">
      <c r="G140" s="16"/>
    </row>
    <row r="141" spans="7:7">
      <c r="G141" s="16"/>
    </row>
    <row r="142" spans="7:7">
      <c r="G142" s="16"/>
    </row>
    <row r="143" spans="7:7">
      <c r="G143" s="16"/>
    </row>
    <row r="144" spans="7:7">
      <c r="G144" s="16"/>
    </row>
    <row r="145" spans="7:7">
      <c r="G145" s="16"/>
    </row>
    <row r="146" spans="7:7">
      <c r="G146" s="16"/>
    </row>
    <row r="147" spans="7:7">
      <c r="G147" s="16"/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2E3F0"/>
  </sheetPr>
  <dimension ref="A1:N255"/>
  <sheetViews>
    <sheetView topLeftCell="A48" workbookViewId="0">
      <selection activeCell="A71" sqref="A71"/>
    </sheetView>
  </sheetViews>
  <sheetFormatPr defaultColWidth="9.109375" defaultRowHeight="14.4"/>
  <cols>
    <col min="1" max="1" width="33.109375" style="4" customWidth="1"/>
    <col min="2" max="2" width="13.6640625" style="4" customWidth="1"/>
    <col min="3" max="3" width="9.33203125" style="4" customWidth="1"/>
    <col min="4" max="4" width="9.109375" style="4"/>
    <col min="5" max="5" width="30.33203125" style="4" bestFit="1" customWidth="1"/>
    <col min="6" max="7" width="8.77734375" style="4" customWidth="1"/>
    <col min="8" max="8" width="12.109375" style="4" customWidth="1"/>
    <col min="9" max="9" width="30.109375" style="4" customWidth="1"/>
    <col min="10" max="10" width="12" style="4" customWidth="1"/>
    <col min="11" max="16384" width="9.109375" style="4"/>
  </cols>
  <sheetData>
    <row r="1" spans="1:14" ht="60.45" customHeight="1">
      <c r="A1" s="107" t="s">
        <v>275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26"/>
      <c r="N1" s="26"/>
    </row>
    <row r="2" spans="1:14" s="11" customFormat="1" ht="18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4" s="11" customFormat="1" ht="18">
      <c r="A3" s="38" t="s">
        <v>102</v>
      </c>
      <c r="B3" s="66">
        <v>50</v>
      </c>
      <c r="C3" s="38"/>
      <c r="D3" s="38"/>
      <c r="E3" s="67" t="s">
        <v>104</v>
      </c>
      <c r="F3" s="68">
        <f ca="1">B8/(YEARFRAC(TODAY(),"1/1/2018"))</f>
        <v>0</v>
      </c>
      <c r="G3" s="38"/>
      <c r="H3" s="38"/>
      <c r="I3" s="67" t="s">
        <v>105</v>
      </c>
      <c r="J3" s="68">
        <f>COUNTIF('Read Harder'!C:C,"Yes")</f>
        <v>0</v>
      </c>
      <c r="K3" s="38"/>
      <c r="L3" s="38"/>
    </row>
    <row r="4" spans="1:14" s="11" customFormat="1" ht="18">
      <c r="A4" s="38" t="s">
        <v>106</v>
      </c>
      <c r="B4" s="38">
        <f>B3/12</f>
        <v>4.166666666666667</v>
      </c>
      <c r="C4" s="38"/>
      <c r="D4" s="38"/>
      <c r="E4" s="67" t="s">
        <v>107</v>
      </c>
      <c r="F4" s="68"/>
      <c r="G4" s="38"/>
      <c r="H4" s="38"/>
      <c r="I4" s="67" t="s">
        <v>108</v>
      </c>
      <c r="J4" s="68">
        <f>24-J3</f>
        <v>24</v>
      </c>
      <c r="K4" s="38"/>
      <c r="L4" s="38"/>
    </row>
    <row r="5" spans="1:14" s="11" customFormat="1" ht="18">
      <c r="A5" s="38" t="s">
        <v>109</v>
      </c>
      <c r="B5" s="66" t="s">
        <v>103</v>
      </c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4" s="11" customFormat="1" ht="18">
      <c r="A6" s="38" t="s">
        <v>110</v>
      </c>
      <c r="B6" s="38" t="e">
        <f>B5-B8+B117</f>
        <v>#VALUE!</v>
      </c>
      <c r="C6" s="38"/>
      <c r="D6" s="38"/>
      <c r="E6" s="67" t="s">
        <v>111</v>
      </c>
      <c r="F6" s="69">
        <f>F55</f>
        <v>3.7</v>
      </c>
      <c r="G6" s="38"/>
      <c r="H6" s="38"/>
      <c r="I6" s="67" t="s">
        <v>112</v>
      </c>
      <c r="J6" s="40"/>
      <c r="K6" s="38"/>
      <c r="L6" s="38"/>
    </row>
    <row r="7" spans="1:14" s="11" customFormat="1" ht="18">
      <c r="A7" s="38"/>
      <c r="B7" s="38"/>
      <c r="C7" s="38"/>
      <c r="D7" s="38"/>
      <c r="E7" s="38"/>
      <c r="F7" s="38"/>
      <c r="G7" s="38"/>
      <c r="H7" s="38"/>
      <c r="I7" s="70" t="e">
        <f>ROUND((AVERAGE('TBR Pile'!J:J)),2)&amp;" years"</f>
        <v>#DIV/0!</v>
      </c>
      <c r="J7" s="40"/>
      <c r="K7" s="38"/>
      <c r="L7" s="38"/>
    </row>
    <row r="8" spans="1:14" s="11" customFormat="1" ht="18">
      <c r="A8" s="67" t="s">
        <v>113</v>
      </c>
      <c r="B8" s="68">
        <f>B28</f>
        <v>0</v>
      </c>
      <c r="C8" s="38"/>
      <c r="D8" s="71"/>
      <c r="E8" s="67" t="s">
        <v>114</v>
      </c>
      <c r="F8" s="72">
        <f>H113</f>
        <v>0</v>
      </c>
      <c r="G8" s="38"/>
      <c r="H8" s="38"/>
      <c r="I8" s="70" t="e">
        <f>ROUND(((AVERAGE('TBR Pile'!J:J)*12)),0)&amp;" months"</f>
        <v>#DIV/0!</v>
      </c>
      <c r="J8" s="40"/>
      <c r="K8" s="38"/>
      <c r="L8" s="38"/>
    </row>
    <row r="9" spans="1:14" s="11" customFormat="1" ht="18">
      <c r="A9" s="67" t="s">
        <v>115</v>
      </c>
      <c r="B9" s="68">
        <f>SUM(F15:F26)</f>
        <v>0</v>
      </c>
      <c r="C9" s="38"/>
      <c r="D9" s="38"/>
      <c r="E9" s="67" t="s">
        <v>116</v>
      </c>
      <c r="F9" s="68">
        <f>F113</f>
        <v>0</v>
      </c>
      <c r="G9" s="38"/>
      <c r="H9" s="38"/>
      <c r="I9" s="70" t="e">
        <f>ROUND(((AVERAGE('TBR Pile'!J:J)*365)),0)&amp;" days"</f>
        <v>#DIV/0!</v>
      </c>
      <c r="J9" s="40"/>
      <c r="K9" s="38"/>
      <c r="L9" s="38"/>
    </row>
    <row r="10" spans="1:14" s="11" customFormat="1" ht="18">
      <c r="A10" s="67" t="s">
        <v>117</v>
      </c>
      <c r="B10" s="68" t="e">
        <f>B9/B8</f>
        <v>#DIV/0!</v>
      </c>
      <c r="C10" s="38"/>
      <c r="D10" s="38"/>
      <c r="E10" s="67" t="s">
        <v>118</v>
      </c>
      <c r="F10" s="72" t="e">
        <f>F8/F9</f>
        <v>#DIV/0!</v>
      </c>
      <c r="G10" s="38"/>
      <c r="H10" s="38"/>
      <c r="I10" s="73"/>
      <c r="J10" s="38"/>
      <c r="K10" s="38"/>
      <c r="L10" s="38"/>
    </row>
    <row r="11" spans="1:14" s="11" customFormat="1" ht="18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</row>
    <row r="12" spans="1:14" s="25" customFormat="1" ht="21">
      <c r="A12" s="109" t="s">
        <v>119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</row>
    <row r="13" spans="1:14" s="11" customFormat="1" ht="18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4" s="11" customFormat="1" ht="18">
      <c r="A14" s="74" t="s">
        <v>120</v>
      </c>
      <c r="B14" s="68"/>
      <c r="C14" s="68"/>
      <c r="D14" s="40"/>
      <c r="E14" s="67" t="s">
        <v>121</v>
      </c>
      <c r="F14" s="75"/>
      <c r="G14" s="75"/>
      <c r="H14" s="38"/>
      <c r="I14" s="67" t="s">
        <v>122</v>
      </c>
      <c r="J14" s="67" t="s">
        <v>123</v>
      </c>
      <c r="K14" s="38"/>
      <c r="L14" s="38"/>
    </row>
    <row r="15" spans="1:14" s="11" customFormat="1" ht="18">
      <c r="A15" s="38" t="s">
        <v>124</v>
      </c>
      <c r="B15" s="38">
        <f>COUNTIFS('Book Survey'!I:I,"&gt;=01/01/2018",'Book Survey'!I:I,"&lt;=31/01/2018")</f>
        <v>0</v>
      </c>
      <c r="C15" s="76">
        <f>IFERROR(B15/$B$8,0)</f>
        <v>0</v>
      </c>
      <c r="D15" s="38"/>
      <c r="E15" s="38" t="s">
        <v>124</v>
      </c>
      <c r="F15" s="38">
        <f>SUMIFS('Book Survey'!D:D,'Book Survey'!I:I,"&gt;=01/01/2018",'Book Survey'!I:I,"&lt;=31/01/2018")</f>
        <v>0</v>
      </c>
      <c r="G15" s="76">
        <f t="shared" ref="G15:G26" si="0">IFERROR(F15/$B$9,0)</f>
        <v>0</v>
      </c>
      <c r="H15" s="38"/>
      <c r="I15" s="38">
        <f>F15/31</f>
        <v>0</v>
      </c>
      <c r="J15" s="38">
        <f>IFERROR(31/B15,0)</f>
        <v>0</v>
      </c>
      <c r="K15" s="38"/>
      <c r="L15" s="38"/>
    </row>
    <row r="16" spans="1:14" s="11" customFormat="1" ht="18">
      <c r="A16" s="38" t="s">
        <v>125</v>
      </c>
      <c r="B16" s="38">
        <f>COUNTIFS('Book Survey'!I:I,"&gt;=01/02/2018",'Book Survey'!I:I,"&lt;=28/02/2018")</f>
        <v>0</v>
      </c>
      <c r="C16" s="76">
        <f t="shared" ref="C16:C26" si="1">IFERROR(B16/$B$8,0)</f>
        <v>0</v>
      </c>
      <c r="D16" s="38"/>
      <c r="E16" s="38" t="s">
        <v>125</v>
      </c>
      <c r="F16" s="38">
        <f>SUMIFS('Book Survey'!D:D,'Book Survey'!I:I,"&gt;=01/02/2018",'Book Survey'!I:I,"&lt;=28/02/2018")</f>
        <v>0</v>
      </c>
      <c r="G16" s="76">
        <f t="shared" si="0"/>
        <v>0</v>
      </c>
      <c r="H16" s="38"/>
      <c r="I16" s="38">
        <f>F16/28</f>
        <v>0</v>
      </c>
      <c r="J16" s="38">
        <f>IFERROR(28/B16,0)</f>
        <v>0</v>
      </c>
      <c r="K16" s="38"/>
      <c r="L16" s="38"/>
    </row>
    <row r="17" spans="1:14" s="11" customFormat="1" ht="18">
      <c r="A17" s="38" t="s">
        <v>126</v>
      </c>
      <c r="B17" s="38">
        <f>COUNTIFS('Book Survey'!I:I,"&gt;=01/03/2018",'Book Survey'!I:I,"&lt;=31/03/2018")</f>
        <v>0</v>
      </c>
      <c r="C17" s="76">
        <f t="shared" si="1"/>
        <v>0</v>
      </c>
      <c r="D17" s="38"/>
      <c r="E17" s="38" t="s">
        <v>126</v>
      </c>
      <c r="F17" s="38">
        <f>SUMIFS('Book Survey'!D:D,'Book Survey'!I:I,"&gt;=01/03/2018",'Book Survey'!I:I,"&lt;=31/03/2018")</f>
        <v>0</v>
      </c>
      <c r="G17" s="76">
        <f t="shared" si="0"/>
        <v>0</v>
      </c>
      <c r="H17" s="38"/>
      <c r="I17" s="38">
        <f>F17/31</f>
        <v>0</v>
      </c>
      <c r="J17" s="38">
        <f>IFERROR(31/B17,0)</f>
        <v>0</v>
      </c>
      <c r="K17" s="38"/>
      <c r="L17" s="38"/>
    </row>
    <row r="18" spans="1:14" s="11" customFormat="1" ht="18">
      <c r="A18" s="38" t="s">
        <v>127</v>
      </c>
      <c r="B18" s="38">
        <f>COUNTIFS('Book Survey'!I:I,"&gt;=01/04/2018",'Book Survey'!I:I,"&lt;=30/04/2018")</f>
        <v>0</v>
      </c>
      <c r="C18" s="76">
        <f t="shared" si="1"/>
        <v>0</v>
      </c>
      <c r="D18" s="38"/>
      <c r="E18" s="38" t="s">
        <v>127</v>
      </c>
      <c r="F18" s="38">
        <f>SUMIFS('Book Survey'!D:D,'Book Survey'!I:I,"&gt;=01/04/2018",'Book Survey'!I:I,"&lt;=30/04/2018")</f>
        <v>0</v>
      </c>
      <c r="G18" s="76">
        <f t="shared" si="0"/>
        <v>0</v>
      </c>
      <c r="H18" s="38"/>
      <c r="I18" s="38">
        <f>F18/30</f>
        <v>0</v>
      </c>
      <c r="J18" s="38">
        <f>IFERROR(30/B18,0)</f>
        <v>0</v>
      </c>
      <c r="K18" s="38"/>
      <c r="L18" s="38"/>
    </row>
    <row r="19" spans="1:14" s="11" customFormat="1" ht="18">
      <c r="A19" s="38" t="s">
        <v>66</v>
      </c>
      <c r="B19" s="38">
        <f>COUNTIFS('Book Survey'!I:I,"&gt;=01/05/2018",'Book Survey'!I:I,"&lt;=31/05/2018")</f>
        <v>0</v>
      </c>
      <c r="C19" s="76">
        <f t="shared" si="1"/>
        <v>0</v>
      </c>
      <c r="D19" s="38"/>
      <c r="E19" s="38" t="s">
        <v>66</v>
      </c>
      <c r="F19" s="38">
        <f>SUMIFS('Book Survey'!D:D,'Book Survey'!I:I,"&gt;=01/05/2018",'Book Survey'!I:I,"&lt;=31/05/2018")</f>
        <v>0</v>
      </c>
      <c r="G19" s="76">
        <f t="shared" si="0"/>
        <v>0</v>
      </c>
      <c r="H19" s="38"/>
      <c r="I19" s="38">
        <f>F19/31</f>
        <v>0</v>
      </c>
      <c r="J19" s="38">
        <f>IFERROR(31/B19,0)</f>
        <v>0</v>
      </c>
      <c r="K19" s="38"/>
      <c r="L19" s="38"/>
    </row>
    <row r="20" spans="1:14" s="11" customFormat="1" ht="18">
      <c r="A20" s="38" t="s">
        <v>128</v>
      </c>
      <c r="B20" s="38">
        <f>COUNTIFS('Book Survey'!I:I,"&gt;=01/06/2018",'Book Survey'!I:I,"&lt;=30/06/2018")</f>
        <v>0</v>
      </c>
      <c r="C20" s="76">
        <f t="shared" si="1"/>
        <v>0</v>
      </c>
      <c r="D20" s="38"/>
      <c r="E20" s="38" t="s">
        <v>128</v>
      </c>
      <c r="F20" s="38">
        <f>SUMIFS('Book Survey'!D:D,'Book Survey'!I:I,"&gt;=01/06/2018",'Book Survey'!I:I,"&lt;=30/06/2018")</f>
        <v>0</v>
      </c>
      <c r="G20" s="76">
        <f t="shared" si="0"/>
        <v>0</v>
      </c>
      <c r="H20" s="38"/>
      <c r="I20" s="38">
        <f>F20/30</f>
        <v>0</v>
      </c>
      <c r="J20" s="38">
        <f>IFERROR(30/B20,0)</f>
        <v>0</v>
      </c>
      <c r="K20" s="38"/>
      <c r="L20" s="38"/>
    </row>
    <row r="21" spans="1:14" s="11" customFormat="1" ht="18">
      <c r="A21" s="38" t="s">
        <v>129</v>
      </c>
      <c r="B21" s="38">
        <f>COUNTIFS('Book Survey'!I:I,"&gt;=01/07/2018",'Book Survey'!I:I,"&lt;=31/07/2018")</f>
        <v>0</v>
      </c>
      <c r="C21" s="76">
        <f t="shared" si="1"/>
        <v>0</v>
      </c>
      <c r="D21" s="38"/>
      <c r="E21" s="38" t="s">
        <v>129</v>
      </c>
      <c r="F21" s="38">
        <f>SUMIFS('Book Survey'!D:D,'Book Survey'!I:I,"&gt;=01/07/2018",'Book Survey'!I:I,"&lt;=31/07/2018")</f>
        <v>0</v>
      </c>
      <c r="G21" s="76">
        <f t="shared" si="0"/>
        <v>0</v>
      </c>
      <c r="H21" s="38"/>
      <c r="I21" s="38">
        <f>F21/31</f>
        <v>0</v>
      </c>
      <c r="J21" s="38">
        <f>IFERROR(31/B21,0)</f>
        <v>0</v>
      </c>
      <c r="K21" s="38"/>
      <c r="L21" s="38"/>
    </row>
    <row r="22" spans="1:14" s="11" customFormat="1" ht="18">
      <c r="A22" s="38" t="s">
        <v>130</v>
      </c>
      <c r="B22" s="38">
        <f>COUNTIFS('Book Survey'!I:I,"&gt;=01/08/2018",'Book Survey'!I:I,"&lt;=31/08/2018")</f>
        <v>0</v>
      </c>
      <c r="C22" s="76">
        <f t="shared" si="1"/>
        <v>0</v>
      </c>
      <c r="D22" s="38"/>
      <c r="E22" s="38" t="s">
        <v>130</v>
      </c>
      <c r="F22" s="38">
        <f>SUMIFS('Book Survey'!D:D,'Book Survey'!I:I,"&gt;=01/08/2018",'Book Survey'!I:I,"&lt;=31/08/2018")</f>
        <v>0</v>
      </c>
      <c r="G22" s="76">
        <f t="shared" si="0"/>
        <v>0</v>
      </c>
      <c r="H22" s="38"/>
      <c r="I22" s="38">
        <f>F22/31</f>
        <v>0</v>
      </c>
      <c r="J22" s="38">
        <f>IFERROR(31/B22,0)</f>
        <v>0</v>
      </c>
      <c r="K22" s="38"/>
      <c r="L22" s="38"/>
    </row>
    <row r="23" spans="1:14" s="11" customFormat="1" ht="18">
      <c r="A23" s="38" t="s">
        <v>131</v>
      </c>
      <c r="B23" s="38">
        <f>COUNTIFS('Book Survey'!I:I,"&gt;=01/09/2018",'Book Survey'!I:I,"&lt;=30/09/2018")</f>
        <v>0</v>
      </c>
      <c r="C23" s="76">
        <f t="shared" si="1"/>
        <v>0</v>
      </c>
      <c r="D23" s="38"/>
      <c r="E23" s="38" t="s">
        <v>131</v>
      </c>
      <c r="F23" s="38">
        <f>SUMIFS('Book Survey'!D:D,'Book Survey'!I:I,"&gt;=01/09/2018",'Book Survey'!I:I,"&lt;=30/09/2018")</f>
        <v>0</v>
      </c>
      <c r="G23" s="76">
        <f t="shared" si="0"/>
        <v>0</v>
      </c>
      <c r="H23" s="38"/>
      <c r="I23" s="38">
        <f>F23/30</f>
        <v>0</v>
      </c>
      <c r="J23" s="38">
        <f>IFERROR(30/B23,0)</f>
        <v>0</v>
      </c>
      <c r="K23" s="38"/>
      <c r="L23" s="38"/>
    </row>
    <row r="24" spans="1:14" s="11" customFormat="1" ht="18">
      <c r="A24" s="38" t="s">
        <v>132</v>
      </c>
      <c r="B24" s="38">
        <f>COUNTIFS('Book Survey'!I:I,"&gt;=01/10/2018",'Book Survey'!I:I,"&lt;=31/10/2018")</f>
        <v>0</v>
      </c>
      <c r="C24" s="76">
        <f t="shared" si="1"/>
        <v>0</v>
      </c>
      <c r="D24" s="38"/>
      <c r="E24" s="38" t="s">
        <v>132</v>
      </c>
      <c r="F24" s="38">
        <f>SUMIFS('Book Survey'!D:D,'Book Survey'!I:I,"&gt;=01/10/2018",'Book Survey'!I:I,"&lt;=31/10/2018")</f>
        <v>0</v>
      </c>
      <c r="G24" s="76">
        <f t="shared" si="0"/>
        <v>0</v>
      </c>
      <c r="H24" s="38"/>
      <c r="I24" s="38">
        <f>F24/31</f>
        <v>0</v>
      </c>
      <c r="J24" s="38">
        <f>IFERROR(31/B24,0)</f>
        <v>0</v>
      </c>
      <c r="K24" s="38"/>
      <c r="L24" s="38"/>
      <c r="N24" s="13"/>
    </row>
    <row r="25" spans="1:14" s="11" customFormat="1" ht="18">
      <c r="A25" s="38" t="s">
        <v>133</v>
      </c>
      <c r="B25" s="38">
        <f>COUNTIFS('Book Survey'!I:I,"&gt;=01/11/2018",'Book Survey'!I:I,"&lt;=30/11/2018")</f>
        <v>0</v>
      </c>
      <c r="C25" s="76">
        <f t="shared" si="1"/>
        <v>0</v>
      </c>
      <c r="D25" s="38"/>
      <c r="E25" s="38" t="s">
        <v>133</v>
      </c>
      <c r="F25" s="38">
        <f>SUMIFS('Book Survey'!D:D,'Book Survey'!I:I,"&gt;=01/11/2018",'Book Survey'!I:I,"&lt;=30/11/2018")</f>
        <v>0</v>
      </c>
      <c r="G25" s="76">
        <f t="shared" si="0"/>
        <v>0</v>
      </c>
      <c r="H25" s="38"/>
      <c r="I25" s="38">
        <f>F25/30</f>
        <v>0</v>
      </c>
      <c r="J25" s="38">
        <f>IFERROR(30/B25,0)</f>
        <v>0</v>
      </c>
      <c r="K25" s="38"/>
      <c r="L25" s="38"/>
    </row>
    <row r="26" spans="1:14" s="11" customFormat="1" ht="18">
      <c r="A26" s="38" t="s">
        <v>134</v>
      </c>
      <c r="B26" s="38">
        <f>COUNTIFS('Book Survey'!I:I,"&gt;=01/12/2018",'Book Survey'!I:I,"&lt;=31/12/2018")</f>
        <v>0</v>
      </c>
      <c r="C26" s="76">
        <f t="shared" si="1"/>
        <v>0</v>
      </c>
      <c r="D26" s="38"/>
      <c r="E26" s="38" t="s">
        <v>134</v>
      </c>
      <c r="F26" s="38">
        <f>SUMIFS('Book Survey'!D:D,'Book Survey'!I:I,"&gt;=01/12/2018",'Book Survey'!I:I,"&lt;=31/12/2018")</f>
        <v>0</v>
      </c>
      <c r="G26" s="76">
        <f t="shared" si="0"/>
        <v>0</v>
      </c>
      <c r="H26" s="38"/>
      <c r="I26" s="38">
        <f>F26/31</f>
        <v>0</v>
      </c>
      <c r="J26" s="38">
        <f>IFERROR(31/B26,0)</f>
        <v>0</v>
      </c>
      <c r="K26" s="38"/>
      <c r="L26" s="38"/>
    </row>
    <row r="27" spans="1:14" s="11" customFormat="1" ht="18">
      <c r="A27" s="77" t="s">
        <v>135</v>
      </c>
      <c r="B27" s="77">
        <f>AVERAGE(B15:B26)</f>
        <v>0</v>
      </c>
      <c r="C27" s="77"/>
      <c r="D27" s="38"/>
      <c r="E27" s="77" t="s">
        <v>136</v>
      </c>
      <c r="F27" s="77">
        <f>AVERAGE(F15:F26)</f>
        <v>0</v>
      </c>
      <c r="G27" s="77"/>
      <c r="H27" s="38"/>
      <c r="I27" s="77" t="s">
        <v>137</v>
      </c>
      <c r="J27" s="77">
        <f>IFERROR(365/B8,0)</f>
        <v>0</v>
      </c>
      <c r="K27" s="38"/>
      <c r="L27" s="38"/>
    </row>
    <row r="28" spans="1:14" s="11" customFormat="1" ht="18">
      <c r="A28" s="77" t="s">
        <v>138</v>
      </c>
      <c r="B28" s="77">
        <f>SUM(B15:B26)</f>
        <v>0</v>
      </c>
      <c r="C28" s="78">
        <f>SUM(C15:C27)</f>
        <v>0</v>
      </c>
      <c r="D28" s="38"/>
      <c r="E28" s="77" t="s">
        <v>139</v>
      </c>
      <c r="F28" s="77">
        <f>SUM(F15:F26)</f>
        <v>0</v>
      </c>
      <c r="G28" s="78">
        <f>SUM(G15:G27)</f>
        <v>0</v>
      </c>
      <c r="H28" s="38"/>
      <c r="I28" s="38"/>
      <c r="J28" s="38"/>
      <c r="K28" s="38"/>
      <c r="L28" s="38"/>
    </row>
    <row r="29" spans="1:14" s="11" customFormat="1" ht="18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</row>
    <row r="30" spans="1:14" s="25" customFormat="1" ht="21">
      <c r="A30" s="109" t="s">
        <v>140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</row>
    <row r="31" spans="1:14" s="11" customFormat="1" ht="18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</row>
    <row r="32" spans="1:14" s="11" customFormat="1" ht="18">
      <c r="A32" s="74" t="s">
        <v>4</v>
      </c>
      <c r="B32" s="68"/>
      <c r="C32" s="68"/>
      <c r="D32" s="38"/>
      <c r="E32" s="67" t="s">
        <v>141</v>
      </c>
      <c r="F32" s="67"/>
      <c r="G32" s="67"/>
      <c r="H32" s="38"/>
      <c r="I32" s="67" t="s">
        <v>98</v>
      </c>
      <c r="J32" s="68"/>
      <c r="K32" s="68"/>
      <c r="L32" s="38"/>
    </row>
    <row r="33" spans="1:14" s="11" customFormat="1" ht="18">
      <c r="A33" s="38" t="s">
        <v>17</v>
      </c>
      <c r="B33" s="38">
        <f>COUNTIF('Book Survey'!C:C,A33)</f>
        <v>0</v>
      </c>
      <c r="C33" s="76">
        <f t="shared" ref="C33:C54" si="2">IFERROR(B33/$B$8,0)</f>
        <v>0</v>
      </c>
      <c r="D33" s="38"/>
      <c r="E33" s="40" t="s">
        <v>142</v>
      </c>
      <c r="F33" s="38">
        <f>COUNTIF('Book Survey'!J:J,"N/A")</f>
        <v>0</v>
      </c>
      <c r="G33" s="76">
        <f>IFERROR(F33/$B$8,0)</f>
        <v>0</v>
      </c>
      <c r="H33" s="38"/>
      <c r="I33" s="38" t="s">
        <v>19</v>
      </c>
      <c r="J33" s="38">
        <f>COUNTIF('Book Survey'!F:F,I33)</f>
        <v>3</v>
      </c>
      <c r="K33" s="76">
        <f>IFERROR(J33/$B$8,0)</f>
        <v>0</v>
      </c>
      <c r="L33" s="38"/>
    </row>
    <row r="34" spans="1:14" s="11" customFormat="1" ht="18">
      <c r="A34" s="38" t="s">
        <v>25</v>
      </c>
      <c r="B34" s="38">
        <f>COUNTIF('Book Survey'!C:C,A34)</f>
        <v>0</v>
      </c>
      <c r="C34" s="76">
        <f t="shared" si="2"/>
        <v>0</v>
      </c>
      <c r="D34" s="38"/>
      <c r="E34" s="79" t="s">
        <v>143</v>
      </c>
      <c r="F34" s="38">
        <f>COUNTIF('Book Survey'!J:J,"&lt;1929")</f>
        <v>0</v>
      </c>
      <c r="G34" s="76">
        <f>IFERROR(F34/$B$8,0)</f>
        <v>0</v>
      </c>
      <c r="H34" s="38"/>
      <c r="I34" s="38" t="s">
        <v>27</v>
      </c>
      <c r="J34" s="38">
        <f>COUNTIF('Book Survey'!F:F,I34)</f>
        <v>5</v>
      </c>
      <c r="K34" s="76">
        <f>IFERROR(J34/$B$8,0)</f>
        <v>0</v>
      </c>
      <c r="L34" s="38"/>
    </row>
    <row r="35" spans="1:14" s="11" customFormat="1" ht="18">
      <c r="A35" s="38" t="s">
        <v>31</v>
      </c>
      <c r="B35" s="38">
        <f>COUNTIF('Book Survey'!C:C,A35)</f>
        <v>2</v>
      </c>
      <c r="C35" s="76">
        <f t="shared" si="2"/>
        <v>0</v>
      </c>
      <c r="D35" s="38"/>
      <c r="E35" s="79" t="s">
        <v>144</v>
      </c>
      <c r="F35" s="38">
        <f>COUNTIFS('Book Survey'!J:J,"&gt;=1930",'Book Survey'!J:J,"&lt;=1939")</f>
        <v>0</v>
      </c>
      <c r="G35" s="76">
        <f t="shared" ref="G35:G46" si="3">IFERROR(F35/$B$8,0)</f>
        <v>0</v>
      </c>
      <c r="H35" s="38"/>
      <c r="I35" s="38" t="s">
        <v>33</v>
      </c>
      <c r="J35" s="38">
        <f>COUNTIF('Book Survey'!F:F,I35)</f>
        <v>9</v>
      </c>
      <c r="K35" s="76">
        <f>IFERROR(J35/$B$8,0)</f>
        <v>0</v>
      </c>
      <c r="L35" s="38"/>
    </row>
    <row r="36" spans="1:14" s="11" customFormat="1" ht="18">
      <c r="A36" s="38" t="s">
        <v>38</v>
      </c>
      <c r="B36" s="38">
        <f>COUNTIF('Book Survey'!C:C,A36)</f>
        <v>0</v>
      </c>
      <c r="C36" s="76">
        <f t="shared" si="2"/>
        <v>0</v>
      </c>
      <c r="D36" s="38"/>
      <c r="E36" s="79" t="s">
        <v>145</v>
      </c>
      <c r="F36" s="38">
        <f>COUNTIFS('Book Survey'!J:J,"&gt;=1940",'Book Survey'!J:J,"&lt;=1949")</f>
        <v>1</v>
      </c>
      <c r="G36" s="76">
        <f t="shared" si="3"/>
        <v>0</v>
      </c>
      <c r="H36" s="38"/>
      <c r="I36" s="38" t="s">
        <v>39</v>
      </c>
      <c r="J36" s="38">
        <f>COUNTIF('Book Survey'!F:F,I36)</f>
        <v>5</v>
      </c>
      <c r="K36" s="76">
        <f>IFERROR(J36/$B$8,0)</f>
        <v>0</v>
      </c>
      <c r="L36" s="38"/>
    </row>
    <row r="37" spans="1:14" s="11" customFormat="1" ht="18">
      <c r="A37" s="38" t="s">
        <v>43</v>
      </c>
      <c r="B37" s="38">
        <f>COUNTIF('Book Survey'!C:C,A37)</f>
        <v>0</v>
      </c>
      <c r="C37" s="76">
        <f t="shared" si="2"/>
        <v>0</v>
      </c>
      <c r="D37" s="38"/>
      <c r="E37" s="79" t="s">
        <v>146</v>
      </c>
      <c r="F37" s="38">
        <f>COUNTIFS('Book Survey'!J:J,"&gt;=1950",'Book Survey'!J:J,"&lt;=1959")</f>
        <v>0</v>
      </c>
      <c r="G37" s="76">
        <f t="shared" si="3"/>
        <v>0</v>
      </c>
      <c r="H37" s="38"/>
      <c r="I37" s="77" t="s">
        <v>138</v>
      </c>
      <c r="J37" s="77">
        <f>SUM(J33:J36)</f>
        <v>22</v>
      </c>
      <c r="K37" s="78">
        <f>SUM(K33:K35)</f>
        <v>0</v>
      </c>
      <c r="L37" s="38"/>
    </row>
    <row r="38" spans="1:14" s="11" customFormat="1" ht="18">
      <c r="A38" s="38" t="s">
        <v>46</v>
      </c>
      <c r="B38" s="38">
        <f>COUNTIF('Book Survey'!C:C,A38)</f>
        <v>0</v>
      </c>
      <c r="C38" s="76">
        <f t="shared" si="2"/>
        <v>0</v>
      </c>
      <c r="D38" s="38"/>
      <c r="E38" s="79" t="s">
        <v>147</v>
      </c>
      <c r="F38" s="38">
        <f>COUNTIFS('Book Survey'!J:J,"&gt;=1960",'Book Survey'!J:J,"&lt;=1969")</f>
        <v>0</v>
      </c>
      <c r="G38" s="76">
        <f t="shared" si="3"/>
        <v>0</v>
      </c>
      <c r="H38" s="38"/>
      <c r="I38" s="38"/>
      <c r="J38" s="38"/>
      <c r="K38" s="38"/>
      <c r="L38" s="38"/>
    </row>
    <row r="39" spans="1:14" s="11" customFormat="1" ht="18">
      <c r="A39" s="38" t="s">
        <v>49</v>
      </c>
      <c r="B39" s="38">
        <f>COUNTIF('Book Survey'!C:C,A39)</f>
        <v>0</v>
      </c>
      <c r="C39" s="76">
        <f t="shared" si="2"/>
        <v>0</v>
      </c>
      <c r="D39" s="38"/>
      <c r="E39" s="79" t="s">
        <v>148</v>
      </c>
      <c r="F39" s="38">
        <f>COUNTIFS('Book Survey'!J:J,"&gt;=1970",'Book Survey'!J:J,"&lt;=1979")</f>
        <v>0</v>
      </c>
      <c r="G39" s="76">
        <f t="shared" si="3"/>
        <v>0</v>
      </c>
      <c r="H39" s="38"/>
      <c r="I39" s="67" t="s">
        <v>6</v>
      </c>
      <c r="J39" s="68"/>
      <c r="K39" s="68"/>
      <c r="L39" s="38"/>
      <c r="N39" s="13"/>
    </row>
    <row r="40" spans="1:14" s="11" customFormat="1" ht="18">
      <c r="A40" s="38" t="s">
        <v>52</v>
      </c>
      <c r="B40" s="38">
        <f>COUNTIF('Book Survey'!C:C,A40)</f>
        <v>0</v>
      </c>
      <c r="C40" s="76">
        <f t="shared" si="2"/>
        <v>0</v>
      </c>
      <c r="D40" s="38"/>
      <c r="E40" s="79" t="s">
        <v>149</v>
      </c>
      <c r="F40" s="38">
        <f>COUNTIFS('Book Survey'!J:J,"&gt;=1980",'Book Survey'!J:J,"&lt;=1989")</f>
        <v>1</v>
      </c>
      <c r="G40" s="76">
        <f t="shared" si="3"/>
        <v>0</v>
      </c>
      <c r="H40" s="38"/>
      <c r="I40" s="38" t="s">
        <v>18</v>
      </c>
      <c r="J40" s="38">
        <f>COUNTIF('Book Survey'!E:E,I40)</f>
        <v>18</v>
      </c>
      <c r="K40" s="76">
        <f>IFERROR(J40/$B$8,0)</f>
        <v>0</v>
      </c>
      <c r="L40" s="38"/>
    </row>
    <row r="41" spans="1:14" s="11" customFormat="1" ht="18">
      <c r="A41" s="38" t="s">
        <v>54</v>
      </c>
      <c r="B41" s="38">
        <f>COUNTIF('Book Survey'!C:C,A41)</f>
        <v>0</v>
      </c>
      <c r="C41" s="76">
        <f t="shared" si="2"/>
        <v>0</v>
      </c>
      <c r="D41" s="38"/>
      <c r="E41" s="79" t="s">
        <v>150</v>
      </c>
      <c r="F41" s="38">
        <f>COUNTIFS('Book Survey'!J:J,"&gt;=1990",'Book Survey'!J:J,"&lt;=1999")</f>
        <v>5</v>
      </c>
      <c r="G41" s="76">
        <f t="shared" si="3"/>
        <v>0</v>
      </c>
      <c r="H41" s="38"/>
      <c r="I41" s="38" t="s">
        <v>26</v>
      </c>
      <c r="J41" s="38">
        <f>COUNTIF('Book Survey'!E:E,I41)</f>
        <v>0</v>
      </c>
      <c r="K41" s="76">
        <f>IFERROR(J41/$B$8,0)</f>
        <v>0</v>
      </c>
      <c r="L41" s="38"/>
    </row>
    <row r="42" spans="1:14" s="11" customFormat="1" ht="18">
      <c r="A42" s="38" t="s">
        <v>56</v>
      </c>
      <c r="B42" s="38">
        <f>COUNTIF('Book Survey'!C:C,A42)</f>
        <v>0</v>
      </c>
      <c r="C42" s="76">
        <f t="shared" si="2"/>
        <v>0</v>
      </c>
      <c r="D42" s="38"/>
      <c r="E42" s="38" t="s">
        <v>151</v>
      </c>
      <c r="F42" s="38">
        <f>COUNTIFS('Book Survey'!J:J,"&gt;=2000",'Book Survey'!J:J,"&lt;=2005")</f>
        <v>0</v>
      </c>
      <c r="G42" s="76">
        <f t="shared" si="3"/>
        <v>0</v>
      </c>
      <c r="H42" s="38"/>
      <c r="I42" s="38" t="s">
        <v>32</v>
      </c>
      <c r="J42" s="38">
        <f>COUNTIF('Book Survey'!E:E,I42)</f>
        <v>4</v>
      </c>
      <c r="K42" s="76">
        <f>IFERROR(J42/$B$8,0)</f>
        <v>0</v>
      </c>
      <c r="L42" s="38"/>
    </row>
    <row r="43" spans="1:14" s="11" customFormat="1" ht="18">
      <c r="A43" s="38" t="s">
        <v>58</v>
      </c>
      <c r="B43" s="38">
        <f>COUNTIF('Book Survey'!C:C,A43)</f>
        <v>4</v>
      </c>
      <c r="C43" s="76">
        <f t="shared" si="2"/>
        <v>0</v>
      </c>
      <c r="D43" s="38"/>
      <c r="E43" s="38" t="s">
        <v>152</v>
      </c>
      <c r="F43" s="38">
        <f>COUNTIFS('Book Survey'!J:J,"&gt;=2006",'Book Survey'!J:J,"&lt;=2010")</f>
        <v>0</v>
      </c>
      <c r="G43" s="76">
        <f t="shared" si="3"/>
        <v>0</v>
      </c>
      <c r="H43" s="38"/>
      <c r="I43" s="77" t="s">
        <v>138</v>
      </c>
      <c r="J43" s="77">
        <f>SUM(J40:J42)</f>
        <v>22</v>
      </c>
      <c r="K43" s="78">
        <f>SUM(K40:K42)</f>
        <v>0</v>
      </c>
      <c r="L43" s="38"/>
    </row>
    <row r="44" spans="1:14" s="11" customFormat="1" ht="18">
      <c r="A44" s="38" t="s">
        <v>60</v>
      </c>
      <c r="B44" s="38">
        <f>COUNTIF('Book Survey'!C:C,A44)</f>
        <v>0</v>
      </c>
      <c r="C44" s="76">
        <f t="shared" si="2"/>
        <v>0</v>
      </c>
      <c r="D44" s="38"/>
      <c r="E44" s="79" t="s">
        <v>153</v>
      </c>
      <c r="F44" s="38">
        <f>COUNTIFS('Book Survey'!J:J,"&gt;=2011",'Book Survey'!J:J,"&lt;=2015")</f>
        <v>2</v>
      </c>
      <c r="G44" s="76">
        <f t="shared" si="3"/>
        <v>0</v>
      </c>
      <c r="H44" s="38"/>
      <c r="I44" s="38"/>
      <c r="J44" s="38"/>
      <c r="K44" s="38"/>
      <c r="L44" s="38"/>
    </row>
    <row r="45" spans="1:14" s="11" customFormat="1" ht="18">
      <c r="A45" s="38" t="s">
        <v>62</v>
      </c>
      <c r="B45" s="38">
        <f>COUNTIF('Book Survey'!C:C,A45)</f>
        <v>0</v>
      </c>
      <c r="C45" s="76">
        <f t="shared" si="2"/>
        <v>0</v>
      </c>
      <c r="D45" s="38"/>
      <c r="E45" s="38" t="s">
        <v>154</v>
      </c>
      <c r="F45" s="38">
        <f>COUNTIFS('Book Survey'!J:J,"&gt;=2016",'Book Survey'!J:J,"&lt;=2017")</f>
        <v>4</v>
      </c>
      <c r="G45" s="76">
        <f t="shared" si="3"/>
        <v>0</v>
      </c>
      <c r="H45" s="38"/>
      <c r="I45" s="67" t="s">
        <v>155</v>
      </c>
      <c r="J45" s="68"/>
      <c r="K45" s="68"/>
      <c r="L45" s="38"/>
    </row>
    <row r="46" spans="1:14" s="11" customFormat="1" ht="18">
      <c r="A46" s="38" t="s">
        <v>64</v>
      </c>
      <c r="B46" s="38">
        <f>COUNTIF('Book Survey'!C:C,A46)</f>
        <v>0</v>
      </c>
      <c r="C46" s="76">
        <f t="shared" si="2"/>
        <v>0</v>
      </c>
      <c r="D46" s="38"/>
      <c r="E46" s="80">
        <v>2018</v>
      </c>
      <c r="F46" s="40">
        <f>COUNTIF('Book Survey'!J:J,"&gt;=2018")</f>
        <v>9</v>
      </c>
      <c r="G46" s="76">
        <f t="shared" si="3"/>
        <v>0</v>
      </c>
      <c r="H46" s="38"/>
      <c r="I46" s="38" t="s">
        <v>156</v>
      </c>
      <c r="J46" s="38">
        <f>COUNTIFS('Book Survey'!D:D,"&gt;=0",'Book Survey'!D:D,"&lt;=99")</f>
        <v>0</v>
      </c>
      <c r="K46" s="76">
        <f>IFERROR(J46/$B$8,0)</f>
        <v>0</v>
      </c>
      <c r="L46" s="38"/>
    </row>
    <row r="47" spans="1:14" s="11" customFormat="1" ht="18">
      <c r="A47" s="38" t="s">
        <v>67</v>
      </c>
      <c r="B47" s="38">
        <f>COUNTIF('Book Survey'!C:C,A47)</f>
        <v>0</v>
      </c>
      <c r="C47" s="76">
        <f t="shared" si="2"/>
        <v>0</v>
      </c>
      <c r="D47" s="38"/>
      <c r="E47" s="77" t="s">
        <v>138</v>
      </c>
      <c r="F47" s="77">
        <f>SUM(F33:F46)</f>
        <v>22</v>
      </c>
      <c r="G47" s="78">
        <f>IFERROR(F47/$B$8,0)</f>
        <v>0</v>
      </c>
      <c r="H47" s="38"/>
      <c r="I47" s="38" t="s">
        <v>157</v>
      </c>
      <c r="J47" s="38">
        <f>COUNTIFS('Book Survey'!D:D,"&gt;=100",'Book Survey'!D:D,"&lt;=199")</f>
        <v>2</v>
      </c>
      <c r="K47" s="76">
        <f t="shared" ref="K47:K56" si="4">IFERROR(J47/$B$8,0)</f>
        <v>0</v>
      </c>
      <c r="L47" s="38"/>
    </row>
    <row r="48" spans="1:14" s="11" customFormat="1" ht="18">
      <c r="A48" s="38" t="s">
        <v>69</v>
      </c>
      <c r="B48" s="38">
        <f>COUNTIF('Book Survey'!C:C,A48)</f>
        <v>0</v>
      </c>
      <c r="C48" s="76">
        <f t="shared" si="2"/>
        <v>0</v>
      </c>
      <c r="D48" s="38"/>
      <c r="E48" s="38"/>
      <c r="F48" s="38"/>
      <c r="G48" s="38"/>
      <c r="H48" s="38"/>
      <c r="I48" s="38" t="s">
        <v>158</v>
      </c>
      <c r="J48" s="38">
        <f>COUNTIFS('Book Survey'!D:D,"&gt;=200",'Book Survey'!D:D,"&lt;=299")</f>
        <v>0</v>
      </c>
      <c r="K48" s="76">
        <f t="shared" si="4"/>
        <v>0</v>
      </c>
      <c r="L48" s="38"/>
    </row>
    <row r="49" spans="1:12" s="11" customFormat="1" ht="18">
      <c r="A49" s="38" t="s">
        <v>71</v>
      </c>
      <c r="B49" s="38">
        <f>COUNTIF('Book Survey'!C:C,A49)</f>
        <v>0</v>
      </c>
      <c r="C49" s="76">
        <f t="shared" si="2"/>
        <v>0</v>
      </c>
      <c r="D49" s="38"/>
      <c r="E49" s="67" t="s">
        <v>8</v>
      </c>
      <c r="F49" s="68"/>
      <c r="G49" s="68"/>
      <c r="H49" s="38"/>
      <c r="I49" s="38" t="s">
        <v>159</v>
      </c>
      <c r="J49" s="38">
        <f>COUNTIFS('Book Survey'!D:D,"&gt;=300",'Book Survey'!D:D,"&lt;=399")</f>
        <v>5</v>
      </c>
      <c r="K49" s="76">
        <f t="shared" si="4"/>
        <v>0</v>
      </c>
      <c r="L49" s="38"/>
    </row>
    <row r="50" spans="1:12" s="11" customFormat="1" ht="18">
      <c r="A50" s="38" t="s">
        <v>74</v>
      </c>
      <c r="B50" s="38">
        <f>COUNTIF('Book Survey'!C:C,A50)</f>
        <v>0</v>
      </c>
      <c r="C50" s="76">
        <f t="shared" si="2"/>
        <v>0</v>
      </c>
      <c r="D50" s="38"/>
      <c r="E50" s="38" t="s">
        <v>160</v>
      </c>
      <c r="F50" s="38">
        <f>COUNTIF('Book Survey'!G:G,1)</f>
        <v>0</v>
      </c>
      <c r="G50" s="76">
        <f>IFERROR(F50/$B$8,0)</f>
        <v>0</v>
      </c>
      <c r="H50" s="38"/>
      <c r="I50" s="38" t="s">
        <v>161</v>
      </c>
      <c r="J50" s="38">
        <f>COUNTIFS('Book Survey'!D:D,"&gt;=400",'Book Survey'!D:D,"&lt;=499")</f>
        <v>7</v>
      </c>
      <c r="K50" s="76">
        <f t="shared" si="4"/>
        <v>0</v>
      </c>
      <c r="L50" s="38"/>
    </row>
    <row r="51" spans="1:12" s="11" customFormat="1" ht="18">
      <c r="A51" s="38" t="s">
        <v>76</v>
      </c>
      <c r="B51" s="38">
        <f>COUNTIF('Book Survey'!C:C,A51)</f>
        <v>0</v>
      </c>
      <c r="C51" s="76">
        <f t="shared" si="2"/>
        <v>0</v>
      </c>
      <c r="D51" s="38"/>
      <c r="E51" s="38" t="s">
        <v>162</v>
      </c>
      <c r="F51" s="38">
        <f>COUNTIF('Book Survey'!G:G,2)</f>
        <v>1</v>
      </c>
      <c r="G51" s="76">
        <f>IFERROR(F51/$B$8,0)</f>
        <v>0</v>
      </c>
      <c r="H51" s="38"/>
      <c r="I51" s="38" t="s">
        <v>163</v>
      </c>
      <c r="J51" s="38">
        <f>COUNTIFS('Book Survey'!D:D,"&gt;=500",'Book Survey'!D:D,"&lt;=599")</f>
        <v>2</v>
      </c>
      <c r="K51" s="76">
        <f t="shared" si="4"/>
        <v>0</v>
      </c>
      <c r="L51" s="38"/>
    </row>
    <row r="52" spans="1:12" s="11" customFormat="1" ht="18">
      <c r="A52" s="38" t="s">
        <v>78</v>
      </c>
      <c r="B52" s="38">
        <f>COUNTIF('Book Survey'!C:C,A52)</f>
        <v>0</v>
      </c>
      <c r="C52" s="76">
        <f t="shared" si="2"/>
        <v>0</v>
      </c>
      <c r="D52" s="38"/>
      <c r="E52" s="38" t="s">
        <v>164</v>
      </c>
      <c r="F52" s="38">
        <f>COUNTIF('Book Survey'!G:G,3)</f>
        <v>9</v>
      </c>
      <c r="G52" s="76">
        <f>IFERROR(F52/$B$8,0)</f>
        <v>0</v>
      </c>
      <c r="H52" s="38"/>
      <c r="I52" s="38" t="s">
        <v>165</v>
      </c>
      <c r="J52" s="38">
        <f>COUNTIFS('Book Survey'!D:D,"&gt;=600",'Book Survey'!D:D,"&lt;=699")</f>
        <v>0</v>
      </c>
      <c r="K52" s="76">
        <f t="shared" si="4"/>
        <v>0</v>
      </c>
      <c r="L52" s="38"/>
    </row>
    <row r="53" spans="1:12" s="11" customFormat="1" ht="18">
      <c r="A53" s="38" t="s">
        <v>80</v>
      </c>
      <c r="B53" s="38">
        <f>COUNTIF('Book Survey'!C:C,A53)</f>
        <v>0</v>
      </c>
      <c r="C53" s="76">
        <f t="shared" si="2"/>
        <v>0</v>
      </c>
      <c r="D53" s="38"/>
      <c r="E53" s="38" t="s">
        <v>166</v>
      </c>
      <c r="F53" s="38">
        <f>COUNTIF('Book Survey'!G:G,4)</f>
        <v>5</v>
      </c>
      <c r="G53" s="76">
        <f>IFERROR(F53/$B$8,0)</f>
        <v>0</v>
      </c>
      <c r="H53" s="38"/>
      <c r="I53" s="38" t="s">
        <v>167</v>
      </c>
      <c r="J53" s="38">
        <f>COUNTIFS('Book Survey'!D:D,"&gt;=700",'Book Survey'!D:D,"&lt;=799")</f>
        <v>0</v>
      </c>
      <c r="K53" s="76">
        <f t="shared" si="4"/>
        <v>0</v>
      </c>
      <c r="L53" s="38"/>
    </row>
    <row r="54" spans="1:12" s="11" customFormat="1" ht="18">
      <c r="A54" s="38" t="s">
        <v>82</v>
      </c>
      <c r="B54" s="38">
        <f>COUNTIF('Book Survey'!C:C,A54)</f>
        <v>0</v>
      </c>
      <c r="C54" s="76">
        <f t="shared" si="2"/>
        <v>0</v>
      </c>
      <c r="D54" s="38"/>
      <c r="E54" s="38" t="s">
        <v>168</v>
      </c>
      <c r="F54" s="38">
        <f>COUNTIF('Book Survey'!G:G,5)</f>
        <v>5</v>
      </c>
      <c r="G54" s="76">
        <f>IFERROR(F54/$B$8,0)</f>
        <v>0</v>
      </c>
      <c r="H54" s="38"/>
      <c r="I54" s="38" t="s">
        <v>169</v>
      </c>
      <c r="J54" s="38">
        <f>COUNTIFS('Book Survey'!D:D,"&gt;=800",'Book Survey'!D:D,"&lt;=899")</f>
        <v>0</v>
      </c>
      <c r="K54" s="76">
        <f t="shared" si="4"/>
        <v>0</v>
      </c>
      <c r="L54" s="38"/>
    </row>
    <row r="55" spans="1:12" s="11" customFormat="1" ht="18">
      <c r="A55" s="77" t="s">
        <v>138</v>
      </c>
      <c r="B55" s="77">
        <f>SUM(B33:B54)</f>
        <v>6</v>
      </c>
      <c r="C55" s="78">
        <f>SUM(C33:C54)</f>
        <v>0</v>
      </c>
      <c r="D55" s="38"/>
      <c r="E55" s="77" t="s">
        <v>111</v>
      </c>
      <c r="F55" s="81">
        <f>AVERAGE('Book Survey'!G:G)</f>
        <v>3.7</v>
      </c>
      <c r="G55" s="77"/>
      <c r="H55" s="38"/>
      <c r="I55" s="38" t="s">
        <v>170</v>
      </c>
      <c r="J55" s="38">
        <f>COUNTIFS('Book Survey'!D:D,"&gt;=900",'Book Survey'!D:D,"&lt;=1000")</f>
        <v>1</v>
      </c>
      <c r="K55" s="76">
        <f t="shared" si="4"/>
        <v>0</v>
      </c>
      <c r="L55" s="38"/>
    </row>
    <row r="56" spans="1:12" s="13" customFormat="1" ht="18">
      <c r="A56" s="40"/>
      <c r="B56" s="40"/>
      <c r="C56" s="82"/>
      <c r="D56" s="40"/>
      <c r="E56" s="77" t="s">
        <v>138</v>
      </c>
      <c r="F56" s="77">
        <f>SUM(F50:F54)</f>
        <v>20</v>
      </c>
      <c r="G56" s="78">
        <f>SUM(G50:G54)</f>
        <v>0</v>
      </c>
      <c r="H56" s="40"/>
      <c r="I56" s="38" t="s">
        <v>171</v>
      </c>
      <c r="J56" s="38">
        <f>COUNTIF('Book Survey'!D:D,"&gt;1000")</f>
        <v>0</v>
      </c>
      <c r="K56" s="76">
        <f t="shared" si="4"/>
        <v>0</v>
      </c>
      <c r="L56" s="40"/>
    </row>
    <row r="57" spans="1:12" s="13" customFormat="1" ht="18">
      <c r="A57" s="40"/>
      <c r="B57" s="40"/>
      <c r="C57" s="82"/>
      <c r="D57" s="40"/>
      <c r="E57" s="40"/>
      <c r="F57" s="40"/>
      <c r="G57" s="40"/>
      <c r="H57" s="40"/>
      <c r="I57" s="77" t="s">
        <v>138</v>
      </c>
      <c r="J57" s="77">
        <f>SUM(J46:J56)</f>
        <v>17</v>
      </c>
      <c r="K57" s="78">
        <f>IFERROR(J57/$B$8,0)</f>
        <v>0</v>
      </c>
      <c r="L57" s="40"/>
    </row>
    <row r="58" spans="1:12" s="13" customFormat="1" ht="18">
      <c r="A58" s="40"/>
      <c r="B58" s="40"/>
      <c r="C58" s="82"/>
      <c r="D58" s="40"/>
      <c r="E58" s="40"/>
      <c r="F58" s="40"/>
      <c r="G58" s="40"/>
      <c r="H58" s="40"/>
      <c r="I58" s="40"/>
      <c r="J58" s="40"/>
      <c r="K58" s="40"/>
      <c r="L58" s="40"/>
    </row>
    <row r="59" spans="1:12" s="25" customFormat="1" ht="21">
      <c r="A59" s="109" t="s">
        <v>172</v>
      </c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</row>
    <row r="60" spans="1:12" s="11" customFormat="1" ht="18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</row>
    <row r="61" spans="1:12" s="11" customFormat="1" ht="18">
      <c r="A61" s="67" t="s">
        <v>173</v>
      </c>
      <c r="B61" s="68"/>
      <c r="C61" s="68"/>
      <c r="D61" s="38"/>
      <c r="E61" s="67" t="s">
        <v>174</v>
      </c>
      <c r="F61" s="67"/>
      <c r="G61" s="67"/>
      <c r="H61" s="38"/>
      <c r="I61" s="38"/>
      <c r="J61" s="38"/>
      <c r="K61" s="38"/>
      <c r="L61" s="38"/>
    </row>
    <row r="62" spans="1:12" s="11" customFormat="1" ht="18">
      <c r="A62" s="38" t="s">
        <v>20</v>
      </c>
      <c r="B62" s="38">
        <f>COUNTIF('Book Survey'!L:L,A62)</f>
        <v>7</v>
      </c>
      <c r="C62" s="76">
        <f>IFERROR(B62/$B$8,0)</f>
        <v>0</v>
      </c>
      <c r="D62" s="38"/>
      <c r="E62" s="38" t="s">
        <v>21</v>
      </c>
      <c r="F62" s="38">
        <f>COUNTIF('Book Survey'!M:M,E62)</f>
        <v>0</v>
      </c>
      <c r="G62" s="76">
        <f t="shared" ref="G62:G63" si="5">IFERROR(F62/$B$8,0)</f>
        <v>0</v>
      </c>
      <c r="H62" s="38"/>
      <c r="I62" s="38"/>
      <c r="J62" s="38"/>
      <c r="K62" s="38"/>
      <c r="L62" s="38"/>
    </row>
    <row r="63" spans="1:12" s="11" customFormat="1" ht="18">
      <c r="A63" s="38" t="s">
        <v>28</v>
      </c>
      <c r="B63" s="38">
        <f>COUNTIF('Book Survey'!L:L,A63)</f>
        <v>15</v>
      </c>
      <c r="C63" s="76">
        <f>IFERROR(B63/$B$8,0)</f>
        <v>0</v>
      </c>
      <c r="D63" s="38"/>
      <c r="E63" s="83" t="s">
        <v>29</v>
      </c>
      <c r="F63" s="38">
        <f>COUNTIF('Book Survey'!M:M,E63)</f>
        <v>0</v>
      </c>
      <c r="G63" s="76">
        <f t="shared" si="5"/>
        <v>0</v>
      </c>
      <c r="H63" s="38"/>
      <c r="I63" s="38"/>
      <c r="J63" s="38"/>
      <c r="K63" s="38"/>
      <c r="L63" s="38"/>
    </row>
    <row r="64" spans="1:12" s="11" customFormat="1" ht="18">
      <c r="A64" s="38" t="s">
        <v>72</v>
      </c>
      <c r="B64" s="38">
        <f>COUNTIF('Book Survey'!L:L,A64)</f>
        <v>0</v>
      </c>
      <c r="C64" s="76">
        <f>IFERROR(B64/$B$8,0)</f>
        <v>0</v>
      </c>
      <c r="D64" s="38"/>
      <c r="E64" s="84" t="s">
        <v>34</v>
      </c>
      <c r="F64" s="38">
        <f>COUNTIF('Book Survey'!M:M,E64)</f>
        <v>0</v>
      </c>
      <c r="G64" s="76">
        <f t="shared" ref="G64:G94" si="6">IFERROR(F64/$B$8,0)</f>
        <v>0</v>
      </c>
      <c r="H64" s="38"/>
      <c r="I64" s="38"/>
      <c r="J64" s="38"/>
      <c r="K64" s="38"/>
      <c r="L64" s="38"/>
    </row>
    <row r="65" spans="1:12" s="11" customFormat="1" ht="18">
      <c r="A65" s="77" t="s">
        <v>175</v>
      </c>
      <c r="B65" s="77">
        <f>SUM(B62:B64)</f>
        <v>22</v>
      </c>
      <c r="C65" s="78">
        <f>SUM(C62:C64)</f>
        <v>0</v>
      </c>
      <c r="D65" s="38"/>
      <c r="E65" s="83" t="s">
        <v>40</v>
      </c>
      <c r="F65" s="38">
        <f>COUNTIF('Book Survey'!M:M,E65)</f>
        <v>1</v>
      </c>
      <c r="G65" s="76">
        <f t="shared" si="6"/>
        <v>0</v>
      </c>
      <c r="H65" s="38"/>
      <c r="I65" s="38"/>
      <c r="J65" s="38"/>
      <c r="K65" s="38"/>
      <c r="L65" s="38"/>
    </row>
    <row r="66" spans="1:12" s="11" customFormat="1" ht="18">
      <c r="A66" s="40"/>
      <c r="B66" s="40"/>
      <c r="C66" s="82"/>
      <c r="D66" s="38"/>
      <c r="E66" s="84" t="s">
        <v>44</v>
      </c>
      <c r="F66" s="38">
        <f>COUNTIF('Book Survey'!M:M,E66)</f>
        <v>0</v>
      </c>
      <c r="G66" s="76">
        <f t="shared" si="6"/>
        <v>0</v>
      </c>
      <c r="H66" s="38"/>
      <c r="I66" s="38"/>
      <c r="J66" s="38"/>
      <c r="K66" s="38"/>
      <c r="L66" s="38"/>
    </row>
    <row r="67" spans="1:12" s="11" customFormat="1" ht="18">
      <c r="A67" s="67" t="s">
        <v>176</v>
      </c>
      <c r="B67" s="68"/>
      <c r="C67" s="85"/>
      <c r="D67" s="38"/>
      <c r="E67" s="83" t="s">
        <v>47</v>
      </c>
      <c r="F67" s="38">
        <f>COUNTIF('Book Survey'!M:M,E67)</f>
        <v>0</v>
      </c>
      <c r="G67" s="76">
        <f t="shared" si="6"/>
        <v>0</v>
      </c>
      <c r="H67" s="38"/>
      <c r="I67" s="38"/>
      <c r="J67" s="38"/>
      <c r="K67" s="38"/>
      <c r="L67" s="38"/>
    </row>
    <row r="68" spans="1:12" s="13" customFormat="1" ht="18">
      <c r="A68" s="40" t="s">
        <v>22</v>
      </c>
      <c r="B68" s="40">
        <f>COUNTIF('Book Survey'!N:N,A68)</f>
        <v>0</v>
      </c>
      <c r="C68" s="76">
        <f t="shared" ref="C68:C75" si="7">IFERROR(B68/$B$8,0)</f>
        <v>0</v>
      </c>
      <c r="D68" s="40"/>
      <c r="E68" s="83" t="s">
        <v>50</v>
      </c>
      <c r="F68" s="38">
        <f>COUNTIF('Book Survey'!M:M,E68)</f>
        <v>1</v>
      </c>
      <c r="G68" s="76">
        <f t="shared" si="6"/>
        <v>0</v>
      </c>
      <c r="H68" s="40"/>
      <c r="I68" s="40"/>
      <c r="J68" s="40"/>
      <c r="K68" s="40"/>
      <c r="L68" s="40"/>
    </row>
    <row r="69" spans="1:12" s="13" customFormat="1" ht="18">
      <c r="A69" s="40" t="s">
        <v>30</v>
      </c>
      <c r="B69" s="40">
        <f>COUNTIF('Book Survey'!N:N,A69)</f>
        <v>0</v>
      </c>
      <c r="C69" s="76">
        <f t="shared" si="7"/>
        <v>0</v>
      </c>
      <c r="D69" s="40"/>
      <c r="E69" s="38" t="s">
        <v>53</v>
      </c>
      <c r="F69" s="38">
        <f>COUNTIF('Book Survey'!M:M,E69)</f>
        <v>0</v>
      </c>
      <c r="G69" s="76">
        <f t="shared" si="6"/>
        <v>0</v>
      </c>
      <c r="H69" s="40"/>
      <c r="I69" s="40"/>
      <c r="J69" s="40"/>
      <c r="K69" s="40"/>
      <c r="L69" s="40"/>
    </row>
    <row r="70" spans="1:12" s="13" customFormat="1" ht="18">
      <c r="A70" s="40" t="s">
        <v>35</v>
      </c>
      <c r="B70" s="40">
        <f>COUNTIF('Book Survey'!N:N,A70)</f>
        <v>12</v>
      </c>
      <c r="C70" s="76">
        <f t="shared" si="7"/>
        <v>0</v>
      </c>
      <c r="D70" s="40"/>
      <c r="E70" s="83" t="s">
        <v>55</v>
      </c>
      <c r="F70" s="38">
        <f>COUNTIF('Book Survey'!M:M,E70)</f>
        <v>0</v>
      </c>
      <c r="G70" s="76">
        <f t="shared" si="6"/>
        <v>0</v>
      </c>
      <c r="H70" s="40"/>
      <c r="I70" s="40"/>
      <c r="J70" s="40"/>
      <c r="K70" s="40"/>
      <c r="L70" s="40"/>
    </row>
    <row r="71" spans="1:12" s="13" customFormat="1" ht="18">
      <c r="A71" s="40" t="s">
        <v>41</v>
      </c>
      <c r="B71" s="40">
        <f>COUNTIF('Book Survey'!N:N,A71)</f>
        <v>10</v>
      </c>
      <c r="C71" s="76">
        <f t="shared" si="7"/>
        <v>0</v>
      </c>
      <c r="D71" s="40"/>
      <c r="E71" s="84" t="s">
        <v>57</v>
      </c>
      <c r="F71" s="38">
        <f>COUNTIF('Book Survey'!M:M,E71)</f>
        <v>1</v>
      </c>
      <c r="G71" s="76">
        <f t="shared" si="6"/>
        <v>0</v>
      </c>
      <c r="H71" s="40"/>
      <c r="I71" s="40"/>
      <c r="J71" s="40"/>
      <c r="K71" s="40"/>
      <c r="L71" s="40"/>
    </row>
    <row r="72" spans="1:12" s="13" customFormat="1" ht="18">
      <c r="A72" s="40" t="s">
        <v>45</v>
      </c>
      <c r="B72" s="40">
        <f>COUNTIF('Book Survey'!N:N,A72)</f>
        <v>0</v>
      </c>
      <c r="C72" s="76">
        <f t="shared" si="7"/>
        <v>0</v>
      </c>
      <c r="D72" s="40"/>
      <c r="E72" s="84" t="s">
        <v>59</v>
      </c>
      <c r="F72" s="38">
        <f>COUNTIF('Book Survey'!M:M,E72)</f>
        <v>0</v>
      </c>
      <c r="G72" s="76">
        <f t="shared" si="6"/>
        <v>0</v>
      </c>
      <c r="H72" s="40"/>
      <c r="I72" s="40"/>
      <c r="J72" s="40"/>
      <c r="K72" s="40"/>
      <c r="L72" s="40"/>
    </row>
    <row r="73" spans="1:12" s="11" customFormat="1" ht="18">
      <c r="A73" s="38" t="s">
        <v>48</v>
      </c>
      <c r="B73" s="40">
        <f>COUNTIF('Book Survey'!N:N,A73)</f>
        <v>0</v>
      </c>
      <c r="C73" s="76">
        <f t="shared" si="7"/>
        <v>0</v>
      </c>
      <c r="D73" s="38"/>
      <c r="E73" s="83" t="s">
        <v>61</v>
      </c>
      <c r="F73" s="38">
        <f>COUNTIF('Book Survey'!M:M,E73)</f>
        <v>0</v>
      </c>
      <c r="G73" s="76">
        <f t="shared" si="6"/>
        <v>0</v>
      </c>
      <c r="H73" s="38"/>
      <c r="I73" s="38"/>
      <c r="J73" s="38"/>
      <c r="K73" s="38"/>
      <c r="L73" s="38"/>
    </row>
    <row r="74" spans="1:12" s="11" customFormat="1" ht="18">
      <c r="A74" s="38" t="s">
        <v>51</v>
      </c>
      <c r="B74" s="40">
        <f>COUNTIF('Book Survey'!N:N,A74)</f>
        <v>0</v>
      </c>
      <c r="C74" s="76">
        <f t="shared" si="7"/>
        <v>0</v>
      </c>
      <c r="D74" s="38"/>
      <c r="E74" s="83" t="s">
        <v>63</v>
      </c>
      <c r="F74" s="38">
        <f>COUNTIF('Book Survey'!M:M,E74)</f>
        <v>0</v>
      </c>
      <c r="G74" s="76">
        <f t="shared" si="6"/>
        <v>0</v>
      </c>
      <c r="H74" s="38"/>
      <c r="I74" s="38"/>
      <c r="J74" s="38"/>
      <c r="K74" s="38"/>
      <c r="L74" s="38"/>
    </row>
    <row r="75" spans="1:12" s="11" customFormat="1" ht="18">
      <c r="A75" s="77" t="s">
        <v>175</v>
      </c>
      <c r="B75" s="77">
        <f>SUM(B68:B74)</f>
        <v>22</v>
      </c>
      <c r="C75" s="78">
        <f t="shared" si="7"/>
        <v>0</v>
      </c>
      <c r="D75" s="38"/>
      <c r="E75" s="83" t="s">
        <v>65</v>
      </c>
      <c r="F75" s="38">
        <f>COUNTIF('Book Survey'!M:M,E75)</f>
        <v>0</v>
      </c>
      <c r="G75" s="76">
        <f t="shared" si="6"/>
        <v>0</v>
      </c>
      <c r="H75" s="38"/>
      <c r="I75" s="38"/>
      <c r="J75" s="38"/>
      <c r="K75" s="38"/>
      <c r="L75" s="38"/>
    </row>
    <row r="76" spans="1:12" s="11" customFormat="1" ht="18">
      <c r="A76" s="40"/>
      <c r="B76" s="40"/>
      <c r="C76" s="82"/>
      <c r="D76" s="38"/>
      <c r="E76" s="38" t="s">
        <v>68</v>
      </c>
      <c r="F76" s="38">
        <f>COUNTIF('Book Survey'!M:M,E76)</f>
        <v>0</v>
      </c>
      <c r="G76" s="76">
        <f t="shared" si="6"/>
        <v>0</v>
      </c>
      <c r="H76" s="38"/>
      <c r="I76" s="38"/>
      <c r="J76" s="38"/>
      <c r="K76" s="38"/>
      <c r="L76" s="38"/>
    </row>
    <row r="77" spans="1:12" s="11" customFormat="1" ht="18">
      <c r="A77" s="67" t="s">
        <v>177</v>
      </c>
      <c r="B77" s="67"/>
      <c r="C77" s="67"/>
      <c r="D77" s="38"/>
      <c r="E77" s="83" t="s">
        <v>70</v>
      </c>
      <c r="F77" s="38">
        <f>COUNTIF('Book Survey'!M:M,E77)</f>
        <v>0</v>
      </c>
      <c r="G77" s="76">
        <f t="shared" si="6"/>
        <v>0</v>
      </c>
      <c r="H77" s="38"/>
      <c r="I77" s="38"/>
      <c r="J77" s="38"/>
      <c r="K77" s="38"/>
      <c r="L77" s="38"/>
    </row>
    <row r="78" spans="1:12" s="13" customFormat="1" ht="18">
      <c r="A78" s="38" t="s">
        <v>23</v>
      </c>
      <c r="B78" s="38">
        <f>COUNTIF('Book Survey'!O:O,"White")</f>
        <v>22</v>
      </c>
      <c r="C78" s="76">
        <f>IFERROR(B78/$B$8,0)</f>
        <v>0</v>
      </c>
      <c r="D78" s="40"/>
      <c r="E78" s="83" t="s">
        <v>73</v>
      </c>
      <c r="F78" s="38">
        <f>COUNTIF('Book Survey'!M:M,E78)</f>
        <v>0</v>
      </c>
      <c r="G78" s="76">
        <f t="shared" si="6"/>
        <v>0</v>
      </c>
      <c r="H78" s="40"/>
      <c r="I78" s="40"/>
      <c r="J78" s="40"/>
      <c r="K78" s="40"/>
      <c r="L78" s="40"/>
    </row>
    <row r="79" spans="1:12" s="13" customFormat="1" ht="18">
      <c r="A79" s="38" t="s">
        <v>36</v>
      </c>
      <c r="B79" s="38">
        <f>COUNTIF('Book Survey'!O:O,"POC")</f>
        <v>0</v>
      </c>
      <c r="C79" s="76">
        <f t="shared" ref="C79" si="8">IFERROR(B79/$B$8,0)</f>
        <v>0</v>
      </c>
      <c r="D79" s="40"/>
      <c r="E79" s="40" t="s">
        <v>75</v>
      </c>
      <c r="F79" s="38">
        <f>COUNTIF('Book Survey'!M:M,E79)</f>
        <v>0</v>
      </c>
      <c r="G79" s="76">
        <f t="shared" si="6"/>
        <v>0</v>
      </c>
      <c r="H79" s="40"/>
      <c r="I79" s="40"/>
      <c r="J79" s="40"/>
      <c r="K79" s="40"/>
      <c r="L79" s="40"/>
    </row>
    <row r="80" spans="1:12" s="13" customFormat="1" ht="18">
      <c r="A80" s="77" t="s">
        <v>175</v>
      </c>
      <c r="B80" s="77">
        <f>SUM(B78:B79)</f>
        <v>22</v>
      </c>
      <c r="C80" s="78">
        <f>IFERROR(B80/$B$8,0)</f>
        <v>0</v>
      </c>
      <c r="D80" s="40"/>
      <c r="E80" s="40" t="s">
        <v>77</v>
      </c>
      <c r="F80" s="38">
        <f>COUNTIF('Book Survey'!M:M,E80)</f>
        <v>0</v>
      </c>
      <c r="G80" s="76">
        <f t="shared" si="6"/>
        <v>0</v>
      </c>
      <c r="H80" s="40"/>
      <c r="I80" s="40"/>
      <c r="J80" s="40"/>
      <c r="K80" s="40"/>
      <c r="L80" s="40"/>
    </row>
    <row r="81" spans="1:12" s="13" customFormat="1" ht="18">
      <c r="A81" s="40"/>
      <c r="B81" s="40"/>
      <c r="C81" s="82"/>
      <c r="D81" s="40"/>
      <c r="E81" s="84" t="s">
        <v>79</v>
      </c>
      <c r="F81" s="38">
        <f>COUNTIF('Book Survey'!M:M,E81)</f>
        <v>0</v>
      </c>
      <c r="G81" s="76">
        <f t="shared" si="6"/>
        <v>0</v>
      </c>
      <c r="H81" s="40"/>
      <c r="I81" s="40"/>
      <c r="J81" s="40"/>
      <c r="K81" s="40"/>
      <c r="L81" s="40"/>
    </row>
    <row r="82" spans="1:12" s="13" customFormat="1" ht="18">
      <c r="A82" s="67" t="s">
        <v>178</v>
      </c>
      <c r="B82" s="67"/>
      <c r="C82" s="67"/>
      <c r="D82" s="40"/>
      <c r="E82" s="83" t="s">
        <v>81</v>
      </c>
      <c r="F82" s="38">
        <f>COUNTIF('Book Survey'!M:M,E82)</f>
        <v>0</v>
      </c>
      <c r="G82" s="76">
        <f t="shared" si="6"/>
        <v>0</v>
      </c>
      <c r="H82" s="40"/>
      <c r="I82" s="40"/>
      <c r="J82" s="40"/>
      <c r="K82" s="40"/>
      <c r="L82" s="40"/>
    </row>
    <row r="83" spans="1:12" s="13" customFormat="1" ht="18">
      <c r="A83" s="83" t="s">
        <v>24</v>
      </c>
      <c r="B83" s="38">
        <f>COUNTIF('Book Survey'!P:P,A83)</f>
        <v>7</v>
      </c>
      <c r="C83" s="76">
        <f>IFERROR(B83/$B$8,0)</f>
        <v>0</v>
      </c>
      <c r="D83" s="40"/>
      <c r="E83" s="83" t="s">
        <v>83</v>
      </c>
      <c r="F83" s="38">
        <f>COUNTIF('Book Survey'!M:M,E83)</f>
        <v>0</v>
      </c>
      <c r="G83" s="76">
        <f t="shared" si="6"/>
        <v>0</v>
      </c>
      <c r="H83" s="40"/>
      <c r="I83" s="40"/>
      <c r="J83" s="40"/>
      <c r="K83" s="40"/>
      <c r="L83" s="40"/>
    </row>
    <row r="84" spans="1:12" s="13" customFormat="1" ht="18">
      <c r="A84" s="83" t="s">
        <v>42</v>
      </c>
      <c r="B84" s="38">
        <f>COUNTIF('Book Survey'!P:P,A84)</f>
        <v>15</v>
      </c>
      <c r="C84" s="76">
        <f>IFERROR(B84/$B$8,0)</f>
        <v>0</v>
      </c>
      <c r="D84" s="40"/>
      <c r="E84" s="83" t="s">
        <v>84</v>
      </c>
      <c r="F84" s="38">
        <f>COUNTIF('Book Survey'!M:M,E84)</f>
        <v>0</v>
      </c>
      <c r="G84" s="76">
        <f t="shared" si="6"/>
        <v>0</v>
      </c>
      <c r="H84" s="40"/>
      <c r="I84" s="40"/>
      <c r="J84" s="40"/>
      <c r="K84" s="40"/>
      <c r="L84" s="40"/>
    </row>
    <row r="85" spans="1:12" s="13" customFormat="1" ht="18">
      <c r="A85" s="77" t="s">
        <v>175</v>
      </c>
      <c r="B85" s="77">
        <f>SUM(B83:B84)</f>
        <v>22</v>
      </c>
      <c r="C85" s="78">
        <f>IFERROR(B85/$B$8,0)</f>
        <v>0</v>
      </c>
      <c r="D85" s="40"/>
      <c r="E85" s="83" t="s">
        <v>179</v>
      </c>
      <c r="F85" s="38">
        <f>COUNTIF('Book Survey'!M:M,E85)</f>
        <v>2</v>
      </c>
      <c r="G85" s="76">
        <f t="shared" si="6"/>
        <v>0</v>
      </c>
      <c r="H85" s="40"/>
      <c r="I85" s="40"/>
      <c r="J85" s="40"/>
      <c r="K85" s="40"/>
      <c r="L85" s="40"/>
    </row>
    <row r="86" spans="1:12" s="13" customFormat="1" ht="18">
      <c r="A86" s="40"/>
      <c r="B86" s="40"/>
      <c r="C86" s="40"/>
      <c r="D86" s="40"/>
      <c r="E86" s="84" t="s">
        <v>180</v>
      </c>
      <c r="F86" s="38">
        <f>COUNTIF('Book Survey'!M:M,E86)</f>
        <v>0</v>
      </c>
      <c r="G86" s="76">
        <f t="shared" si="6"/>
        <v>0</v>
      </c>
      <c r="H86" s="40"/>
      <c r="I86" s="40"/>
      <c r="J86" s="40"/>
      <c r="K86" s="40"/>
      <c r="L86" s="40"/>
    </row>
    <row r="87" spans="1:12" s="13" customFormat="1" ht="18">
      <c r="A87" s="40"/>
      <c r="B87" s="40"/>
      <c r="C87" s="40"/>
      <c r="D87" s="40"/>
      <c r="E87" s="38" t="s">
        <v>181</v>
      </c>
      <c r="F87" s="38">
        <f>COUNTIF('Book Survey'!M:M,E87)</f>
        <v>0</v>
      </c>
      <c r="G87" s="76">
        <f t="shared" si="6"/>
        <v>0</v>
      </c>
      <c r="H87" s="40"/>
      <c r="I87" s="40"/>
      <c r="J87" s="40"/>
      <c r="K87" s="40"/>
      <c r="L87" s="40"/>
    </row>
    <row r="88" spans="1:12" s="13" customFormat="1" ht="18">
      <c r="A88" s="40"/>
      <c r="B88" s="40"/>
      <c r="C88" s="82"/>
      <c r="D88" s="40"/>
      <c r="E88" s="83" t="s">
        <v>182</v>
      </c>
      <c r="F88" s="38">
        <f>COUNTIF('Book Survey'!M:M,E88)</f>
        <v>0</v>
      </c>
      <c r="G88" s="76">
        <f t="shared" si="6"/>
        <v>0</v>
      </c>
      <c r="H88" s="40"/>
      <c r="I88" s="40"/>
      <c r="J88" s="40"/>
      <c r="K88" s="40"/>
      <c r="L88" s="40"/>
    </row>
    <row r="89" spans="1:12" s="13" customFormat="1" ht="18">
      <c r="A89" s="40"/>
      <c r="B89" s="40"/>
      <c r="C89" s="82"/>
      <c r="D89" s="40"/>
      <c r="E89" s="38" t="s">
        <v>183</v>
      </c>
      <c r="F89" s="38">
        <f>COUNTIF('Book Survey'!M:M,E89)</f>
        <v>0</v>
      </c>
      <c r="G89" s="76">
        <f t="shared" si="6"/>
        <v>0</v>
      </c>
      <c r="H89" s="40"/>
      <c r="I89" s="40"/>
      <c r="J89" s="40"/>
      <c r="K89" s="40"/>
      <c r="L89" s="40"/>
    </row>
    <row r="90" spans="1:12" s="13" customFormat="1" ht="18">
      <c r="A90" s="40"/>
      <c r="B90" s="40"/>
      <c r="C90" s="82"/>
      <c r="D90" s="40"/>
      <c r="E90" s="83" t="s">
        <v>184</v>
      </c>
      <c r="F90" s="38">
        <f>COUNTIF('Book Survey'!M:M,E90)</f>
        <v>0</v>
      </c>
      <c r="G90" s="76">
        <f t="shared" si="6"/>
        <v>0</v>
      </c>
      <c r="H90" s="40"/>
      <c r="I90" s="40"/>
      <c r="J90" s="40"/>
      <c r="K90" s="40"/>
      <c r="L90" s="40"/>
    </row>
    <row r="91" spans="1:12" s="13" customFormat="1" ht="18">
      <c r="A91" s="40"/>
      <c r="B91" s="40"/>
      <c r="C91" s="82"/>
      <c r="D91" s="40"/>
      <c r="E91" s="84" t="s">
        <v>185</v>
      </c>
      <c r="F91" s="38">
        <f>COUNTIF('Book Survey'!M:M,E91)</f>
        <v>0</v>
      </c>
      <c r="G91" s="76">
        <f t="shared" si="6"/>
        <v>0</v>
      </c>
      <c r="H91" s="40"/>
      <c r="I91" s="40"/>
      <c r="J91" s="40"/>
      <c r="K91" s="40"/>
      <c r="L91" s="40"/>
    </row>
    <row r="92" spans="1:12" s="13" customFormat="1" ht="18">
      <c r="A92" s="40"/>
      <c r="B92" s="40"/>
      <c r="C92" s="82"/>
      <c r="D92" s="40"/>
      <c r="E92" s="83" t="s">
        <v>186</v>
      </c>
      <c r="F92" s="38">
        <f>COUNTIF('Book Survey'!M:M,E92)</f>
        <v>0</v>
      </c>
      <c r="G92" s="76">
        <f t="shared" si="6"/>
        <v>0</v>
      </c>
      <c r="H92" s="40"/>
      <c r="I92" s="40"/>
      <c r="J92" s="40"/>
      <c r="K92" s="40"/>
      <c r="L92" s="40"/>
    </row>
    <row r="93" spans="1:12" s="13" customFormat="1" ht="18">
      <c r="A93" s="40"/>
      <c r="B93" s="40"/>
      <c r="C93" s="82"/>
      <c r="D93" s="40"/>
      <c r="E93" s="83" t="s">
        <v>187</v>
      </c>
      <c r="F93" s="38">
        <f>COUNTIF('Book Survey'!M:M,E93)</f>
        <v>0</v>
      </c>
      <c r="G93" s="76">
        <f t="shared" si="6"/>
        <v>0</v>
      </c>
      <c r="H93" s="40"/>
      <c r="I93" s="40"/>
      <c r="J93" s="40"/>
      <c r="K93" s="40"/>
      <c r="L93" s="40"/>
    </row>
    <row r="94" spans="1:12" s="13" customFormat="1" ht="18">
      <c r="A94" s="40"/>
      <c r="B94" s="40"/>
      <c r="C94" s="82"/>
      <c r="D94" s="40"/>
      <c r="E94" s="77" t="s">
        <v>175</v>
      </c>
      <c r="F94" s="77">
        <f>SUM(F62:F93)</f>
        <v>5</v>
      </c>
      <c r="G94" s="78">
        <f t="shared" si="6"/>
        <v>0</v>
      </c>
      <c r="H94" s="40"/>
      <c r="I94" s="40"/>
      <c r="J94" s="40"/>
      <c r="K94" s="40"/>
      <c r="L94" s="40"/>
    </row>
    <row r="95" spans="1:12" s="13" customFormat="1" ht="18">
      <c r="A95" s="40"/>
      <c r="B95" s="40"/>
      <c r="C95" s="82"/>
      <c r="D95" s="40"/>
      <c r="E95" s="40"/>
      <c r="F95" s="40"/>
      <c r="G95" s="40"/>
      <c r="H95" s="40"/>
      <c r="I95" s="40"/>
      <c r="J95" s="40"/>
      <c r="K95" s="40"/>
      <c r="L95" s="40"/>
    </row>
    <row r="96" spans="1:12" s="11" customFormat="1" ht="18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</row>
    <row r="97" spans="1:12" s="25" customFormat="1" ht="21">
      <c r="A97" s="109" t="s">
        <v>188</v>
      </c>
      <c r="B97" s="109"/>
      <c r="C97" s="109"/>
      <c r="D97" s="109"/>
      <c r="E97" s="109"/>
      <c r="F97" s="109"/>
      <c r="G97" s="109"/>
      <c r="H97" s="109"/>
      <c r="I97" s="109"/>
      <c r="J97" s="109"/>
      <c r="K97" s="109"/>
      <c r="L97" s="109"/>
    </row>
    <row r="98" spans="1:12" s="11" customFormat="1" ht="1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</row>
    <row r="99" spans="1:12" s="25" customFormat="1" ht="18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</row>
    <row r="100" spans="1:12" s="11" customFormat="1" ht="18">
      <c r="A100" s="67" t="s">
        <v>189</v>
      </c>
      <c r="B100" s="68"/>
      <c r="C100" s="68"/>
      <c r="D100" s="38"/>
      <c r="E100" s="67" t="s">
        <v>190</v>
      </c>
      <c r="F100" s="67"/>
      <c r="G100" s="67"/>
      <c r="H100" s="68"/>
      <c r="I100" s="38"/>
      <c r="J100" s="38"/>
      <c r="K100" s="38"/>
      <c r="L100" s="38"/>
    </row>
    <row r="101" spans="1:12" s="11" customFormat="1" ht="18">
      <c r="A101" s="38" t="s">
        <v>17</v>
      </c>
      <c r="B101" s="40">
        <f>COUNTIF(Purchases!C:C,A101)</f>
        <v>1</v>
      </c>
      <c r="C101" s="82">
        <f t="shared" ref="C101:C116" si="9">IFERROR(B101/$B$117,0)</f>
        <v>0.1111111111111111</v>
      </c>
      <c r="D101" s="38"/>
      <c r="E101" s="79" t="s">
        <v>124</v>
      </c>
      <c r="F101" s="38">
        <f>COUNTIFS(Purchases!A:A,"&gt;=01/01/2018",Purchases!A:A,"&lt;=31/01/2018")</f>
        <v>0</v>
      </c>
      <c r="G101" s="76">
        <f t="shared" ref="G101:G112" si="10">IFERROR(F101/$F$113,0)</f>
        <v>0</v>
      </c>
      <c r="H101" s="86">
        <f>SUMIFS(Purchases!F:F,Purchases!A:A,"&gt;=01/01/2018",Purchases!A:A,"&lt;=31/01/2018")</f>
        <v>0</v>
      </c>
      <c r="I101" s="38"/>
      <c r="J101" s="38"/>
      <c r="K101" s="38"/>
      <c r="L101" s="38"/>
    </row>
    <row r="102" spans="1:12" s="11" customFormat="1" ht="18">
      <c r="A102" s="38" t="s">
        <v>90</v>
      </c>
      <c r="B102" s="40">
        <f>COUNTIF(Purchases!C:C,A102)</f>
        <v>0</v>
      </c>
      <c r="C102" s="82">
        <f t="shared" si="9"/>
        <v>0</v>
      </c>
      <c r="D102" s="38"/>
      <c r="E102" s="79" t="s">
        <v>125</v>
      </c>
      <c r="F102" s="38">
        <f>COUNTIFS(Purchases!A:A,"&gt;=01/02/2018",Purchases!A:A,"&lt;=28/02/2018")</f>
        <v>0</v>
      </c>
      <c r="G102" s="76">
        <f t="shared" si="10"/>
        <v>0</v>
      </c>
      <c r="H102" s="86">
        <f>SUMIFS(Purchases!F:F,Purchases!A:A,"&gt;=01/02/2018",Purchases!A:A,"&lt;=28/02/2018")</f>
        <v>0</v>
      </c>
      <c r="I102" s="38"/>
      <c r="J102" s="38"/>
      <c r="K102" s="38"/>
      <c r="L102" s="38"/>
    </row>
    <row r="103" spans="1:12" s="11" customFormat="1" ht="18">
      <c r="A103" s="38" t="s">
        <v>52</v>
      </c>
      <c r="B103" s="40">
        <f>COUNTIF(Purchases!C:C,A103)</f>
        <v>3</v>
      </c>
      <c r="C103" s="82">
        <f t="shared" si="9"/>
        <v>0.33333333333333331</v>
      </c>
      <c r="D103" s="38"/>
      <c r="E103" s="79" t="s">
        <v>126</v>
      </c>
      <c r="F103" s="38">
        <f>COUNTIFS(Purchases!A:A,"&gt;=01/03/2018",Purchases!A:A,"&lt;=31/03/2018")</f>
        <v>0</v>
      </c>
      <c r="G103" s="76">
        <f t="shared" si="10"/>
        <v>0</v>
      </c>
      <c r="H103" s="86">
        <f>SUMIFS(Purchases!F:F,Purchases!A:A,"&gt;=01/03/2018",Purchases!A:A,"&lt;=31/03/2018")</f>
        <v>0</v>
      </c>
      <c r="I103" s="38"/>
      <c r="J103" s="38"/>
      <c r="K103" s="38"/>
      <c r="L103" s="38"/>
    </row>
    <row r="104" spans="1:12" s="11" customFormat="1" ht="18">
      <c r="A104" s="38" t="s">
        <v>31</v>
      </c>
      <c r="B104" s="40">
        <f>COUNTIF(Purchases!C:C,A104)</f>
        <v>0</v>
      </c>
      <c r="C104" s="82">
        <f t="shared" si="9"/>
        <v>0</v>
      </c>
      <c r="D104" s="38"/>
      <c r="E104" s="79" t="s">
        <v>127</v>
      </c>
      <c r="F104" s="38">
        <f>COUNTIFS(Purchases!A:A,"&gt;=01/04/2018",Purchases!A:A,"&lt;=30/04/2018")</f>
        <v>0</v>
      </c>
      <c r="G104" s="76">
        <f t="shared" si="10"/>
        <v>0</v>
      </c>
      <c r="H104" s="86">
        <f>SUMIFS(Purchases!F:F,Purchases!A:A,"&gt;=01/04/2018",Purchases!A:A,"&lt;=30/04/2018")</f>
        <v>0</v>
      </c>
      <c r="I104" s="38"/>
      <c r="J104" s="38"/>
      <c r="K104" s="38"/>
      <c r="L104" s="38"/>
    </row>
    <row r="105" spans="1:12" s="11" customFormat="1" ht="18">
      <c r="A105" s="38" t="s">
        <v>38</v>
      </c>
      <c r="B105" s="40">
        <f>COUNTIF(Purchases!C:C,A105)</f>
        <v>0</v>
      </c>
      <c r="C105" s="82">
        <f t="shared" si="9"/>
        <v>0</v>
      </c>
      <c r="D105" s="38"/>
      <c r="E105" s="79" t="s">
        <v>66</v>
      </c>
      <c r="F105" s="38">
        <f>COUNTIFS(Purchases!A:A,"&gt;=01/05/2018",Purchases!A:A,"&lt;=31/05/2018")</f>
        <v>0</v>
      </c>
      <c r="G105" s="76">
        <f t="shared" si="10"/>
        <v>0</v>
      </c>
      <c r="H105" s="86">
        <f>SUMIFS(Purchases!F:F,Purchases!A:A,"&gt;=01/05/2018",Purchases!A:A,"&lt;=31/05/2018")</f>
        <v>0</v>
      </c>
      <c r="I105" s="38"/>
      <c r="J105" s="38"/>
      <c r="K105" s="38"/>
      <c r="L105" s="38"/>
    </row>
    <row r="106" spans="1:12" s="11" customFormat="1" ht="18">
      <c r="A106" s="38" t="s">
        <v>46</v>
      </c>
      <c r="B106" s="40">
        <f>COUNTIF(Purchases!C:C,A106)</f>
        <v>0</v>
      </c>
      <c r="C106" s="82">
        <f t="shared" si="9"/>
        <v>0</v>
      </c>
      <c r="D106" s="38"/>
      <c r="E106" s="79" t="s">
        <v>128</v>
      </c>
      <c r="F106" s="38">
        <f>COUNTIFS(Purchases!A:A,"&gt;=01/06/2018",Purchases!A:A,"&lt;=30/06/2018")</f>
        <v>0</v>
      </c>
      <c r="G106" s="76">
        <f t="shared" si="10"/>
        <v>0</v>
      </c>
      <c r="H106" s="86">
        <f>SUMIFS(Purchases!F:F,Purchases!A:A,"&gt;=01/06/2018",Purchases!A:A,"&lt;=30/06/2018")</f>
        <v>0</v>
      </c>
      <c r="I106" s="38"/>
      <c r="J106" s="38"/>
      <c r="K106" s="38"/>
      <c r="L106" s="38"/>
    </row>
    <row r="107" spans="1:12" s="11" customFormat="1" ht="18">
      <c r="A107" s="38" t="s">
        <v>96</v>
      </c>
      <c r="B107" s="40">
        <f>COUNTIF(Purchases!C:C,A107)</f>
        <v>0</v>
      </c>
      <c r="C107" s="82">
        <f t="shared" si="9"/>
        <v>0</v>
      </c>
      <c r="D107" s="38"/>
      <c r="E107" s="79" t="s">
        <v>129</v>
      </c>
      <c r="F107" s="38">
        <f>COUNTIFS(Purchases!A:A,"&gt;=01/07/2018",Purchases!A:A,"&lt;=31/07/2018")</f>
        <v>0</v>
      </c>
      <c r="G107" s="76">
        <f t="shared" si="10"/>
        <v>0</v>
      </c>
      <c r="H107" s="86">
        <f>SUMIFS(Purchases!F:F,Purchases!A:A,"&gt;=01/07/2018",Purchases!A:A,"&lt;=31/07/2018")</f>
        <v>0</v>
      </c>
      <c r="I107" s="38"/>
      <c r="J107" s="38"/>
      <c r="K107" s="38"/>
      <c r="L107" s="38"/>
    </row>
    <row r="108" spans="1:12" s="11" customFormat="1" ht="18">
      <c r="A108" s="38" t="s">
        <v>56</v>
      </c>
      <c r="B108" s="40">
        <f>COUNTIF(Purchases!C:C,A108)</f>
        <v>0</v>
      </c>
      <c r="C108" s="82">
        <f t="shared" si="9"/>
        <v>0</v>
      </c>
      <c r="D108" s="38"/>
      <c r="E108" s="79" t="s">
        <v>130</v>
      </c>
      <c r="F108" s="38">
        <f>COUNTIFS(Purchases!A:A,"&gt;=01/08/2018",Purchases!A:A,"&lt;=31/08/2018")</f>
        <v>0</v>
      </c>
      <c r="G108" s="76">
        <f t="shared" si="10"/>
        <v>0</v>
      </c>
      <c r="H108" s="86">
        <f>SUMIFS(Purchases!F:F,Purchases!A:A,"&gt;=01/08/2018",Purchases!A:A,"&lt;=31/08/2018")</f>
        <v>0</v>
      </c>
      <c r="I108" s="38"/>
      <c r="J108" s="38"/>
      <c r="K108" s="38"/>
      <c r="L108" s="38"/>
    </row>
    <row r="109" spans="1:12" s="11" customFormat="1" ht="18">
      <c r="A109" s="38" t="s">
        <v>74</v>
      </c>
      <c r="B109" s="40">
        <f>COUNTIF(Purchases!C:C,A109)</f>
        <v>4</v>
      </c>
      <c r="C109" s="82">
        <f t="shared" si="9"/>
        <v>0.44444444444444442</v>
      </c>
      <c r="D109" s="38"/>
      <c r="E109" s="38" t="s">
        <v>131</v>
      </c>
      <c r="F109" s="38">
        <f>COUNTIFS(Purchases!A:A,"&gt;=01/09/2018",Purchases!A:A,"&lt;=30/09/2018")</f>
        <v>0</v>
      </c>
      <c r="G109" s="76">
        <f t="shared" si="10"/>
        <v>0</v>
      </c>
      <c r="H109" s="86">
        <f>SUMIFS(Purchases!F:F,Purchases!A:A,"&gt;=01/09/2018",Purchases!A:A,"&lt;=30/09/2018")</f>
        <v>0</v>
      </c>
      <c r="I109" s="38"/>
      <c r="J109" s="38"/>
      <c r="K109" s="38"/>
      <c r="L109" s="38"/>
    </row>
    <row r="110" spans="1:12" s="11" customFormat="1" ht="18">
      <c r="A110" s="38" t="s">
        <v>58</v>
      </c>
      <c r="B110" s="40">
        <f>COUNTIF(Purchases!C:C,A110)</f>
        <v>1</v>
      </c>
      <c r="C110" s="82">
        <f t="shared" si="9"/>
        <v>0.1111111111111111</v>
      </c>
      <c r="D110" s="38"/>
      <c r="E110" s="38" t="s">
        <v>132</v>
      </c>
      <c r="F110" s="38">
        <f>COUNTIFS(Purchases!A:A,"&gt;=01/10/2018",Purchases!A:A,"&lt;=31/10/2018")</f>
        <v>0</v>
      </c>
      <c r="G110" s="76">
        <f t="shared" si="10"/>
        <v>0</v>
      </c>
      <c r="H110" s="86">
        <f>SUMIFS(Purchases!F:F,Purchases!A:A,"&gt;=01/10/2018",Purchases!A:A,"&lt;=31/10/2018")</f>
        <v>0</v>
      </c>
      <c r="I110" s="38"/>
      <c r="J110" s="38"/>
      <c r="K110" s="38"/>
      <c r="L110" s="38"/>
    </row>
    <row r="111" spans="1:12" s="11" customFormat="1" ht="18">
      <c r="A111" s="38" t="s">
        <v>60</v>
      </c>
      <c r="B111" s="40">
        <f>COUNTIF(Purchases!C:C,A111)</f>
        <v>0</v>
      </c>
      <c r="C111" s="82">
        <f t="shared" si="9"/>
        <v>0</v>
      </c>
      <c r="D111" s="38"/>
      <c r="E111" s="79" t="s">
        <v>133</v>
      </c>
      <c r="F111" s="38">
        <f>COUNTIFS(Purchases!A:A,"&gt;=01/11/2018",Purchases!A:A,"&lt;=30/11/2018")</f>
        <v>0</v>
      </c>
      <c r="G111" s="76">
        <f t="shared" si="10"/>
        <v>0</v>
      </c>
      <c r="H111" s="86">
        <f>SUMIFS(Purchases!F:F,Purchases!A:A,"&gt;=01/11/2018",Purchases!A:A,"&lt;=30/11/2018")</f>
        <v>0</v>
      </c>
      <c r="I111" s="38"/>
      <c r="J111" s="38"/>
      <c r="K111" s="38"/>
      <c r="L111" s="38"/>
    </row>
    <row r="112" spans="1:12" s="11" customFormat="1" ht="18">
      <c r="A112" s="38" t="s">
        <v>67</v>
      </c>
      <c r="B112" s="40">
        <f>COUNTIF(Purchases!C:C,A112)</f>
        <v>0</v>
      </c>
      <c r="C112" s="82">
        <f t="shared" si="9"/>
        <v>0</v>
      </c>
      <c r="D112" s="38"/>
      <c r="E112" s="79" t="s">
        <v>134</v>
      </c>
      <c r="F112" s="38">
        <f>COUNTIFS(Purchases!A:A,"&gt;=01/12/2018",Purchases!A:A,"&lt;=31/12/2018")</f>
        <v>0</v>
      </c>
      <c r="G112" s="76">
        <f t="shared" si="10"/>
        <v>0</v>
      </c>
      <c r="H112" s="86">
        <f>SUMIFS(Purchases!F:F,Purchases!A:A,"&gt;=01/12/2018",Purchases!A:A,"&lt;=31/12/2018")</f>
        <v>0</v>
      </c>
      <c r="I112" s="38"/>
      <c r="J112" s="38"/>
      <c r="K112" s="38"/>
      <c r="L112" s="38"/>
    </row>
    <row r="113" spans="1:12" s="11" customFormat="1" ht="18">
      <c r="A113" s="38" t="s">
        <v>69</v>
      </c>
      <c r="B113" s="40">
        <f>COUNTIF(Purchases!C:C,A113)</f>
        <v>0</v>
      </c>
      <c r="C113" s="82">
        <f t="shared" si="9"/>
        <v>0</v>
      </c>
      <c r="D113" s="38"/>
      <c r="E113" s="77" t="s">
        <v>175</v>
      </c>
      <c r="F113" s="77">
        <f>SUM(F101:F112)</f>
        <v>0</v>
      </c>
      <c r="G113" s="78">
        <f>SUM(G101:G112)</f>
        <v>0</v>
      </c>
      <c r="H113" s="87">
        <f>SUM(H101:H112)</f>
        <v>0</v>
      </c>
      <c r="I113" s="38"/>
      <c r="J113" s="38"/>
      <c r="K113" s="38"/>
      <c r="L113" s="38"/>
    </row>
    <row r="114" spans="1:12" s="11" customFormat="1" ht="18">
      <c r="A114" s="38" t="s">
        <v>71</v>
      </c>
      <c r="B114" s="40">
        <f>COUNTIF(Purchases!C:C,A114)</f>
        <v>0</v>
      </c>
      <c r="C114" s="82">
        <f t="shared" si="9"/>
        <v>0</v>
      </c>
      <c r="D114" s="38"/>
      <c r="E114" s="38"/>
      <c r="F114" s="38"/>
      <c r="G114" s="38"/>
      <c r="H114" s="38"/>
      <c r="I114" s="38"/>
      <c r="J114" s="38"/>
      <c r="K114" s="38"/>
      <c r="L114" s="38"/>
    </row>
    <row r="115" spans="1:12" s="11" customFormat="1" ht="18">
      <c r="A115" s="38" t="s">
        <v>80</v>
      </c>
      <c r="B115" s="40">
        <f>COUNTIF(Purchases!C:C,A115)</f>
        <v>0</v>
      </c>
      <c r="C115" s="82">
        <f t="shared" si="9"/>
        <v>0</v>
      </c>
      <c r="D115" s="38"/>
      <c r="E115" s="67" t="s">
        <v>191</v>
      </c>
      <c r="F115" s="70">
        <f>AVERAGE(F101:F112)</f>
        <v>0</v>
      </c>
      <c r="G115" s="38"/>
      <c r="H115" s="38"/>
      <c r="I115" s="38"/>
      <c r="J115" s="38"/>
      <c r="K115" s="38"/>
      <c r="L115" s="38"/>
    </row>
    <row r="116" spans="1:12" s="11" customFormat="1" ht="18">
      <c r="A116" s="38" t="s">
        <v>192</v>
      </c>
      <c r="B116" s="40">
        <f>COUNTIF(Purchases!C:C,A116)</f>
        <v>0</v>
      </c>
      <c r="C116" s="82">
        <f t="shared" si="9"/>
        <v>0</v>
      </c>
      <c r="D116" s="38"/>
      <c r="E116" s="67" t="s">
        <v>193</v>
      </c>
      <c r="F116" s="70">
        <f>IFERROR(SUM(H101:H112)/12,0)</f>
        <v>0</v>
      </c>
      <c r="G116" s="38"/>
      <c r="H116" s="38"/>
      <c r="I116" s="38"/>
      <c r="J116" s="38"/>
      <c r="K116" s="38"/>
      <c r="L116" s="38"/>
    </row>
    <row r="117" spans="1:12" s="11" customFormat="1" ht="18">
      <c r="A117" s="77" t="s">
        <v>175</v>
      </c>
      <c r="B117" s="77">
        <f>SUM(B101:B116)</f>
        <v>9</v>
      </c>
      <c r="C117" s="78">
        <f>SUM(C101:C116)</f>
        <v>1</v>
      </c>
      <c r="D117" s="38"/>
      <c r="E117" s="67" t="s">
        <v>194</v>
      </c>
      <c r="F117" s="70" t="e">
        <f>H113/F113</f>
        <v>#DIV/0!</v>
      </c>
      <c r="G117" s="38"/>
      <c r="H117" s="38"/>
      <c r="I117" s="38"/>
      <c r="J117" s="38"/>
      <c r="K117" s="38"/>
      <c r="L117" s="38"/>
    </row>
    <row r="118" spans="1:12" s="11" customFormat="1" ht="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</row>
    <row r="119" spans="1:12" s="11" customFormat="1" ht="18">
      <c r="A119" s="38"/>
      <c r="B119" s="38"/>
      <c r="C119" s="38"/>
      <c r="D119" s="38"/>
      <c r="E119" s="38"/>
      <c r="F119" s="73"/>
      <c r="G119" s="38"/>
      <c r="H119" s="38"/>
      <c r="I119" s="38"/>
      <c r="J119" s="38"/>
      <c r="K119" s="38"/>
      <c r="L119" s="38"/>
    </row>
    <row r="120" spans="1:12" s="11" customFormat="1" ht="18">
      <c r="A120" s="67" t="s">
        <v>195</v>
      </c>
      <c r="B120" s="68"/>
      <c r="C120" s="38"/>
      <c r="D120" s="38"/>
      <c r="E120" s="67" t="s">
        <v>196</v>
      </c>
      <c r="F120" s="68"/>
      <c r="G120" s="68"/>
      <c r="H120" s="38"/>
      <c r="I120" s="38"/>
      <c r="J120" s="38"/>
      <c r="K120" s="38"/>
      <c r="L120" s="38"/>
    </row>
    <row r="121" spans="1:12" s="11" customFormat="1" ht="18">
      <c r="A121" s="38" t="s">
        <v>89</v>
      </c>
      <c r="B121" s="38">
        <f>COUNTIF(Purchases!E:E,A121)</f>
        <v>4</v>
      </c>
      <c r="C121" s="38"/>
      <c r="D121" s="38"/>
      <c r="E121" s="38" t="s">
        <v>18</v>
      </c>
      <c r="F121" s="38">
        <f>COUNTIF(Purchases!D:D,E121)</f>
        <v>9</v>
      </c>
      <c r="G121" s="76">
        <f>IFERROR(F121/$F$124,0)</f>
        <v>0.6428571428571429</v>
      </c>
      <c r="H121" s="38"/>
      <c r="I121" s="38"/>
      <c r="J121" s="38"/>
      <c r="K121" s="38"/>
      <c r="L121" s="38"/>
    </row>
    <row r="122" spans="1:12" s="11" customFormat="1" ht="18">
      <c r="A122" s="38" t="s">
        <v>91</v>
      </c>
      <c r="B122" s="38">
        <f>COUNTIF(Purchases!E:E,A122)</f>
        <v>0</v>
      </c>
      <c r="C122" s="38"/>
      <c r="D122" s="38"/>
      <c r="E122" s="38" t="s">
        <v>26</v>
      </c>
      <c r="F122" s="38">
        <f>COUNTIF(Purchases!D:D,E122)</f>
        <v>5</v>
      </c>
      <c r="G122" s="76">
        <f>IFERROR(F122/$F$124,0)</f>
        <v>0.35714285714285715</v>
      </c>
      <c r="H122" s="38"/>
      <c r="I122" s="38"/>
      <c r="J122" s="38"/>
      <c r="K122" s="38"/>
      <c r="L122" s="38"/>
    </row>
    <row r="123" spans="1:12" s="11" customFormat="1" ht="18">
      <c r="A123" s="38" t="s">
        <v>92</v>
      </c>
      <c r="B123" s="38">
        <f>COUNTIF(Purchases!E:E,A123)</f>
        <v>0</v>
      </c>
      <c r="C123" s="38"/>
      <c r="D123" s="38"/>
      <c r="E123" s="38" t="s">
        <v>32</v>
      </c>
      <c r="F123" s="38">
        <f>COUNTIF(Purchases!D:D,E123)</f>
        <v>0</v>
      </c>
      <c r="G123" s="76">
        <f>IFERROR(F123/$F$124,0)</f>
        <v>0</v>
      </c>
      <c r="H123" s="38"/>
      <c r="I123" s="38"/>
      <c r="J123" s="38"/>
      <c r="K123" s="38"/>
      <c r="L123" s="38"/>
    </row>
    <row r="124" spans="1:12" s="11" customFormat="1" ht="18">
      <c r="A124" s="38" t="s">
        <v>93</v>
      </c>
      <c r="B124" s="38">
        <f>COUNTIF(Purchases!E:E,A124)</f>
        <v>1</v>
      </c>
      <c r="C124" s="38"/>
      <c r="D124" s="38"/>
      <c r="E124" s="77" t="s">
        <v>138</v>
      </c>
      <c r="F124" s="77">
        <f>SUM(F121:F123)</f>
        <v>14</v>
      </c>
      <c r="G124" s="78">
        <f>SUM(G121:G123)</f>
        <v>1</v>
      </c>
      <c r="H124" s="38"/>
      <c r="I124" s="38"/>
      <c r="J124" s="38"/>
      <c r="K124" s="38"/>
      <c r="L124" s="38"/>
    </row>
    <row r="125" spans="1:12" s="11" customFormat="1" ht="18">
      <c r="A125" s="38" t="s">
        <v>94</v>
      </c>
      <c r="B125" s="38">
        <f>COUNTIF(Purchases!E:E,A125)</f>
        <v>1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</row>
    <row r="126" spans="1:12" s="11" customFormat="1" ht="18">
      <c r="A126" s="38" t="s">
        <v>95</v>
      </c>
      <c r="B126" s="38">
        <f>COUNTIF(Purchases!E:E,A126)</f>
        <v>1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</row>
    <row r="127" spans="1:12" s="11" customFormat="1" ht="18">
      <c r="A127" s="88" t="s">
        <v>97</v>
      </c>
      <c r="B127" s="38">
        <f>COUNTIF(Purchases!E:E,A127)</f>
        <v>1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</row>
    <row r="128" spans="1:12" s="11" customFormat="1" ht="18">
      <c r="A128" s="77" t="s">
        <v>175</v>
      </c>
      <c r="B128" s="77">
        <f>SUM(B121:B127)</f>
        <v>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</row>
    <row r="129" spans="1:14" s="11" customFormat="1" ht="18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</row>
    <row r="130" spans="1:14" ht="21">
      <c r="A130" s="109" t="s">
        <v>197</v>
      </c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</row>
    <row r="131" spans="1:14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</row>
    <row r="132" spans="1:14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</row>
    <row r="133" spans="1:14" ht="17.399999999999999">
      <c r="A133" s="67" t="s">
        <v>198</v>
      </c>
      <c r="B133" s="68"/>
      <c r="C133" s="68"/>
      <c r="D133" s="89"/>
      <c r="E133" s="67" t="s">
        <v>199</v>
      </c>
      <c r="F133" s="68"/>
      <c r="G133" s="68"/>
      <c r="H133" s="89"/>
      <c r="I133" s="67" t="s">
        <v>200</v>
      </c>
      <c r="J133" s="68"/>
      <c r="K133" s="68"/>
      <c r="L133" s="89"/>
    </row>
    <row r="134" spans="1:14" ht="18">
      <c r="A134" s="38" t="s">
        <v>17</v>
      </c>
      <c r="B134" s="40">
        <f>COUNTIF('TBR Pile'!B:B,A134)</f>
        <v>4</v>
      </c>
      <c r="C134" s="82">
        <f>IFERROR(B134/$B$157,0)</f>
        <v>0.2857142857142857</v>
      </c>
      <c r="D134" s="89"/>
      <c r="E134" s="38" t="s">
        <v>19</v>
      </c>
      <c r="F134" s="38">
        <f>COUNTIF('TBR Pile'!D:D,E134)</f>
        <v>4</v>
      </c>
      <c r="G134" s="76">
        <f>IFERROR(F134/$B$157,0)</f>
        <v>0.2857142857142857</v>
      </c>
      <c r="H134" s="89"/>
      <c r="I134" s="38" t="s">
        <v>201</v>
      </c>
      <c r="J134" s="38">
        <f>COUNTIFS('TBR Pile'!J:J,"&gt;=0",'TBR Pile'!J:J,"&lt;=.99")</f>
        <v>0</v>
      </c>
      <c r="K134" s="76">
        <f>IFERROR(J134/$B$157,0)</f>
        <v>0</v>
      </c>
      <c r="L134" s="89"/>
      <c r="N134" s="11"/>
    </row>
    <row r="135" spans="1:14" ht="18">
      <c r="A135" s="38" t="s">
        <v>90</v>
      </c>
      <c r="B135" s="40">
        <f>COUNTIF('TBR Pile'!B:B,A135)</f>
        <v>0</v>
      </c>
      <c r="C135" s="82">
        <f t="shared" ref="C135:C156" si="11">IFERROR(B135/$B$157,0)</f>
        <v>0</v>
      </c>
      <c r="D135" s="89"/>
      <c r="E135" s="38" t="s">
        <v>27</v>
      </c>
      <c r="F135" s="38">
        <f>COUNTIF('TBR Pile'!D:D,E135)</f>
        <v>5</v>
      </c>
      <c r="G135" s="76">
        <f t="shared" ref="G135:G137" si="12">IFERROR(F135/$B$157,0)</f>
        <v>0.35714285714285715</v>
      </c>
      <c r="H135" s="89"/>
      <c r="I135" s="79" t="s">
        <v>202</v>
      </c>
      <c r="J135" s="38">
        <f>COUNTIFS('TBR Pile'!J:J,"&gt;=1",'TBR Pile'!J:J,"&lt;=1.99")</f>
        <v>0</v>
      </c>
      <c r="K135" s="76">
        <f t="shared" ref="K135:K145" si="13">IFERROR(J135/$B$157,0)</f>
        <v>0</v>
      </c>
      <c r="L135" s="89"/>
      <c r="N135" s="11"/>
    </row>
    <row r="136" spans="1:14" ht="18">
      <c r="A136" s="38" t="s">
        <v>31</v>
      </c>
      <c r="B136" s="40">
        <f>COUNTIF('TBR Pile'!B:B,A136)</f>
        <v>1</v>
      </c>
      <c r="C136" s="82">
        <f t="shared" si="11"/>
        <v>7.1428571428571425E-2</v>
      </c>
      <c r="D136" s="89"/>
      <c r="E136" s="38" t="s">
        <v>33</v>
      </c>
      <c r="F136" s="38">
        <f>COUNTIF('TBR Pile'!D:D,E136)</f>
        <v>2</v>
      </c>
      <c r="G136" s="76">
        <f t="shared" si="12"/>
        <v>0.14285714285714285</v>
      </c>
      <c r="H136" s="89"/>
      <c r="I136" s="79" t="s">
        <v>203</v>
      </c>
      <c r="J136" s="38">
        <f>COUNTIFS('TBR Pile'!J:J,"&gt;=2",'TBR Pile'!J:J,"&lt;=2.99")</f>
        <v>0</v>
      </c>
      <c r="K136" s="76">
        <f t="shared" si="13"/>
        <v>0</v>
      </c>
      <c r="L136" s="89"/>
      <c r="N136" s="11"/>
    </row>
    <row r="137" spans="1:14" ht="18">
      <c r="A137" s="38" t="s">
        <v>38</v>
      </c>
      <c r="B137" s="40">
        <f>COUNTIF('TBR Pile'!B:B,A137)</f>
        <v>1</v>
      </c>
      <c r="C137" s="82">
        <f t="shared" si="11"/>
        <v>7.1428571428571425E-2</v>
      </c>
      <c r="D137" s="89"/>
      <c r="E137" s="38" t="s">
        <v>39</v>
      </c>
      <c r="F137" s="38">
        <f>COUNTIF('TBR Pile'!D:D,E137)</f>
        <v>3</v>
      </c>
      <c r="G137" s="76">
        <f t="shared" si="12"/>
        <v>0.21428571428571427</v>
      </c>
      <c r="H137" s="89"/>
      <c r="I137" s="79" t="s">
        <v>204</v>
      </c>
      <c r="J137" s="38">
        <f>COUNTIFS('TBR Pile'!J:J,"&gt;=3",'TBR Pile'!J:J,"&lt;=3.99")</f>
        <v>0</v>
      </c>
      <c r="K137" s="76">
        <f t="shared" si="13"/>
        <v>0</v>
      </c>
      <c r="L137" s="89"/>
      <c r="N137" s="11"/>
    </row>
    <row r="138" spans="1:14" ht="18">
      <c r="A138" s="38" t="s">
        <v>43</v>
      </c>
      <c r="B138" s="40">
        <f>COUNTIF('TBR Pile'!B:B,A138)</f>
        <v>0</v>
      </c>
      <c r="C138" s="82">
        <f t="shared" si="11"/>
        <v>0</v>
      </c>
      <c r="D138" s="89"/>
      <c r="E138" s="77" t="s">
        <v>138</v>
      </c>
      <c r="F138" s="77">
        <f>SUM(F134:F137)</f>
        <v>14</v>
      </c>
      <c r="G138" s="78">
        <f>SUM(G134:G137)</f>
        <v>0.99999999999999989</v>
      </c>
      <c r="H138" s="89"/>
      <c r="I138" s="79" t="s">
        <v>205</v>
      </c>
      <c r="J138" s="38">
        <f>COUNTIFS('TBR Pile'!J:J,"&gt;=4",'TBR Pile'!J:J,"&lt;=4.99")</f>
        <v>0</v>
      </c>
      <c r="K138" s="76">
        <f t="shared" si="13"/>
        <v>0</v>
      </c>
      <c r="L138" s="89"/>
      <c r="N138" s="11"/>
    </row>
    <row r="139" spans="1:14" ht="18">
      <c r="A139" s="38" t="s">
        <v>96</v>
      </c>
      <c r="B139" s="40">
        <f>COUNTIF('TBR Pile'!B:B,A139)</f>
        <v>1</v>
      </c>
      <c r="C139" s="82">
        <f t="shared" si="11"/>
        <v>7.1428571428571425E-2</v>
      </c>
      <c r="D139" s="89"/>
      <c r="E139" s="89"/>
      <c r="F139" s="89"/>
      <c r="G139" s="89"/>
      <c r="H139" s="89"/>
      <c r="I139" s="79" t="s">
        <v>206</v>
      </c>
      <c r="J139" s="38">
        <f>COUNTIFS('TBR Pile'!J:J,"&gt;=5",'TBR Pile'!J:J,"&lt;=5.99")</f>
        <v>0</v>
      </c>
      <c r="K139" s="76">
        <f t="shared" si="13"/>
        <v>0</v>
      </c>
      <c r="L139" s="89"/>
      <c r="N139" s="11"/>
    </row>
    <row r="140" spans="1:14" ht="18">
      <c r="A140" s="38" t="s">
        <v>46</v>
      </c>
      <c r="B140" s="40">
        <f>COUNTIF('TBR Pile'!B:B,A140)</f>
        <v>1</v>
      </c>
      <c r="C140" s="82">
        <f t="shared" si="11"/>
        <v>7.1428571428571425E-2</v>
      </c>
      <c r="D140" s="89"/>
      <c r="E140" s="67" t="s">
        <v>207</v>
      </c>
      <c r="F140" s="68"/>
      <c r="G140" s="68"/>
      <c r="H140" s="89"/>
      <c r="I140" s="79" t="s">
        <v>208</v>
      </c>
      <c r="J140" s="38">
        <f>COUNTIFS('TBR Pile'!J:J,"&gt;=6",'TBR Pile'!J:J,"&lt;=6.99")</f>
        <v>0</v>
      </c>
      <c r="K140" s="76">
        <f t="shared" si="13"/>
        <v>0</v>
      </c>
      <c r="L140" s="89"/>
      <c r="N140" s="11"/>
    </row>
    <row r="141" spans="1:14" ht="18">
      <c r="A141" s="38" t="s">
        <v>49</v>
      </c>
      <c r="B141" s="40">
        <f>COUNTIF('TBR Pile'!B:B,A141)</f>
        <v>0</v>
      </c>
      <c r="C141" s="82">
        <f t="shared" si="11"/>
        <v>0</v>
      </c>
      <c r="D141" s="89"/>
      <c r="E141" s="38" t="s">
        <v>156</v>
      </c>
      <c r="F141" s="38">
        <f>COUNTIFS('TBR Pile'!E:E,"&gt;=0",'TBR Pile'!E:E,"&lt;=99")</f>
        <v>5</v>
      </c>
      <c r="G141" s="76">
        <f>IFERROR(F141/$B$157,0)</f>
        <v>0.35714285714285715</v>
      </c>
      <c r="H141" s="89"/>
      <c r="I141" s="79" t="s">
        <v>209</v>
      </c>
      <c r="J141" s="38">
        <f>COUNTIFS('TBR Pile'!J:J,"&gt;=7",'TBR Pile'!J:J,"&lt;=7.99")</f>
        <v>0</v>
      </c>
      <c r="K141" s="76">
        <f t="shared" si="13"/>
        <v>0</v>
      </c>
      <c r="L141" s="89"/>
      <c r="N141" s="11"/>
    </row>
    <row r="142" spans="1:14" ht="18">
      <c r="A142" s="38" t="s">
        <v>52</v>
      </c>
      <c r="B142" s="40">
        <f>COUNTIF('TBR Pile'!B:B,A142)</f>
        <v>2</v>
      </c>
      <c r="C142" s="82">
        <f t="shared" si="11"/>
        <v>0.14285714285714285</v>
      </c>
      <c r="D142" s="89"/>
      <c r="E142" s="38" t="s">
        <v>157</v>
      </c>
      <c r="F142" s="38">
        <f>COUNTIFS('TBR Pile'!E:E,"&gt;=100",'TBR Pile'!E:E,"&lt;=199")</f>
        <v>2</v>
      </c>
      <c r="G142" s="76">
        <f t="shared" ref="G142:G151" si="14">IFERROR(F142/$B$157,0)</f>
        <v>0.14285714285714285</v>
      </c>
      <c r="H142" s="89"/>
      <c r="I142" s="79" t="s">
        <v>210</v>
      </c>
      <c r="J142" s="38">
        <f>COUNTIFS('TBR Pile'!J:J,"&gt;=8",'TBR Pile'!J:J,"&lt;=8.99")</f>
        <v>0</v>
      </c>
      <c r="K142" s="76">
        <f t="shared" si="13"/>
        <v>0</v>
      </c>
      <c r="L142" s="89"/>
      <c r="N142" s="11"/>
    </row>
    <row r="143" spans="1:14" ht="18">
      <c r="A143" s="38" t="s">
        <v>54</v>
      </c>
      <c r="B143" s="40">
        <f>COUNTIF('TBR Pile'!B:B,A143)</f>
        <v>0</v>
      </c>
      <c r="C143" s="82">
        <f t="shared" si="11"/>
        <v>0</v>
      </c>
      <c r="D143" s="89"/>
      <c r="E143" s="38" t="s">
        <v>158</v>
      </c>
      <c r="F143" s="38">
        <f>COUNTIFS('TBR Pile'!E:E,"&gt;=200",'TBR Pile'!E:E,"&lt;=299")</f>
        <v>0</v>
      </c>
      <c r="G143" s="76">
        <f t="shared" si="14"/>
        <v>0</v>
      </c>
      <c r="H143" s="89"/>
      <c r="I143" s="79" t="s">
        <v>211</v>
      </c>
      <c r="J143" s="38">
        <f>COUNTIFS('TBR Pile'!J:J,"&gt;=9",'TBR Pile'!J:J,"&lt;=10")</f>
        <v>0</v>
      </c>
      <c r="K143" s="76">
        <f t="shared" si="13"/>
        <v>0</v>
      </c>
      <c r="L143" s="89"/>
      <c r="N143" s="11"/>
    </row>
    <row r="144" spans="1:14" ht="18">
      <c r="A144" s="38" t="s">
        <v>56</v>
      </c>
      <c r="B144" s="40">
        <f>COUNTIF('TBR Pile'!B:B,A144)</f>
        <v>1</v>
      </c>
      <c r="C144" s="82">
        <f t="shared" si="11"/>
        <v>7.1428571428571425E-2</v>
      </c>
      <c r="D144" s="89"/>
      <c r="E144" s="38" t="s">
        <v>159</v>
      </c>
      <c r="F144" s="38">
        <f>COUNTIFS('TBR Pile'!E:E,"&gt;=300",'TBR Pile'!E:E,"&lt;=399")</f>
        <v>2</v>
      </c>
      <c r="G144" s="76">
        <f t="shared" si="14"/>
        <v>0.14285714285714285</v>
      </c>
      <c r="H144" s="89"/>
      <c r="I144" s="38" t="s">
        <v>212</v>
      </c>
      <c r="J144" s="38">
        <f>COUNTIF('TBR Pile'!J:J,"&gt;10")</f>
        <v>0</v>
      </c>
      <c r="K144" s="76">
        <f t="shared" si="13"/>
        <v>0</v>
      </c>
      <c r="L144" s="89"/>
      <c r="N144" s="11"/>
    </row>
    <row r="145" spans="1:14" ht="18">
      <c r="A145" s="38" t="s">
        <v>58</v>
      </c>
      <c r="B145" s="40">
        <f>COUNTIF('TBR Pile'!B:B,A145)</f>
        <v>0</v>
      </c>
      <c r="C145" s="82">
        <f t="shared" si="11"/>
        <v>0</v>
      </c>
      <c r="D145" s="89"/>
      <c r="E145" s="38" t="s">
        <v>161</v>
      </c>
      <c r="F145" s="38">
        <f>COUNTIFS('TBR Pile'!E:E,"&gt;=400",'TBR Pile'!E:E,"&lt;=499")</f>
        <v>0</v>
      </c>
      <c r="G145" s="76">
        <f t="shared" si="14"/>
        <v>0</v>
      </c>
      <c r="H145" s="89"/>
      <c r="I145" s="90" t="str">
        <f>IFERROR(((H145-E145)/365), "Not yet read")</f>
        <v>Not yet read</v>
      </c>
      <c r="J145" s="38">
        <f>COUNTIF('TBR Pile'!J:J,"Not Yet Read")</f>
        <v>14</v>
      </c>
      <c r="K145" s="76">
        <f t="shared" si="13"/>
        <v>1</v>
      </c>
      <c r="L145" s="89"/>
      <c r="N145" s="11"/>
    </row>
    <row r="146" spans="1:14" ht="18">
      <c r="A146" s="38" t="s">
        <v>60</v>
      </c>
      <c r="B146" s="40">
        <f>COUNTIF('TBR Pile'!B:B,A146)</f>
        <v>0</v>
      </c>
      <c r="C146" s="82">
        <f t="shared" si="11"/>
        <v>0</v>
      </c>
      <c r="D146" s="89"/>
      <c r="E146" s="38" t="s">
        <v>163</v>
      </c>
      <c r="F146" s="38">
        <f>COUNTIFS('TBR Pile'!E:E,"&gt;=500",'TBR Pile'!E:E,"&lt;=599")</f>
        <v>4</v>
      </c>
      <c r="G146" s="76">
        <f t="shared" si="14"/>
        <v>0.2857142857142857</v>
      </c>
      <c r="H146" s="89"/>
      <c r="I146" s="77" t="s">
        <v>138</v>
      </c>
      <c r="J146" s="77">
        <f>SUM(J134:J145)</f>
        <v>14</v>
      </c>
      <c r="K146" s="78">
        <f>IFERROR(J146/$B$157,0)</f>
        <v>1</v>
      </c>
      <c r="L146" s="89"/>
      <c r="N146" s="11"/>
    </row>
    <row r="147" spans="1:14" ht="18">
      <c r="A147" s="38" t="s">
        <v>62</v>
      </c>
      <c r="B147" s="40">
        <f>COUNTIF('TBR Pile'!B:B,A147)</f>
        <v>0</v>
      </c>
      <c r="C147" s="82">
        <f t="shared" si="11"/>
        <v>0</v>
      </c>
      <c r="D147" s="89"/>
      <c r="E147" s="38" t="s">
        <v>165</v>
      </c>
      <c r="F147" s="38">
        <f>COUNTIFS('TBR Pile'!E:E,"&gt;=600",'TBR Pile'!E:E,"&lt;=699")</f>
        <v>0</v>
      </c>
      <c r="G147" s="76">
        <f t="shared" si="14"/>
        <v>0</v>
      </c>
      <c r="H147" s="89"/>
      <c r="I147" s="42"/>
      <c r="J147" s="40"/>
      <c r="K147" s="40"/>
      <c r="L147" s="89"/>
      <c r="N147" s="11"/>
    </row>
    <row r="148" spans="1:14" ht="18">
      <c r="A148" s="38" t="s">
        <v>64</v>
      </c>
      <c r="B148" s="40">
        <f>COUNTIF('TBR Pile'!B:B,A148)</f>
        <v>0</v>
      </c>
      <c r="C148" s="82">
        <f t="shared" si="11"/>
        <v>0</v>
      </c>
      <c r="D148" s="89"/>
      <c r="E148" s="38" t="s">
        <v>167</v>
      </c>
      <c r="F148" s="38">
        <f>COUNTIFS('TBR Pile'!E:E,"&gt;=700",'TBR Pile'!E:E,"&lt;=799")</f>
        <v>0</v>
      </c>
      <c r="G148" s="76">
        <f t="shared" si="14"/>
        <v>0</v>
      </c>
      <c r="H148" s="89"/>
      <c r="I148" s="40"/>
      <c r="J148" s="40"/>
      <c r="K148" s="82"/>
      <c r="L148" s="89"/>
      <c r="N148" s="11"/>
    </row>
    <row r="149" spans="1:14" ht="18">
      <c r="A149" s="38" t="s">
        <v>67</v>
      </c>
      <c r="B149" s="40">
        <f>COUNTIF('TBR Pile'!B:B,A149)</f>
        <v>0</v>
      </c>
      <c r="C149" s="82">
        <f t="shared" si="11"/>
        <v>0</v>
      </c>
      <c r="D149" s="89"/>
      <c r="E149" s="38" t="s">
        <v>169</v>
      </c>
      <c r="F149" s="38">
        <f>COUNTIFS('TBR Pile'!E:E,"&gt;=800",'TBR Pile'!E:E,"&lt;=899")</f>
        <v>0</v>
      </c>
      <c r="G149" s="76">
        <f t="shared" si="14"/>
        <v>0</v>
      </c>
      <c r="H149" s="89"/>
      <c r="I149" s="80"/>
      <c r="J149" s="40"/>
      <c r="K149" s="82"/>
      <c r="L149" s="89"/>
      <c r="N149" s="11"/>
    </row>
    <row r="150" spans="1:14" ht="18">
      <c r="A150" s="38" t="s">
        <v>69</v>
      </c>
      <c r="B150" s="40">
        <f>COUNTIF('TBR Pile'!B:B,A150)</f>
        <v>0</v>
      </c>
      <c r="C150" s="82">
        <f t="shared" si="11"/>
        <v>0</v>
      </c>
      <c r="D150" s="89"/>
      <c r="E150" s="38" t="s">
        <v>170</v>
      </c>
      <c r="F150" s="38">
        <f>COUNTIFS('TBR Pile'!E:E,"&gt;=900",'TBR Pile'!E:E,"&lt;=1000")</f>
        <v>0</v>
      </c>
      <c r="G150" s="76">
        <f t="shared" si="14"/>
        <v>0</v>
      </c>
      <c r="H150" s="89"/>
      <c r="I150" s="80"/>
      <c r="J150" s="40"/>
      <c r="K150" s="82"/>
      <c r="L150" s="89"/>
      <c r="N150" s="11"/>
    </row>
    <row r="151" spans="1:14" ht="18">
      <c r="A151" s="38" t="s">
        <v>71</v>
      </c>
      <c r="B151" s="40">
        <f>COUNTIF('TBR Pile'!B:B,A151)</f>
        <v>0</v>
      </c>
      <c r="C151" s="82">
        <f t="shared" si="11"/>
        <v>0</v>
      </c>
      <c r="D151" s="89"/>
      <c r="E151" s="38" t="s">
        <v>171</v>
      </c>
      <c r="F151" s="38">
        <f>COUNTIF('TBR Pile'!E:E,"&gt;1000")</f>
        <v>1</v>
      </c>
      <c r="G151" s="76">
        <f t="shared" si="14"/>
        <v>7.1428571428571425E-2</v>
      </c>
      <c r="H151" s="89"/>
      <c r="I151" s="80"/>
      <c r="J151" s="40"/>
      <c r="K151" s="82"/>
      <c r="L151" s="89"/>
      <c r="N151" s="11"/>
    </row>
    <row r="152" spans="1:14" ht="18">
      <c r="A152" s="38" t="s">
        <v>74</v>
      </c>
      <c r="B152" s="40">
        <f>COUNTIF('TBR Pile'!B:B,A152)</f>
        <v>3</v>
      </c>
      <c r="C152" s="82">
        <f t="shared" si="11"/>
        <v>0.21428571428571427</v>
      </c>
      <c r="D152" s="89"/>
      <c r="E152" s="77" t="s">
        <v>138</v>
      </c>
      <c r="F152" s="77">
        <f>SUM(F141:F151)</f>
        <v>14</v>
      </c>
      <c r="G152" s="78">
        <f>IFERROR(F152/$B$157,0)</f>
        <v>1</v>
      </c>
      <c r="H152" s="89"/>
      <c r="I152" s="80"/>
      <c r="J152" s="40"/>
      <c r="K152" s="82"/>
      <c r="L152" s="89"/>
      <c r="N152" s="11"/>
    </row>
    <row r="153" spans="1:14" ht="18">
      <c r="A153" s="38" t="s">
        <v>76</v>
      </c>
      <c r="B153" s="40">
        <f>COUNTIF('TBR Pile'!B:B,A153)</f>
        <v>0</v>
      </c>
      <c r="C153" s="82">
        <f t="shared" si="11"/>
        <v>0</v>
      </c>
      <c r="D153" s="89"/>
      <c r="E153" s="89"/>
      <c r="F153" s="89"/>
      <c r="G153" s="89"/>
      <c r="H153" s="89"/>
      <c r="I153" s="80"/>
      <c r="J153" s="40"/>
      <c r="K153" s="82"/>
      <c r="L153" s="89"/>
      <c r="N153" s="11"/>
    </row>
    <row r="154" spans="1:14" ht="18">
      <c r="A154" s="38" t="s">
        <v>78</v>
      </c>
      <c r="B154" s="40">
        <f>COUNTIF('TBR Pile'!B:B,A154)</f>
        <v>0</v>
      </c>
      <c r="C154" s="82">
        <f t="shared" si="11"/>
        <v>0</v>
      </c>
      <c r="D154" s="89"/>
      <c r="E154" s="67" t="s">
        <v>213</v>
      </c>
      <c r="F154" s="68"/>
      <c r="G154" s="68"/>
      <c r="H154" s="89"/>
      <c r="I154" s="80"/>
      <c r="J154" s="40"/>
      <c r="K154" s="82"/>
      <c r="L154" s="89"/>
      <c r="N154" s="11"/>
    </row>
    <row r="155" spans="1:14" ht="18">
      <c r="A155" s="38" t="s">
        <v>80</v>
      </c>
      <c r="B155" s="40">
        <f>COUNTIF('TBR Pile'!B:B,A155)</f>
        <v>0</v>
      </c>
      <c r="C155" s="82">
        <f t="shared" si="11"/>
        <v>0</v>
      </c>
      <c r="D155" s="89"/>
      <c r="E155" s="38" t="s">
        <v>18</v>
      </c>
      <c r="F155" s="38">
        <f>COUNTIF('TBR Pile'!C:C,E155)</f>
        <v>14</v>
      </c>
      <c r="G155" s="76">
        <f>IFERROR(F155/$B$157,0)</f>
        <v>1</v>
      </c>
      <c r="H155" s="89"/>
      <c r="I155" s="80"/>
      <c r="J155" s="40"/>
      <c r="K155" s="82"/>
      <c r="L155" s="89"/>
      <c r="N155" s="11"/>
    </row>
    <row r="156" spans="1:14" ht="17.399999999999999">
      <c r="A156" s="38" t="s">
        <v>82</v>
      </c>
      <c r="B156" s="40">
        <f>COUNTIF('TBR Pile'!B:B,A156)</f>
        <v>0</v>
      </c>
      <c r="C156" s="82">
        <f t="shared" si="11"/>
        <v>0</v>
      </c>
      <c r="D156" s="89"/>
      <c r="E156" s="38" t="s">
        <v>26</v>
      </c>
      <c r="F156" s="38">
        <f>COUNTIF('TBR Pile'!C:C,E156)</f>
        <v>0</v>
      </c>
      <c r="G156" s="76">
        <f t="shared" ref="G156:G157" si="15">IFERROR(F156/$B$157,0)</f>
        <v>0</v>
      </c>
      <c r="H156" s="89"/>
      <c r="I156" s="80"/>
      <c r="J156" s="40"/>
      <c r="K156" s="82"/>
      <c r="L156" s="89"/>
    </row>
    <row r="157" spans="1:14" ht="17.399999999999999">
      <c r="A157" s="77" t="s">
        <v>175</v>
      </c>
      <c r="B157" s="77">
        <f>SUM(B134:B156)</f>
        <v>14</v>
      </c>
      <c r="C157" s="78">
        <f>SUM(C134:C156)</f>
        <v>0.99999999999999989</v>
      </c>
      <c r="D157" s="89"/>
      <c r="E157" s="38" t="s">
        <v>32</v>
      </c>
      <c r="F157" s="38">
        <f>COUNTIF('TBR Pile'!C:C,E157)</f>
        <v>0</v>
      </c>
      <c r="G157" s="76">
        <f t="shared" si="15"/>
        <v>0</v>
      </c>
      <c r="H157" s="89"/>
      <c r="I157" s="80"/>
      <c r="J157" s="40"/>
      <c r="K157" s="82"/>
      <c r="L157" s="89"/>
    </row>
    <row r="158" spans="1:14" ht="17.399999999999999">
      <c r="A158" s="89"/>
      <c r="B158" s="89"/>
      <c r="C158" s="89"/>
      <c r="D158" s="89"/>
      <c r="E158" s="77" t="s">
        <v>138</v>
      </c>
      <c r="F158" s="77">
        <f>SUM(F155:F157)</f>
        <v>14</v>
      </c>
      <c r="G158" s="78">
        <f>SUM(G155:G157)</f>
        <v>1</v>
      </c>
      <c r="H158" s="89"/>
      <c r="I158" s="40"/>
      <c r="J158" s="40"/>
      <c r="K158" s="82"/>
      <c r="L158" s="89"/>
    </row>
    <row r="159" spans="1:14" ht="17.399999999999999">
      <c r="A159" s="89"/>
      <c r="B159" s="89"/>
      <c r="C159" s="89"/>
      <c r="D159" s="89"/>
      <c r="E159" s="89"/>
      <c r="F159" s="89"/>
      <c r="G159" s="89"/>
      <c r="H159" s="89"/>
      <c r="I159" s="40"/>
      <c r="J159" s="40"/>
      <c r="K159" s="82"/>
      <c r="L159" s="89"/>
    </row>
    <row r="160" spans="1:14" ht="17.399999999999999">
      <c r="A160" s="89"/>
      <c r="B160" s="89"/>
      <c r="C160" s="89"/>
      <c r="D160" s="89"/>
      <c r="E160" s="89"/>
      <c r="F160" s="89"/>
      <c r="G160" s="89"/>
      <c r="H160" s="89"/>
      <c r="I160" s="40"/>
      <c r="J160" s="40"/>
      <c r="K160" s="82"/>
      <c r="L160" s="89"/>
    </row>
    <row r="161" spans="1:12" ht="17.399999999999999">
      <c r="A161" s="89"/>
      <c r="B161" s="89"/>
      <c r="C161" s="89"/>
      <c r="D161" s="89"/>
      <c r="E161" s="89"/>
      <c r="F161" s="89"/>
      <c r="G161" s="89"/>
      <c r="H161" s="89"/>
      <c r="I161" s="40"/>
      <c r="J161" s="40"/>
      <c r="K161" s="82"/>
      <c r="L161" s="89"/>
    </row>
    <row r="162" spans="1:12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</row>
    <row r="163" spans="1:12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</row>
    <row r="164" spans="1:12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</row>
    <row r="165" spans="1:12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</row>
    <row r="166" spans="1:12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</row>
    <row r="167" spans="1:12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</row>
    <row r="168" spans="1:12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</row>
    <row r="169" spans="1:12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</row>
    <row r="170" spans="1:12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</row>
    <row r="171" spans="1:12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</row>
    <row r="172" spans="1:1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</row>
    <row r="173" spans="1:1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</row>
    <row r="174" spans="1:1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</row>
    <row r="175" spans="1:12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</row>
    <row r="176" spans="1:12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</row>
    <row r="177" spans="1:12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</row>
    <row r="178" spans="1:12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</row>
    <row r="179" spans="1:12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</row>
    <row r="180" spans="1:12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</row>
    <row r="181" spans="1:12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</row>
    <row r="182" spans="1:12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</row>
    <row r="183" spans="1:12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</row>
    <row r="184" spans="1:12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</row>
    <row r="185" spans="1:12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</row>
    <row r="186" spans="1:12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</row>
    <row r="187" spans="1:12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</row>
    <row r="188" spans="1:12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</row>
    <row r="189" spans="1:12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</row>
    <row r="190" spans="1:12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</row>
    <row r="191" spans="1:12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</row>
    <row r="192" spans="1:12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</row>
    <row r="193" spans="1:12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</row>
    <row r="194" spans="1:12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</row>
    <row r="195" spans="1:12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</row>
    <row r="196" spans="1:12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</row>
    <row r="197" spans="1:12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</row>
    <row r="198" spans="1:12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</row>
    <row r="199" spans="1:12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</row>
    <row r="200" spans="1:12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</row>
    <row r="201" spans="1:12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</row>
    <row r="202" spans="1:12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</row>
    <row r="203" spans="1:12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</row>
    <row r="204" spans="1:12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</row>
    <row r="205" spans="1:12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</row>
    <row r="206" spans="1:12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</row>
    <row r="207" spans="1:12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</row>
    <row r="208" spans="1:12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</row>
    <row r="209" spans="1:12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</row>
    <row r="210" spans="1:12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</row>
    <row r="211" spans="1:12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</row>
    <row r="212" spans="1:12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</row>
    <row r="213" spans="1:12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</row>
    <row r="214" spans="1:12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</row>
    <row r="215" spans="1:12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</row>
    <row r="216" spans="1:12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</row>
    <row r="217" spans="1:1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</row>
    <row r="218" spans="1:1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</row>
    <row r="219" spans="1:12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</row>
    <row r="220" spans="1:12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</row>
    <row r="221" spans="1:12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</row>
    <row r="222" spans="1:12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</row>
    <row r="223" spans="1:12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</row>
    <row r="224" spans="1:12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</row>
    <row r="225" spans="1:12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</row>
    <row r="226" spans="1:12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</row>
    <row r="227" spans="1:12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</row>
    <row r="228" spans="1:12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</row>
    <row r="229" spans="1:12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</row>
    <row r="230" spans="1:12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</row>
    <row r="231" spans="1:12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</row>
    <row r="232" spans="1:12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</row>
    <row r="233" spans="1:12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</row>
    <row r="234" spans="1:12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</row>
    <row r="235" spans="1:12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</row>
    <row r="236" spans="1:12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</row>
    <row r="237" spans="1:12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</row>
    <row r="238" spans="1:12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</row>
    <row r="239" spans="1:12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</row>
    <row r="240" spans="1:12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</row>
    <row r="241" spans="1:12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</row>
    <row r="242" spans="1:12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</row>
    <row r="243" spans="1:12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</row>
    <row r="244" spans="1:12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</row>
    <row r="245" spans="1:12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</row>
    <row r="246" spans="1:12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</row>
    <row r="247" spans="1:12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</row>
    <row r="248" spans="1:12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</row>
    <row r="249" spans="1:12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</row>
    <row r="250" spans="1:12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</row>
    <row r="251" spans="1:12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</row>
    <row r="252" spans="1:12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</row>
    <row r="253" spans="1:12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</row>
    <row r="254" spans="1:12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</row>
    <row r="255" spans="1:12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</row>
  </sheetData>
  <mergeCells count="6">
    <mergeCell ref="A130:L130"/>
    <mergeCell ref="A97:L97"/>
    <mergeCell ref="A1:L1"/>
    <mergeCell ref="A12:L12"/>
    <mergeCell ref="A30:L30"/>
    <mergeCell ref="A59:L5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DBB9F9"/>
  </sheetPr>
  <dimension ref="A1:V155"/>
  <sheetViews>
    <sheetView workbookViewId="0">
      <selection activeCell="M63" sqref="M63"/>
    </sheetView>
  </sheetViews>
  <sheetFormatPr defaultColWidth="9.109375" defaultRowHeight="14.4"/>
  <cols>
    <col min="1" max="1" width="12.44140625" style="1" customWidth="1"/>
    <col min="2" max="16384" width="9.109375" style="1"/>
  </cols>
  <sheetData>
    <row r="1" spans="1:17" ht="60" customHeight="1">
      <c r="A1" s="110" t="s">
        <v>276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</row>
    <row r="2" spans="1:17" s="2" customFormat="1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17" s="25" customFormat="1" ht="21">
      <c r="A3" s="109" t="s">
        <v>119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</row>
    <row r="4" spans="1:17" s="11" customFormat="1" ht="18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</row>
    <row r="5" spans="1:17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</row>
    <row r="6" spans="1:17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</row>
    <row r="7" spans="1:17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</row>
    <row r="8" spans="1:17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</row>
    <row r="9" spans="1:17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</row>
    <row r="10" spans="1:17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</row>
    <row r="11" spans="1:17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</row>
    <row r="12" spans="1:17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</row>
    <row r="13" spans="1:17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</row>
    <row r="14" spans="1:17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</row>
    <row r="15" spans="1:17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</row>
    <row r="16" spans="1:17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</row>
    <row r="17" spans="1:17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</row>
    <row r="18" spans="1:17" s="31" customFormat="1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</row>
    <row r="19" spans="1:17" s="25" customFormat="1" ht="21">
      <c r="A19" s="109" t="s">
        <v>140</v>
      </c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</row>
    <row r="20" spans="1:17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</row>
    <row r="21" spans="1:17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</row>
    <row r="22" spans="1:17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</row>
    <row r="23" spans="1:17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</row>
    <row r="24" spans="1:17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</row>
    <row r="25" spans="1:17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</row>
    <row r="26" spans="1:17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</row>
    <row r="27" spans="1:17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</row>
    <row r="28" spans="1:17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</row>
    <row r="29" spans="1:17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</row>
    <row r="30" spans="1:17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</row>
    <row r="31" spans="1:17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</row>
    <row r="32" spans="1:17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</row>
    <row r="34" spans="1:17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</row>
    <row r="35" spans="1:17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</row>
    <row r="36" spans="1:17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</row>
    <row r="37" spans="1:17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</row>
    <row r="38" spans="1:17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</row>
    <row r="39" spans="1:17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</row>
    <row r="40" spans="1:17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</row>
    <row r="41" spans="1:17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</row>
    <row r="42" spans="1:17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</row>
    <row r="43" spans="1:17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</row>
    <row r="44" spans="1:17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</row>
    <row r="45" spans="1:17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spans="1:17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</row>
    <row r="47" spans="1:17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</row>
    <row r="48" spans="1:17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</row>
    <row r="49" spans="1:17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</row>
    <row r="50" spans="1:17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</row>
    <row r="51" spans="1:17" s="31" customFormat="1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</row>
    <row r="52" spans="1:17" s="31" customFormat="1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</row>
    <row r="53" spans="1:17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</row>
    <row r="54" spans="1:17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</row>
    <row r="55" spans="1:17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</row>
    <row r="56" spans="1:17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</row>
    <row r="57" spans="1:17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</row>
    <row r="58" spans="1:17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</row>
    <row r="59" spans="1:17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</row>
    <row r="60" spans="1:17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</row>
    <row r="61" spans="1:17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</row>
    <row r="62" spans="1:17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</row>
    <row r="63" spans="1:17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</row>
    <row r="64" spans="1:17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</row>
    <row r="65" spans="1:17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</row>
    <row r="66" spans="1:17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</row>
    <row r="67" spans="1:17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</row>
    <row r="68" spans="1:17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</row>
    <row r="69" spans="1:17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</row>
    <row r="70" spans="1:17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</row>
    <row r="71" spans="1:17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</row>
    <row r="72" spans="1:17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</row>
    <row r="73" spans="1:17" ht="21">
      <c r="A73" s="109" t="s">
        <v>172</v>
      </c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</row>
    <row r="74" spans="1:17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</row>
    <row r="75" spans="1:17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</row>
    <row r="76" spans="1:17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</row>
    <row r="77" spans="1:17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</row>
    <row r="78" spans="1:17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</row>
    <row r="79" spans="1:17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</row>
    <row r="80" spans="1:17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</row>
    <row r="81" spans="1:17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</row>
    <row r="82" spans="1:17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</row>
    <row r="83" spans="1:17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</row>
    <row r="84" spans="1:17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</row>
    <row r="85" spans="1:17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</row>
    <row r="86" spans="1:17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</row>
    <row r="87" spans="1:1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</row>
    <row r="88" spans="1:17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</row>
    <row r="89" spans="1:17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</row>
    <row r="90" spans="1:17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</row>
    <row r="91" spans="1:17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</row>
    <row r="92" spans="1:17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</row>
    <row r="93" spans="1:17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</row>
    <row r="94" spans="1:17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</row>
    <row r="95" spans="1:17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</row>
    <row r="96" spans="1:17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</row>
    <row r="97" spans="1:1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</row>
    <row r="98" spans="1:17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</row>
    <row r="99" spans="1:17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</row>
    <row r="100" spans="1:17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</row>
    <row r="101" spans="1:17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</row>
    <row r="102" spans="1:17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</row>
    <row r="103" spans="1:17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</row>
    <row r="104" spans="1:17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</row>
    <row r="105" spans="1:17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</row>
    <row r="106" spans="1:17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</row>
    <row r="107" spans="1:1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</row>
    <row r="108" spans="1:17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</row>
    <row r="109" spans="1:17" ht="21">
      <c r="A109" s="109" t="s">
        <v>214</v>
      </c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</row>
    <row r="110" spans="1:17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</row>
    <row r="111" spans="1:17" s="31" customFormat="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</row>
    <row r="112" spans="1:17" s="31" customFormat="1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</row>
    <row r="113" spans="1:17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</row>
    <row r="114" spans="1:17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</row>
    <row r="115" spans="1:17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</row>
    <row r="116" spans="1:17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</row>
    <row r="117" spans="1: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</row>
    <row r="118" spans="1:17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</row>
    <row r="119" spans="1:17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</row>
    <row r="120" spans="1:17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</row>
    <row r="121" spans="1:17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</row>
    <row r="122" spans="1:17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</row>
    <row r="123" spans="1:17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</row>
    <row r="124" spans="1:17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</row>
    <row r="125" spans="1:17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</row>
    <row r="126" spans="1:17" s="31" customFormat="1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</row>
    <row r="127" spans="1:17" s="31" customFormat="1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</row>
    <row r="128" spans="1:17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</row>
    <row r="129" spans="1:22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</row>
    <row r="130" spans="1:22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</row>
    <row r="131" spans="1:22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</row>
    <row r="132" spans="1:2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</row>
    <row r="133" spans="1:22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</row>
    <row r="134" spans="1:22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</row>
    <row r="135" spans="1:22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</row>
    <row r="136" spans="1:22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</row>
    <row r="137" spans="1:22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</row>
    <row r="138" spans="1:22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</row>
    <row r="139" spans="1:22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</row>
    <row r="144" spans="1:22">
      <c r="V144" s="1" t="s">
        <v>215</v>
      </c>
    </row>
    <row r="155" s="31" customFormat="1"/>
  </sheetData>
  <mergeCells count="5">
    <mergeCell ref="A1:Q1"/>
    <mergeCell ref="A3:Q3"/>
    <mergeCell ref="A19:Q19"/>
    <mergeCell ref="A73:Q73"/>
    <mergeCell ref="A109:Q10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2E3F0"/>
  </sheetPr>
  <dimension ref="A1:D28"/>
  <sheetViews>
    <sheetView workbookViewId="0">
      <selection activeCell="G16" sqref="G16"/>
    </sheetView>
  </sheetViews>
  <sheetFormatPr defaultColWidth="9.109375" defaultRowHeight="18"/>
  <cols>
    <col min="1" max="1" width="6.77734375" style="9" bestFit="1" customWidth="1"/>
    <col min="2" max="2" width="84" style="9" bestFit="1" customWidth="1"/>
    <col min="3" max="3" width="45.6640625" style="9" customWidth="1"/>
    <col min="4" max="4" width="35.109375" style="9" bestFit="1" customWidth="1"/>
    <col min="5" max="16384" width="9.109375" style="9"/>
  </cols>
  <sheetData>
    <row r="1" spans="1:4" ht="69.45" customHeight="1">
      <c r="A1" s="111" t="s">
        <v>216</v>
      </c>
      <c r="B1" s="111"/>
      <c r="C1" s="111"/>
      <c r="D1" s="111"/>
    </row>
    <row r="2" spans="1:4" s="27" customFormat="1" ht="21.45" customHeight="1">
      <c r="A2" s="93" t="s">
        <v>217</v>
      </c>
      <c r="B2" s="93" t="s">
        <v>218</v>
      </c>
      <c r="C2" s="93" t="s">
        <v>219</v>
      </c>
      <c r="D2" s="93" t="s">
        <v>220</v>
      </c>
    </row>
    <row r="3" spans="1:4">
      <c r="A3" s="94">
        <v>1</v>
      </c>
      <c r="B3" s="94" t="s">
        <v>221</v>
      </c>
      <c r="C3" s="94"/>
      <c r="D3" s="95"/>
    </row>
    <row r="4" spans="1:4">
      <c r="A4" s="94">
        <v>2</v>
      </c>
      <c r="B4" s="94" t="s">
        <v>222</v>
      </c>
      <c r="C4" s="94"/>
      <c r="D4" s="95"/>
    </row>
    <row r="5" spans="1:4">
      <c r="A5" s="94">
        <v>3</v>
      </c>
      <c r="B5" s="94" t="s">
        <v>223</v>
      </c>
      <c r="C5" s="94"/>
      <c r="D5" s="95"/>
    </row>
    <row r="6" spans="1:4">
      <c r="A6" s="94">
        <v>4</v>
      </c>
      <c r="B6" s="94" t="s">
        <v>224</v>
      </c>
      <c r="C6" s="94"/>
      <c r="D6" s="95"/>
    </row>
    <row r="7" spans="1:4">
      <c r="A7" s="94">
        <v>5</v>
      </c>
      <c r="B7" s="94" t="s">
        <v>225</v>
      </c>
      <c r="C7" s="94"/>
      <c r="D7" s="95"/>
    </row>
    <row r="8" spans="1:4">
      <c r="A8" s="94">
        <v>6</v>
      </c>
      <c r="B8" s="94" t="s">
        <v>226</v>
      </c>
      <c r="C8" s="94"/>
      <c r="D8" s="95"/>
    </row>
    <row r="9" spans="1:4">
      <c r="A9" s="94">
        <v>7</v>
      </c>
      <c r="B9" s="94" t="s">
        <v>227</v>
      </c>
      <c r="C9" s="94"/>
      <c r="D9" s="95"/>
    </row>
    <row r="10" spans="1:4">
      <c r="A10" s="94">
        <v>8</v>
      </c>
      <c r="B10" s="94" t="s">
        <v>228</v>
      </c>
      <c r="C10" s="94"/>
      <c r="D10" s="95"/>
    </row>
    <row r="11" spans="1:4">
      <c r="A11" s="94">
        <v>9</v>
      </c>
      <c r="B11" s="94" t="s">
        <v>229</v>
      </c>
      <c r="C11" s="94"/>
      <c r="D11" s="95"/>
    </row>
    <row r="12" spans="1:4">
      <c r="A12" s="94">
        <v>10</v>
      </c>
      <c r="B12" s="96" t="s">
        <v>230</v>
      </c>
      <c r="C12" s="94"/>
      <c r="D12" s="95"/>
    </row>
    <row r="13" spans="1:4">
      <c r="A13" s="94">
        <v>11</v>
      </c>
      <c r="B13" s="96" t="s">
        <v>231</v>
      </c>
      <c r="C13" s="94"/>
      <c r="D13" s="95"/>
    </row>
    <row r="14" spans="1:4">
      <c r="A14" s="94">
        <v>12</v>
      </c>
      <c r="B14" s="96" t="s">
        <v>232</v>
      </c>
      <c r="C14" s="94"/>
      <c r="D14" s="95"/>
    </row>
    <row r="15" spans="1:4">
      <c r="A15" s="94">
        <v>13</v>
      </c>
      <c r="B15" s="96" t="s">
        <v>233</v>
      </c>
      <c r="C15" s="94"/>
      <c r="D15" s="95"/>
    </row>
    <row r="16" spans="1:4">
      <c r="A16" s="94">
        <v>14</v>
      </c>
      <c r="B16" s="96" t="s">
        <v>234</v>
      </c>
      <c r="C16" s="94"/>
      <c r="D16" s="95"/>
    </row>
    <row r="17" spans="1:4">
      <c r="A17" s="94">
        <v>15</v>
      </c>
      <c r="B17" s="96" t="s">
        <v>235</v>
      </c>
      <c r="C17" s="94"/>
      <c r="D17" s="95"/>
    </row>
    <row r="18" spans="1:4">
      <c r="A18" s="94">
        <v>16</v>
      </c>
      <c r="B18" s="96" t="s">
        <v>236</v>
      </c>
      <c r="C18" s="94"/>
      <c r="D18" s="95"/>
    </row>
    <row r="19" spans="1:4">
      <c r="A19" s="94">
        <v>17</v>
      </c>
      <c r="B19" s="96" t="s">
        <v>237</v>
      </c>
      <c r="C19" s="94"/>
      <c r="D19" s="95"/>
    </row>
    <row r="20" spans="1:4">
      <c r="A20" s="94">
        <v>18</v>
      </c>
      <c r="B20" s="96" t="s">
        <v>238</v>
      </c>
      <c r="C20" s="94"/>
      <c r="D20" s="95"/>
    </row>
    <row r="21" spans="1:4">
      <c r="A21" s="94">
        <v>19</v>
      </c>
      <c r="B21" s="96" t="s">
        <v>239</v>
      </c>
      <c r="C21" s="94"/>
      <c r="D21" s="95"/>
    </row>
    <row r="22" spans="1:4">
      <c r="A22" s="94">
        <v>20</v>
      </c>
      <c r="B22" s="96" t="s">
        <v>240</v>
      </c>
      <c r="C22" s="94"/>
      <c r="D22" s="95"/>
    </row>
    <row r="23" spans="1:4">
      <c r="A23" s="94">
        <v>21</v>
      </c>
      <c r="B23" s="96" t="s">
        <v>241</v>
      </c>
      <c r="C23" s="94"/>
      <c r="D23" s="95"/>
    </row>
    <row r="24" spans="1:4">
      <c r="A24" s="94">
        <v>22</v>
      </c>
      <c r="B24" s="96" t="s">
        <v>242</v>
      </c>
      <c r="C24" s="94"/>
      <c r="D24" s="95"/>
    </row>
    <row r="25" spans="1:4">
      <c r="A25" s="94">
        <v>23</v>
      </c>
      <c r="B25" s="97" t="s">
        <v>243</v>
      </c>
      <c r="C25" s="94"/>
      <c r="D25" s="95"/>
    </row>
    <row r="26" spans="1:4">
      <c r="A26" s="94">
        <v>24</v>
      </c>
      <c r="B26" s="97" t="s">
        <v>244</v>
      </c>
      <c r="C26" s="94"/>
      <c r="D26" s="40"/>
    </row>
    <row r="27" spans="1:4">
      <c r="A27" s="94"/>
      <c r="B27" s="94"/>
      <c r="C27" s="94"/>
      <c r="D27" s="94"/>
    </row>
    <row r="28" spans="1:4">
      <c r="A28" s="94"/>
      <c r="B28" s="94"/>
      <c r="C28" s="94"/>
      <c r="D28" s="94"/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Book Survey</vt:lpstr>
      <vt:lpstr>Purchases</vt:lpstr>
      <vt:lpstr>TBR Pile</vt:lpstr>
      <vt:lpstr>Data</vt:lpstr>
      <vt:lpstr>Charts</vt:lpstr>
      <vt:lpstr>Read Harder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Sophie Emma Wainwright</dc:creator>
  <cp:keywords/>
  <dc:description/>
  <cp:lastModifiedBy>Евгений Коваленко</cp:lastModifiedBy>
  <cp:revision/>
  <dcterms:created xsi:type="dcterms:W3CDTF">2017-11-19T16:12:14Z</dcterms:created>
  <dcterms:modified xsi:type="dcterms:W3CDTF">2020-01-18T21:07:27Z</dcterms:modified>
  <cp:category/>
  <cp:contentStatus/>
</cp:coreProperties>
</file>