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 hidePivotFieldList="1"/>
  <xr:revisionPtr revIDLastSave="0" documentId="13_ncr:1_{0E2B4F5B-DF67-4870-95C1-2E86C8915000}" xr6:coauthVersionLast="43" xr6:coauthVersionMax="43" xr10:uidLastSave="{00000000-0000-0000-0000-000000000000}"/>
  <bookViews>
    <workbookView xWindow="-110" yWindow="-110" windowWidth="19420" windowHeight="10420" tabRatio="894" activeTab="1" xr2:uid="{00000000-000D-0000-FFFF-FFFF00000000}"/>
  </bookViews>
  <sheets>
    <sheet name="统战部" sheetId="32" r:id="rId1"/>
    <sheet name="财务" sheetId="27" r:id="rId2"/>
    <sheet name="读书" sheetId="31" r:id="rId3"/>
    <sheet name="七月" sheetId="12" state="hidden" r:id="rId4"/>
    <sheet name="八月" sheetId="13" state="hidden" r:id="rId5"/>
    <sheet name="九月" sheetId="14" state="hidden" r:id="rId6"/>
    <sheet name="十月" sheetId="15" state="hidden" r:id="rId7"/>
    <sheet name="十一月" sheetId="16" state="hidden" r:id="rId8"/>
    <sheet name="十二月" sheetId="17" state="hidden" r:id="rId9"/>
  </sheets>
  <definedNames>
    <definedName name="CalendarYear">#REF!</definedName>
    <definedName name="_xlnm.Print_Area">#REF!</definedName>
    <definedName name="星期日期和zhou">{0,1,2,3,4,5,6} + {0;1;2;3;4;5}*7</definedName>
    <definedName name="星期日期和周">{0,1,2,3,4,5,6} + {0;1;2;3;4;5}*7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8" i="27" l="1"/>
  <c r="I40" i="27"/>
  <c r="G40" i="27" l="1"/>
  <c r="K40" i="27"/>
  <c r="B40" i="27" l="1"/>
  <c r="J40" i="27" l="1"/>
  <c r="C38" i="27" l="1"/>
  <c r="C39" i="27"/>
  <c r="C37" i="27"/>
  <c r="C35" i="27"/>
  <c r="E40" i="27" l="1"/>
  <c r="J38" i="27" l="1"/>
  <c r="H34" i="27" l="1"/>
  <c r="K39" i="27"/>
  <c r="N32" i="27" l="1"/>
  <c r="M39" i="27"/>
  <c r="O39" i="27"/>
  <c r="P39" i="27" s="1"/>
  <c r="J39" i="27" l="1"/>
  <c r="S35" i="27" l="1"/>
  <c r="R35" i="27"/>
  <c r="E39" i="27"/>
  <c r="D39" i="27" l="1"/>
  <c r="I39" i="27" l="1"/>
  <c r="G39" i="27" l="1"/>
  <c r="M38" i="27" l="1"/>
  <c r="D38" i="27"/>
  <c r="N39" i="27" l="1"/>
  <c r="L39" i="27"/>
  <c r="Q39" i="27" s="1"/>
  <c r="I38" i="27"/>
  <c r="R47" i="27" l="1"/>
  <c r="R32" i="27"/>
  <c r="R38" i="27"/>
  <c r="E38" i="27" l="1"/>
  <c r="P36" i="27" l="1"/>
  <c r="P33" i="27"/>
  <c r="P37" i="27"/>
  <c r="D37" i="27"/>
  <c r="G37" i="27"/>
  <c r="M37" i="27" l="1"/>
  <c r="N38" i="27" l="1"/>
  <c r="E37" i="27"/>
  <c r="I37" i="27"/>
  <c r="J37" i="27" l="1"/>
  <c r="M36" i="27" l="1"/>
  <c r="J36" i="27"/>
  <c r="D36" i="27"/>
  <c r="L37" i="27" l="1"/>
  <c r="Q37" i="27" s="1"/>
  <c r="N37" i="27"/>
  <c r="I36" i="27"/>
  <c r="O35" i="27" l="1"/>
  <c r="P35" i="27" s="1"/>
  <c r="M31" i="27"/>
  <c r="N31" i="27" s="1"/>
  <c r="J35" i="27"/>
  <c r="M35" i="27"/>
  <c r="I35" i="27"/>
  <c r="E35" i="27"/>
  <c r="O34" i="27"/>
  <c r="J34" i="27"/>
  <c r="I34" i="27"/>
  <c r="J33" i="27"/>
  <c r="I33" i="27"/>
  <c r="M34" i="27"/>
  <c r="N34" i="27" s="1"/>
  <c r="D34" i="27"/>
  <c r="D46" i="27" s="1"/>
  <c r="H31" i="27"/>
  <c r="E34" i="27"/>
  <c r="M33" i="27"/>
  <c r="G46" i="27"/>
  <c r="G45" i="27"/>
  <c r="E32" i="27"/>
  <c r="Q32" i="27" s="1"/>
  <c r="E33" i="27"/>
  <c r="F45" i="27"/>
  <c r="G31" i="27"/>
  <c r="F46" i="27"/>
  <c r="F31" i="27"/>
  <c r="B46" i="27"/>
  <c r="K31" i="27"/>
  <c r="K45" i="27"/>
  <c r="K46" i="27"/>
  <c r="B45" i="27"/>
  <c r="B31" i="27"/>
  <c r="P32" i="27"/>
  <c r="B3" i="17"/>
  <c r="B3" i="16"/>
  <c r="B3" i="15"/>
  <c r="B3" i="14"/>
  <c r="B3" i="13"/>
  <c r="B3" i="12"/>
  <c r="B12" i="15" a="1"/>
  <c r="F12" i="15" s="1"/>
  <c r="B8" i="12" a="1"/>
  <c r="G8" i="12" s="1"/>
  <c r="B4" i="13" a="1"/>
  <c r="B4" i="13" s="1"/>
  <c r="B8" i="14" a="1"/>
  <c r="F8" i="14" s="1"/>
  <c r="B4" i="16" a="1"/>
  <c r="H4" i="16" s="1"/>
  <c r="H3" i="16" s="1"/>
  <c r="B6" i="13" a="1"/>
  <c r="C6" i="13" s="1"/>
  <c r="B12" i="14" a="1"/>
  <c r="H12" i="14" s="1"/>
  <c r="B14" i="16" a="1"/>
  <c r="E14" i="16" s="1"/>
  <c r="B10" i="13" a="1"/>
  <c r="B10" i="13" s="1"/>
  <c r="B14" i="12" a="1"/>
  <c r="B14" i="12" s="1"/>
  <c r="B4" i="17" a="1"/>
  <c r="B4" i="17" s="1"/>
  <c r="B14" i="13" a="1"/>
  <c r="F14" i="13" s="1"/>
  <c r="B14" i="14" a="1"/>
  <c r="B14" i="14" s="1"/>
  <c r="B6" i="17" a="1"/>
  <c r="B6" i="17" s="1"/>
  <c r="B1" i="12"/>
  <c r="B10" i="12" a="1"/>
  <c r="B10" i="12" s="1"/>
  <c r="B1" i="15"/>
  <c r="B6" i="12" a="1"/>
  <c r="F6" i="12" s="1"/>
  <c r="B12" i="12" a="1"/>
  <c r="E12" i="12" s="1"/>
  <c r="B8" i="15" a="1"/>
  <c r="B8" i="15" s="1"/>
  <c r="B1" i="14"/>
  <c r="B1" i="13"/>
  <c r="B4" i="14" a="1"/>
  <c r="F4" i="14" s="1"/>
  <c r="F3" i="14" s="1"/>
  <c r="B14" i="15" a="1"/>
  <c r="C14" i="15" s="1"/>
  <c r="B12" i="17" a="1"/>
  <c r="C12" i="17" s="1"/>
  <c r="B1" i="16"/>
  <c r="B10" i="16" a="1"/>
  <c r="E10" i="16" s="1"/>
  <c r="B8" i="13" a="1"/>
  <c r="G8" i="13" s="1"/>
  <c r="B6" i="14" a="1"/>
  <c r="C6" i="14" s="1"/>
  <c r="B6" i="15" a="1"/>
  <c r="B6" i="15" s="1"/>
  <c r="B8" i="16" a="1"/>
  <c r="G8" i="16" s="1"/>
  <c r="B10" i="17" a="1"/>
  <c r="C10" i="17" s="1"/>
  <c r="B4" i="12" a="1"/>
  <c r="H4" i="12" s="1"/>
  <c r="H3" i="12" s="1"/>
  <c r="B12" i="13" a="1"/>
  <c r="D12" i="13" s="1"/>
  <c r="B10" i="14" a="1"/>
  <c r="D10" i="14" s="1"/>
  <c r="B10" i="15" a="1"/>
  <c r="C10" i="15" s="1"/>
  <c r="B12" i="16" a="1"/>
  <c r="E12" i="16" s="1"/>
  <c r="B14" i="17" a="1"/>
  <c r="B14" i="17" s="1"/>
  <c r="B1" i="17"/>
  <c r="B4" i="15" a="1"/>
  <c r="H4" i="15" s="1"/>
  <c r="H3" i="15" s="1"/>
  <c r="B6" i="16" a="1"/>
  <c r="F6" i="16" s="1"/>
  <c r="B8" i="17" a="1"/>
  <c r="H8" i="17" s="1"/>
  <c r="H6" i="17"/>
  <c r="E6" i="17"/>
  <c r="F6" i="17"/>
  <c r="G6" i="17"/>
  <c r="E6" i="15"/>
  <c r="C6" i="15"/>
  <c r="M45" i="27" l="1"/>
  <c r="N33" i="27"/>
  <c r="E45" i="27"/>
  <c r="N35" i="27"/>
  <c r="N36" i="27"/>
  <c r="F8" i="16"/>
  <c r="G6" i="15"/>
  <c r="D6" i="15"/>
  <c r="D8" i="15"/>
  <c r="L35" i="27"/>
  <c r="I31" i="27"/>
  <c r="D31" i="27"/>
  <c r="L34" i="27"/>
  <c r="C34" i="27" s="1"/>
  <c r="Q34" i="27" s="1"/>
  <c r="L33" i="27"/>
  <c r="C33" i="27" s="1"/>
  <c r="Q33" i="27" s="1"/>
  <c r="P34" i="27"/>
  <c r="E46" i="27"/>
  <c r="L36" i="27"/>
  <c r="C36" i="27" s="1"/>
  <c r="Q36" i="27" s="1"/>
  <c r="D45" i="27"/>
  <c r="J45" i="27"/>
  <c r="F8" i="12"/>
  <c r="C8" i="12"/>
  <c r="F6" i="15"/>
  <c r="D8" i="12"/>
  <c r="H8" i="12"/>
  <c r="B8" i="12"/>
  <c r="H14" i="12"/>
  <c r="E14" i="12"/>
  <c r="E8" i="12"/>
  <c r="C14" i="12"/>
  <c r="G14" i="12"/>
  <c r="F10" i="13"/>
  <c r="E10" i="12"/>
  <c r="H10" i="13"/>
  <c r="H10" i="15"/>
  <c r="D4" i="14"/>
  <c r="D3" i="14" s="1"/>
  <c r="H4" i="14"/>
  <c r="H3" i="14" s="1"/>
  <c r="E4" i="14"/>
  <c r="E3" i="14" s="1"/>
  <c r="G10" i="13"/>
  <c r="B8" i="16"/>
  <c r="D10" i="12"/>
  <c r="H6" i="15"/>
  <c r="E10" i="17"/>
  <c r="D4" i="13"/>
  <c r="D3" i="13" s="1"/>
  <c r="C4" i="14"/>
  <c r="C3" i="14" s="1"/>
  <c r="H10" i="12"/>
  <c r="B12" i="12"/>
  <c r="F14" i="12"/>
  <c r="B4" i="15"/>
  <c r="G10" i="14"/>
  <c r="D10" i="16"/>
  <c r="C4" i="13"/>
  <c r="C3" i="13" s="1"/>
  <c r="H10" i="14"/>
  <c r="F10" i="12"/>
  <c r="G10" i="12"/>
  <c r="C10" i="12"/>
  <c r="C8" i="16"/>
  <c r="D6" i="17"/>
  <c r="H4" i="13"/>
  <c r="H3" i="13" s="1"/>
  <c r="C6" i="17"/>
  <c r="D12" i="12"/>
  <c r="F4" i="13"/>
  <c r="F3" i="13" s="1"/>
  <c r="D14" i="12"/>
  <c r="D14" i="17"/>
  <c r="G4" i="14"/>
  <c r="G3" i="14" s="1"/>
  <c r="G4" i="13"/>
  <c r="G3" i="13" s="1"/>
  <c r="C12" i="12"/>
  <c r="D8" i="16"/>
  <c r="E10" i="14"/>
  <c r="B12" i="17"/>
  <c r="D14" i="14"/>
  <c r="E8" i="15"/>
  <c r="G8" i="14"/>
  <c r="E6" i="14"/>
  <c r="D10" i="15"/>
  <c r="C14" i="14"/>
  <c r="C8" i="14"/>
  <c r="B6" i="14"/>
  <c r="G4" i="12"/>
  <c r="G3" i="12" s="1"/>
  <c r="H8" i="13"/>
  <c r="H8" i="14"/>
  <c r="C4" i="15"/>
  <c r="C3" i="15" s="1"/>
  <c r="B10" i="14"/>
  <c r="E10" i="13"/>
  <c r="D8" i="14"/>
  <c r="C12" i="15"/>
  <c r="F4" i="15"/>
  <c r="F3" i="15" s="1"/>
  <c r="C8" i="17"/>
  <c r="E8" i="13"/>
  <c r="C10" i="13"/>
  <c r="E8" i="14"/>
  <c r="B8" i="14"/>
  <c r="H12" i="16"/>
  <c r="F14" i="14"/>
  <c r="G14" i="14"/>
  <c r="D4" i="15"/>
  <c r="D3" i="15" s="1"/>
  <c r="E8" i="17"/>
  <c r="E10" i="15"/>
  <c r="D10" i="13"/>
  <c r="G8" i="15"/>
  <c r="H14" i="14"/>
  <c r="E14" i="14"/>
  <c r="F12" i="16"/>
  <c r="G10" i="15"/>
  <c r="C8" i="15"/>
  <c r="F8" i="15"/>
  <c r="G6" i="14"/>
  <c r="E4" i="15"/>
  <c r="E3" i="15" s="1"/>
  <c r="F8" i="13"/>
  <c r="C10" i="14"/>
  <c r="F8" i="17"/>
  <c r="E8" i="16"/>
  <c r="C12" i="16"/>
  <c r="D12" i="17"/>
  <c r="C12" i="14"/>
  <c r="H6" i="13"/>
  <c r="I45" i="27"/>
  <c r="H14" i="13"/>
  <c r="D6" i="12"/>
  <c r="C8" i="13"/>
  <c r="F10" i="14"/>
  <c r="B8" i="17"/>
  <c r="F10" i="15"/>
  <c r="H8" i="16"/>
  <c r="H10" i="17"/>
  <c r="B12" i="13"/>
  <c r="H8" i="15"/>
  <c r="H4" i="17"/>
  <c r="H3" i="17" s="1"/>
  <c r="I46" i="27"/>
  <c r="G4" i="15"/>
  <c r="G3" i="15" s="1"/>
  <c r="C12" i="13"/>
  <c r="B10" i="15"/>
  <c r="B12" i="14"/>
  <c r="C6" i="16"/>
  <c r="G12" i="17"/>
  <c r="G6" i="12"/>
  <c r="F12" i="14"/>
  <c r="D4" i="17"/>
  <c r="D3" i="17" s="1"/>
  <c r="G6" i="16"/>
  <c r="F12" i="17"/>
  <c r="E6" i="12"/>
  <c r="D12" i="14"/>
  <c r="B6" i="12"/>
  <c r="H6" i="12"/>
  <c r="G4" i="17"/>
  <c r="G3" i="17" s="1"/>
  <c r="C14" i="13"/>
  <c r="E12" i="14"/>
  <c r="J31" i="27"/>
  <c r="H12" i="17"/>
  <c r="D14" i="13"/>
  <c r="E4" i="17"/>
  <c r="E3" i="17" s="1"/>
  <c r="G12" i="14"/>
  <c r="D8" i="13"/>
  <c r="D8" i="17"/>
  <c r="E12" i="17"/>
  <c r="F4" i="17"/>
  <c r="F3" i="17" s="1"/>
  <c r="C4" i="17"/>
  <c r="C3" i="17" s="1"/>
  <c r="D6" i="13"/>
  <c r="E31" i="27"/>
  <c r="B14" i="16"/>
  <c r="H14" i="15"/>
  <c r="G14" i="16"/>
  <c r="E4" i="16"/>
  <c r="E3" i="16" s="1"/>
  <c r="D4" i="12"/>
  <c r="D3" i="12" s="1"/>
  <c r="G12" i="13"/>
  <c r="G10" i="16"/>
  <c r="D14" i="15"/>
  <c r="G12" i="15"/>
  <c r="B8" i="13"/>
  <c r="E6" i="16"/>
  <c r="D6" i="14"/>
  <c r="G8" i="17"/>
  <c r="G14" i="17"/>
  <c r="D12" i="16"/>
  <c r="D10" i="17"/>
  <c r="F10" i="16"/>
  <c r="B4" i="14"/>
  <c r="C6" i="12"/>
  <c r="B14" i="13"/>
  <c r="E12" i="15"/>
  <c r="H14" i="16"/>
  <c r="G14" i="13"/>
  <c r="E4" i="13"/>
  <c r="E3" i="13" s="1"/>
  <c r="B6" i="13"/>
  <c r="G6" i="13"/>
  <c r="H12" i="13"/>
  <c r="F6" i="14"/>
  <c r="B4" i="12"/>
  <c r="B6" i="16"/>
  <c r="H6" i="14"/>
  <c r="E14" i="17"/>
  <c r="G12" i="16"/>
  <c r="F10" i="17"/>
  <c r="C10" i="16"/>
  <c r="C4" i="16"/>
  <c r="C3" i="16" s="1"/>
  <c r="D12" i="15"/>
  <c r="E14" i="15"/>
  <c r="F4" i="12"/>
  <c r="F3" i="12" s="1"/>
  <c r="H6" i="16"/>
  <c r="C14" i="17"/>
  <c r="B12" i="16"/>
  <c r="B10" i="17"/>
  <c r="B10" i="16"/>
  <c r="G4" i="16"/>
  <c r="G3" i="16" s="1"/>
  <c r="F12" i="12"/>
  <c r="H12" i="15"/>
  <c r="H12" i="12"/>
  <c r="G12" i="12"/>
  <c r="F4" i="16"/>
  <c r="F3" i="16" s="1"/>
  <c r="E4" i="12"/>
  <c r="E3" i="12" s="1"/>
  <c r="D4" i="16"/>
  <c r="D3" i="16" s="1"/>
  <c r="B12" i="15"/>
  <c r="D14" i="16"/>
  <c r="G14" i="15"/>
  <c r="C4" i="12"/>
  <c r="C3" i="12" s="1"/>
  <c r="E12" i="13"/>
  <c r="D6" i="16"/>
  <c r="F14" i="17"/>
  <c r="G10" i="17"/>
  <c r="H10" i="16"/>
  <c r="E14" i="13"/>
  <c r="F14" i="16"/>
  <c r="C14" i="16"/>
  <c r="B14" i="15"/>
  <c r="E6" i="13"/>
  <c r="F6" i="13"/>
  <c r="B4" i="16"/>
  <c r="F12" i="13"/>
  <c r="H14" i="17"/>
  <c r="F14" i="15"/>
  <c r="J46" i="27"/>
  <c r="H45" i="27"/>
  <c r="H46" i="27"/>
  <c r="Q35" i="27"/>
  <c r="N46" i="27" l="1"/>
  <c r="N45" i="27"/>
  <c r="P38" i="27"/>
  <c r="P45" i="27" s="1"/>
  <c r="L38" i="27"/>
  <c r="L45" i="27" s="1"/>
  <c r="L31" i="27" l="1"/>
  <c r="L46" i="27"/>
  <c r="Q38" i="27" l="1"/>
  <c r="C46" i="27"/>
  <c r="Q46" i="27" s="1"/>
  <c r="C31" i="27"/>
  <c r="C45" i="27"/>
  <c r="O45" i="27"/>
  <c r="O31" i="27"/>
  <c r="O46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0" authorId="0" shapeId="0" xr:uid="{FCFD1BE8-8B3E-4708-BD40-83295EC078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日常吃喝</t>
        </r>
      </text>
    </comment>
    <comment ref="F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G30" authorId="0" shapeId="0" xr:uid="{514867CD-9F63-4E55-86F1-4CA0173BC57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电子产品
体育运动</t>
        </r>
      </text>
    </comment>
    <comment ref="H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J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L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K32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
李：2000</t>
        </r>
      </text>
    </comment>
    <comment ref="E33" authorId="0" shapeId="0" xr:uid="{DBAE2D9E-EF1A-41BC-8950-8B5E6C5F3B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96：石锅鱼
10：蝌蚪爸爸</t>
        </r>
      </text>
    </comment>
    <comment ref="I33" authorId="0" shapeId="0" xr:uid="{70241054-3E7D-409E-9BAC-F746E5A709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115：回家汽车票
12：交通</t>
        </r>
      </text>
    </comment>
    <comment ref="J33" authorId="0" shapeId="0" xr:uid="{6FA877CE-84DE-44EC-B138-42A945B2E5D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29.9：助农-姜
69*2：剪发
10：数据线
17：年年有鱼年糕
19.9：草莓干、芒果干
12：车票
18：洗衣粉
20：纸巾
20：快递费
400：家用</t>
        </r>
      </text>
    </comment>
    <comment ref="D34" authorId="0" shapeId="0" xr:uid="{9AB09CBF-8B92-45FF-B2C0-693A995BFA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30：以纯袜子</t>
        </r>
      </text>
    </comment>
    <comment ref="E34" authorId="0" shapeId="0" xr:uid="{7F54D00E-93C8-42D1-913D-85C0143A1E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155：麻将
103：大沙地石锅鱼
133：元宵柴火鸡</t>
        </r>
      </text>
    </comment>
    <comment ref="G34" authorId="0" shapeId="0" xr:uid="{70BA71B5-E632-4477-944D-5AC1BB0CF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15：无印 耳机</t>
        </r>
      </text>
    </comment>
    <comment ref="H34" authorId="0" shapeId="0" xr:uid="{CD94B2CD-1643-4FC7-BFD5-29565A7555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199：何云山《交互设计》
1000：光头学堂定金</t>
        </r>
      </text>
    </comment>
    <comment ref="I34" authorId="0" shapeId="0" xr:uid="{401DA8AC-D0C2-4FBA-92BC-7C57FD0282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26.96：滴滴
100：羊城通
25.12：滴滴
21.21：滴滴</t>
        </r>
      </text>
    </comment>
    <comment ref="J34" authorId="0" shapeId="0" xr:uid="{E1C70920-7046-4A43-B10D-764F2F6964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52.9：啫喱水、刮胡刀
69：理发
28：阿丽塔
19.9：芒果干
8.6：优益C</t>
        </r>
      </text>
    </comment>
    <comment ref="M34" authorId="0" shapeId="0" xr:uid="{E458C7FA-017C-4503-95CF-1D2ABE4F3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993：新年红包</t>
        </r>
      </text>
    </comment>
    <comment ref="D35" authorId="0" shapeId="0" xr:uid="{9A3C9ED2-FB62-478E-8DFE-B0E70F00F08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9.9：内裤</t>
        </r>
      </text>
    </comment>
    <comment ref="E35" authorId="0" shapeId="0" xr:uid="{CD846100-0696-42A4-AD0A-513346DB83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150：烧烤、田螺、臭豆腐
720：马场</t>
        </r>
      </text>
    </comment>
    <comment ref="H35" authorId="0" shapeId="0" xr:uid="{2CFEAAC8-907D-4F57-B890-6DA45FEEDEE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9800：GTXT学费尾款</t>
        </r>
      </text>
    </comment>
    <comment ref="I35" authorId="0" shapeId="0" xr:uid="{938AB4E0-422B-4A8E-A7AF-048F840D020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30：滴滴</t>
        </r>
      </text>
    </comment>
    <comment ref="J35" authorId="0" shapeId="0" xr:uid="{2CB6617E-206E-4139-9979-A4F650E7C47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19.7：牙线
14.4：芒果
5：水果刀
10.5：芒果
20：绝味鸭脖
18：纸巾
8：垃圾袋
103：沐浴露，洗发水，内裤，毛巾</t>
        </r>
      </text>
    </comment>
    <comment ref="D36" authorId="0" shapeId="0" xr:uid="{823B7BEA-41A5-4790-AA3D-49DD169E6D3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635：衣服*3，裤子，鞋
7.9*2：内裤*2</t>
        </r>
      </text>
    </comment>
    <comment ref="I36" authorId="0" shapeId="0" xr:uid="{4556B5C7-8022-47CB-8CF6-72817911772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24.53：滴滴
50：羊城通</t>
        </r>
      </text>
    </comment>
    <comment ref="J36" authorId="0" shapeId="0" xr:uid="{4F60C5FC-F25E-4825-9E54-8E69683183B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56：雷霆沙赞
20.5：牙膏，牙刷
35：理发
79.2：面包，安慕希
60：复仇者联盟4
19.9：纸巾</t>
        </r>
      </text>
    </comment>
    <comment ref="D37" authorId="0" shapeId="0" xr:uid="{D5FAE7EE-C9C4-47F7-836D-7002F1E7ACC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以纯衣服*4+袜子*5：333
U型枕头：24
拖鞋：19.9
迪卡侬（衣服裤子鞋子）：429.6</t>
        </r>
      </text>
    </comment>
    <comment ref="G37" authorId="0" shapeId="0" xr:uid="{C65F8240-42F9-46FF-B78B-983DAB15AAC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球拍：421
羽毛球：60
打球：60
</t>
        </r>
      </text>
    </comment>
    <comment ref="J37" authorId="0" shapeId="0" xr:uid="{444387A2-920F-463A-950D-452D81B6666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56.9：超市
10：毛巾
打球：60
汽水：17
打印：6+9.6
话费：50
理发：35
打印：5</t>
        </r>
      </text>
    </comment>
    <comment ref="D38" authorId="0" shapeId="0" xr:uid="{340072D5-E68B-4D6B-BF7E-CCAA06F08D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28：枕头
22：枕头
85：洗衣费</t>
        </r>
      </text>
    </comment>
    <comment ref="E38" authorId="0" shapeId="0" xr:uid="{3DA64864-EBD3-4211-80FA-31EF7290103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39：麻辣烫
12：饺子
117：萨莉亚
243：公寓
196：九龙大排档
57.7：宵夜</t>
        </r>
      </text>
    </comment>
    <comment ref="G38" authorId="0" shapeId="0" xr:uid="{53065E04-C7A2-4348-94C3-437F195293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60：羽毛球订场
</t>
        </r>
      </text>
    </comment>
    <comment ref="I38" authorId="0" shapeId="0" xr:uid="{C69F2EE6-155B-4AA0-A0AD-B7CD03746B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100：羊城通
37.5*2：火车票
6*4：早上公交
35：餐车加钱
23.98：滴滴
20.63：滴滴
26.69：滴滴
100：羊城通</t>
        </r>
      </text>
    </comment>
    <comment ref="J38" authorId="0" shapeId="0" xr:uid="{1B474456-0918-4398-BA09-F069AB80E2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576：洗牙+补牙
9：牙刷
178：电动牙刷
33.9：牙膏、面包
17.4：李子
11.8：葡萄
4：桃子
88：简易茶几</t>
        </r>
      </text>
    </comment>
    <comment ref="D39" authorId="0" shapeId="0" xr:uid="{41E3E02E-F3A8-44A4-8ADE-CF56CFA6C6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366：短裤
39.8：内裤</t>
        </r>
      </text>
    </comment>
    <comment ref="E39" authorId="0" shapeId="0" xr:uid="{281131A6-E795-4F7F-A3C5-DE2EAB1177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102：川少爷
108：萨莉亚
299：漫广场-前进九田烤肉
111：潮汕牛肉</t>
        </r>
      </text>
    </comment>
    <comment ref="G39" authorId="0" shapeId="0" xr:uid="{2A5589BA-81B7-4968-A4FC-CE32B23C5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60：羽毛球
120：羽毛球
40：羽毛球手胶*2</t>
        </r>
      </text>
    </comment>
    <comment ref="I39" authorId="0" shapeId="0" xr:uid="{C8F1063B-8586-4AC5-95E5-DB0D864F2D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4*5:5天摩的车费</t>
        </r>
      </text>
    </comment>
    <comment ref="J39" authorId="0" shapeId="0" xr:uid="{1EA5F06B-90D8-4952-AEED-7936D9175A5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20.9：水果
6.5：水果
30.5：零食
8：水果
6.8：泡面
6.8：泡面
9.5：桃子
8：泡面
4.2：西瓜
39.3：面包+零食
15：泡面+零食
90：话费
</t>
        </r>
      </text>
    </comment>
    <comment ref="K39" authorId="0" shapeId="0" xr:uid="{96235545-8750-4044-90E4-C709EC68688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2000：李兵</t>
        </r>
      </text>
    </comment>
    <comment ref="B40" authorId="0" shapeId="0" xr:uid="{A0672630-F485-4051-A8D5-A483D1814CB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10200：提取公积金
5000：给妹妹学车</t>
        </r>
      </text>
    </comment>
    <comment ref="G40" authorId="0" shapeId="0" xr:uid="{EA7E6BAB-813C-4F98-985C-A7BDBA6EC3E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145：买球
1000：羽毛球场充值卡</t>
        </r>
      </text>
    </comment>
    <comment ref="J40" authorId="0" shapeId="0" xr:uid="{D5B29F92-82CF-4945-8B57-308DC1FD2E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15：泡面+水+水果
21：纸巾
66.4：沐浴露+洗发水+纸巾
420：网费
98：茶具
4.5：花洒软管</t>
        </r>
      </text>
    </comment>
  </commentList>
</comments>
</file>

<file path=xl/sharedStrings.xml><?xml version="1.0" encoding="utf-8"?>
<sst xmlns="http://schemas.openxmlformats.org/spreadsheetml/2006/main" count="163" uniqueCount="142">
  <si>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</si>
  <si>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</si>
  <si>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</si>
  <si>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</si>
  <si>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</si>
  <si>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</si>
  <si>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</si>
  <si>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</si>
  <si>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</si>
  <si>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</si>
  <si>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</si>
  <si>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</si>
  <si>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</si>
  <si>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</si>
  <si>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</si>
  <si>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</si>
  <si>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</si>
  <si>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</si>
  <si>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</si>
  <si>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</si>
  <si>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</si>
  <si>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</si>
  <si>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</si>
  <si>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</si>
  <si>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</si>
  <si>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</si>
  <si>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</si>
  <si>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</si>
  <si>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</si>
  <si>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</si>
  <si>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穿戴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</si>
  <si>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</si>
  <si>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</si>
  <si>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</si>
  <si>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</si>
  <si>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</si>
  <si>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18年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</si>
  <si>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</si>
  <si>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</si>
  <si>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</si>
  <si>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</si>
  <si>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</si>
  <si>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</si>
  <si>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>汇总</t>
    <phoneticPr fontId="1" type="noConversion"/>
  </si>
  <si>
    <t xml:space="preserve">        1）《上瘾》                                                                      </t>
    <phoneticPr fontId="1" type="noConversion"/>
  </si>
  <si>
    <t>年总</t>
    <phoneticPr fontId="1" type="noConversion"/>
  </si>
  <si>
    <t>外债</t>
    <phoneticPr fontId="1" type="noConversion"/>
  </si>
  <si>
    <t>月支出</t>
    <phoneticPr fontId="1" type="noConversion"/>
  </si>
  <si>
    <t>理财</t>
    <phoneticPr fontId="1" type="noConversion"/>
  </si>
  <si>
    <t>工资</t>
    <phoneticPr fontId="1" type="noConversion"/>
  </si>
  <si>
    <t xml:space="preserve">        1）《破茧成蝶 2》</t>
  </si>
  <si>
    <t xml:space="preserve">        1）《破茧成蝶 1》</t>
    <phoneticPr fontId="1" type="noConversion"/>
  </si>
  <si>
    <t>√</t>
    <phoneticPr fontId="1" type="noConversion"/>
  </si>
  <si>
    <t>豆瓣</t>
    <phoneticPr fontId="1" type="noConversion"/>
  </si>
  <si>
    <t>学习</t>
    <phoneticPr fontId="1" type="noConversion"/>
  </si>
  <si>
    <t xml:space="preserve">        2）《淘宝十年产品事》</t>
    <phoneticPr fontId="1" type="noConversion"/>
  </si>
  <si>
    <t xml:space="preserve">        3）《结网》</t>
    <phoneticPr fontId="1" type="noConversion"/>
  </si>
  <si>
    <t xml:space="preserve">        4）《从热闹到门道》</t>
    <phoneticPr fontId="1" type="noConversion"/>
  </si>
  <si>
    <t xml:space="preserve">        5）《缔造企鹅》</t>
    <phoneticPr fontId="1" type="noConversion"/>
  </si>
  <si>
    <t xml:space="preserve">        1）《周鸿祎自述：我的互联网方法论》</t>
    <phoneticPr fontId="1" type="noConversion"/>
  </si>
  <si>
    <t xml:space="preserve">        2）《乔布斯传》</t>
    <phoneticPr fontId="1" type="noConversion"/>
  </si>
  <si>
    <t xml:space="preserve">        3）《乔纳森传》</t>
    <phoneticPr fontId="1" type="noConversion"/>
  </si>
  <si>
    <t xml:space="preserve">        3）《参与感》</t>
    <phoneticPr fontId="1" type="noConversion"/>
  </si>
  <si>
    <t xml:space="preserve">        1）《增长黑客》</t>
    <phoneticPr fontId="1" type="noConversion"/>
  </si>
  <si>
    <t xml:space="preserve">        2）《启示录》</t>
    <phoneticPr fontId="1" type="noConversion"/>
  </si>
  <si>
    <t xml:space="preserve">        4）《引爆点》</t>
    <phoneticPr fontId="1" type="noConversion"/>
  </si>
  <si>
    <t xml:space="preserve">        3）《用户体验要素》</t>
    <phoneticPr fontId="1" type="noConversion"/>
  </si>
  <si>
    <t xml:space="preserve">        5）《筑巢引凤》</t>
    <phoneticPr fontId="1" type="noConversion"/>
  </si>
  <si>
    <t>光头学堂推荐：</t>
    <phoneticPr fontId="1" type="noConversion"/>
  </si>
  <si>
    <t xml:space="preserve">  1、产品经理经验分享</t>
    <phoneticPr fontId="1" type="noConversion"/>
  </si>
  <si>
    <t xml:space="preserve">  2、圈内名人传记</t>
    <phoneticPr fontId="1" type="noConversion"/>
  </si>
  <si>
    <t xml:space="preserve">  3、圈内企业传记</t>
    <phoneticPr fontId="1" type="noConversion"/>
  </si>
  <si>
    <t xml:space="preserve">  4、产品经理技能树</t>
    <phoneticPr fontId="1" type="noConversion"/>
  </si>
  <si>
    <t xml:space="preserve">        6）《don't make me think》</t>
    <phoneticPr fontId="1" type="noConversion"/>
  </si>
  <si>
    <t xml:space="preserve">        7）《运营之光》</t>
    <phoneticPr fontId="1" type="noConversion"/>
  </si>
  <si>
    <t xml:space="preserve">        8）《金字塔原理》</t>
    <phoneticPr fontId="1" type="noConversion"/>
  </si>
  <si>
    <t xml:space="preserve">        9）《梁宁产品思维三十讲》</t>
    <phoneticPr fontId="1" type="noConversion"/>
  </si>
  <si>
    <t xml:space="preserve">  5、创新创业</t>
    <phoneticPr fontId="1" type="noConversion"/>
  </si>
  <si>
    <t xml:space="preserve">        2）《从零到一》</t>
    <phoneticPr fontId="1" type="noConversion"/>
  </si>
  <si>
    <t xml:space="preserve">        1）《精益创业》</t>
    <phoneticPr fontId="1" type="noConversion"/>
  </si>
  <si>
    <t xml:space="preserve">        3）《浪潮之巅》</t>
    <phoneticPr fontId="1" type="noConversion"/>
  </si>
  <si>
    <t xml:space="preserve">        4）《必然》</t>
    <phoneticPr fontId="1" type="noConversion"/>
  </si>
  <si>
    <t xml:space="preserve">        5）《创新者的窘境》</t>
    <phoneticPr fontId="1" type="noConversion"/>
  </si>
  <si>
    <t xml:space="preserve">        1）《人人都是产品经理》</t>
    <phoneticPr fontId="1" type="noConversion"/>
  </si>
  <si>
    <t>8.7/9.1</t>
    <phoneticPr fontId="1" type="noConversion"/>
  </si>
  <si>
    <t xml:space="preserve">        1）《九败一胜》</t>
    <phoneticPr fontId="1" type="noConversion"/>
  </si>
  <si>
    <t xml:space="preserve">        2）《创京东》</t>
    <phoneticPr fontId="1" type="noConversion"/>
  </si>
  <si>
    <t>7,8</t>
    <phoneticPr fontId="1" type="noConversion"/>
  </si>
  <si>
    <t xml:space="preserve">    1、交互设计</t>
    <phoneticPr fontId="1" type="noConversion"/>
  </si>
  <si>
    <t xml:space="preserve">        4）《小米生态链战地笔记》</t>
    <phoneticPr fontId="1" type="noConversion"/>
  </si>
  <si>
    <t>出行</t>
    <phoneticPr fontId="1" type="noConversion"/>
  </si>
  <si>
    <t>收益率‰</t>
    <phoneticPr fontId="1" type="noConversion"/>
  </si>
  <si>
    <t>月均</t>
    <phoneticPr fontId="1" type="noConversion"/>
  </si>
  <si>
    <t>腐败</t>
    <phoneticPr fontId="1" type="noConversion"/>
  </si>
  <si>
    <t>时光沙漏</t>
    <phoneticPr fontId="1" type="noConversion"/>
  </si>
  <si>
    <t>恩格尔系数%</t>
    <phoneticPr fontId="1" type="noConversion"/>
  </si>
  <si>
    <t>日常</t>
    <phoneticPr fontId="1" type="noConversion"/>
  </si>
  <si>
    <t>已毕业/年</t>
    <phoneticPr fontId="1" type="noConversion"/>
  </si>
  <si>
    <t>人生倒计时（80岁）/年</t>
    <phoneticPr fontId="1" type="noConversion"/>
  </si>
  <si>
    <t>离35岁/年</t>
    <phoneticPr fontId="1" type="noConversion"/>
  </si>
  <si>
    <t>离65岁/年</t>
    <phoneticPr fontId="1" type="noConversion"/>
  </si>
  <si>
    <t>兴趣</t>
    <phoneticPr fontId="1" type="noConversion"/>
  </si>
  <si>
    <t>上半年目标</t>
    <phoneticPr fontId="1" type="noConversion"/>
  </si>
  <si>
    <t>状态</t>
    <phoneticPr fontId="1" type="noConversion"/>
  </si>
  <si>
    <t>下半年目标</t>
    <phoneticPr fontId="1" type="noConversion"/>
  </si>
  <si>
    <t>年龄</t>
    <phoneticPr fontId="1" type="noConversion"/>
  </si>
  <si>
    <t>毕业/开发</t>
    <phoneticPr fontId="1" type="noConversion"/>
  </si>
  <si>
    <t>长远计划</t>
    <phoneticPr fontId="1" type="noConversion"/>
  </si>
  <si>
    <t>存钱/理财</t>
    <phoneticPr fontId="1" type="noConversion"/>
  </si>
  <si>
    <t>阅读</t>
    <phoneticPr fontId="1" type="noConversion"/>
  </si>
  <si>
    <t>写作</t>
    <phoneticPr fontId="1" type="noConversion"/>
  </si>
  <si>
    <t>练习说话技巧</t>
    <phoneticPr fontId="1" type="noConversion"/>
  </si>
  <si>
    <t>评估</t>
    <phoneticPr fontId="1" type="noConversion"/>
  </si>
  <si>
    <t>备注</t>
    <phoneticPr fontId="1" type="noConversion"/>
  </si>
  <si>
    <t>项目</t>
    <phoneticPr fontId="1" type="noConversion"/>
  </si>
  <si>
    <t>ID</t>
    <phoneticPr fontId="1" type="noConversion"/>
  </si>
  <si>
    <t>英语听说</t>
    <phoneticPr fontId="1" type="noConversion"/>
  </si>
  <si>
    <t>羽毛球</t>
    <phoneticPr fontId="1" type="noConversion"/>
  </si>
  <si>
    <t>跳槽/产品经理</t>
    <phoneticPr fontId="1" type="noConversion"/>
  </si>
  <si>
    <t>跳槽/产品助理</t>
    <phoneticPr fontId="1" type="noConversion"/>
  </si>
  <si>
    <t>学习产品经理课程</t>
    <phoneticPr fontId="1" type="noConversion"/>
  </si>
  <si>
    <t>跳槽</t>
    <phoneticPr fontId="1" type="noConversion"/>
  </si>
  <si>
    <t>适应新工作</t>
    <phoneticPr fontId="1" type="noConversion"/>
  </si>
  <si>
    <t>完成</t>
    <phoneticPr fontId="1" type="noConversion"/>
  </si>
  <si>
    <t>进行中</t>
    <phoneticPr fontId="1" type="noConversion"/>
  </si>
  <si>
    <t>精读书籍</t>
    <phoneticPr fontId="1" type="noConversion"/>
  </si>
  <si>
    <t>输出写作</t>
    <phoneticPr fontId="1" type="noConversion"/>
  </si>
  <si>
    <t>读书计划</t>
    <phoneticPr fontId="1" type="noConversion"/>
  </si>
  <si>
    <t>书名</t>
    <phoneticPr fontId="1" type="noConversion"/>
  </si>
  <si>
    <t>如何阅读一本书</t>
    <phoneticPr fontId="1" type="noConversion"/>
  </si>
  <si>
    <t>豆瓣评分</t>
    <phoneticPr fontId="1" type="noConversion"/>
  </si>
  <si>
    <t>开始时间</t>
    <phoneticPr fontId="1" type="noConversion"/>
  </si>
  <si>
    <t>结束时间</t>
    <phoneticPr fontId="1" type="noConversion"/>
  </si>
  <si>
    <t>增长</t>
    <phoneticPr fontId="1" type="noConversion"/>
  </si>
  <si>
    <t>里程碑</t>
    <phoneticPr fontId="1" type="noConversion"/>
  </si>
  <si>
    <t>时间</t>
    <phoneticPr fontId="1" type="noConversion"/>
  </si>
  <si>
    <t>2017-6</t>
    <phoneticPr fontId="1" type="noConversion"/>
  </si>
  <si>
    <t>2018-1</t>
    <phoneticPr fontId="1" type="noConversion"/>
  </si>
  <si>
    <t>2019-6</t>
    <phoneticPr fontId="1" type="noConversion"/>
  </si>
  <si>
    <t>阅读中</t>
  </si>
  <si>
    <t xml:space="preserve"> </t>
    <phoneticPr fontId="1" type="noConversion"/>
  </si>
  <si>
    <t>2019剩余/月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</si>
</sst>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0_ ;[Red]\-0\ "/>
    <numFmt numFmtId="178" formatCode="0.000_ ;[Red]\-0.000\ "/>
    <numFmt numFmtId="179" formatCode="0.00_ "/>
    <numFmt numFmtId="180" formatCode="0.00_ ;[Red]\-0.00\ "/>
    <numFmt numFmtId="181" formatCode="0_ "/>
    <numFmt numFmtId="182" formatCode="0.0_ ;[Red]\-0.0\ "/>
  </numFmts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color rgb="FF00B050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9"/>
      <color theme="1" tint="0.3499862666707357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 diagonalDown="1">
      <left/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2" tint="-0.499984740745262"/>
      </diagonal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 diagonalDown="1">
      <left style="thin">
        <color theme="0" tint="-0.34998626667073579"/>
      </left>
      <right/>
      <top style="thin">
        <color theme="0" tint="-0.34998626667073579"/>
      </top>
      <bottom/>
      <diagonal style="thin">
        <color theme="0" tint="-0.34998626667073579"/>
      </diagonal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5" fillId="0" borderId="0"/>
    <xf numFmtId="0" fontId="8" fillId="0" borderId="0" applyNumberFormat="0" applyFill="0" applyProtection="0">
      <alignment horizontal="center" vertical="top"/>
    </xf>
    <xf numFmtId="0" fontId="25" fillId="0" borderId="0"/>
    <xf numFmtId="0" fontId="16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28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Alignment="1">
      <alignment horizontal="center"/>
    </xf>
    <xf numFmtId="0" fontId="17" fillId="2" borderId="13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/>
    <xf numFmtId="0" fontId="18" fillId="2" borderId="16" xfId="0" applyFont="1" applyFill="1" applyBorder="1"/>
    <xf numFmtId="0" fontId="17" fillId="2" borderId="14" xfId="0" applyFont="1" applyFill="1" applyBorder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179" fontId="18" fillId="3" borderId="19" xfId="0" applyNumberFormat="1" applyFont="1" applyFill="1" applyBorder="1" applyAlignment="1">
      <alignment horizontal="center" vertical="top"/>
    </xf>
    <xf numFmtId="179" fontId="18" fillId="3" borderId="22" xfId="0" applyNumberFormat="1" applyFont="1" applyFill="1" applyBorder="1" applyAlignment="1">
      <alignment horizontal="center" vertical="top"/>
    </xf>
    <xf numFmtId="181" fontId="18" fillId="3" borderId="19" xfId="0" applyNumberFormat="1" applyFont="1" applyFill="1" applyBorder="1" applyAlignment="1">
      <alignment horizontal="center" vertical="top"/>
    </xf>
    <xf numFmtId="181" fontId="18" fillId="3" borderId="22" xfId="0" applyNumberFormat="1" applyFont="1" applyFill="1" applyBorder="1" applyAlignment="1">
      <alignment horizontal="center" vertical="top"/>
    </xf>
    <xf numFmtId="0" fontId="17" fillId="2" borderId="0" xfId="0" applyFont="1" applyFill="1" applyAlignment="1">
      <alignment vertical="center"/>
    </xf>
    <xf numFmtId="0" fontId="0" fillId="0" borderId="29" xfId="0" applyBorder="1" applyAlignment="1">
      <alignment horizontal="center"/>
    </xf>
    <xf numFmtId="0" fontId="15" fillId="0" borderId="0" xfId="0" applyFont="1" applyAlignment="1">
      <alignment horizontal="center"/>
    </xf>
    <xf numFmtId="0" fontId="24" fillId="0" borderId="28" xfId="0" applyFont="1" applyBorder="1" applyAlignment="1">
      <alignment horizontal="center" vertical="top" wrapText="1"/>
    </xf>
    <xf numFmtId="0" fontId="17" fillId="2" borderId="24" xfId="0" applyFont="1" applyFill="1" applyBorder="1" applyAlignment="1">
      <alignment horizontal="center" vertical="center"/>
    </xf>
    <xf numFmtId="0" fontId="18" fillId="2" borderId="30" xfId="0" applyFont="1" applyFill="1" applyBorder="1" applyAlignment="1">
      <alignment horizontal="center" vertical="center"/>
    </xf>
    <xf numFmtId="177" fontId="17" fillId="2" borderId="25" xfId="0" applyNumberFormat="1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2" borderId="13" xfId="0" applyFont="1" applyFill="1" applyBorder="1" applyAlignment="1">
      <alignment horizontal="center"/>
    </xf>
    <xf numFmtId="180" fontId="17" fillId="2" borderId="24" xfId="0" applyNumberFormat="1" applyFont="1" applyFill="1" applyBorder="1" applyAlignment="1">
      <alignment horizontal="center" vertical="center"/>
    </xf>
    <xf numFmtId="177" fontId="17" fillId="3" borderId="19" xfId="0" applyNumberFormat="1" applyFont="1" applyFill="1" applyBorder="1" applyAlignment="1">
      <alignment horizontal="center" vertical="center"/>
    </xf>
    <xf numFmtId="180" fontId="17" fillId="3" borderId="0" xfId="0" applyNumberFormat="1" applyFont="1" applyFill="1" applyAlignment="1">
      <alignment horizontal="center" vertical="center"/>
    </xf>
    <xf numFmtId="178" fontId="17" fillId="3" borderId="19" xfId="0" applyNumberFormat="1" applyFont="1" applyFill="1" applyBorder="1" applyAlignment="1">
      <alignment horizontal="center" vertical="center"/>
    </xf>
    <xf numFmtId="181" fontId="17" fillId="3" borderId="0" xfId="0" applyNumberFormat="1" applyFont="1" applyFill="1" applyAlignment="1">
      <alignment horizontal="center" vertical="center"/>
    </xf>
    <xf numFmtId="177" fontId="17" fillId="3" borderId="20" xfId="0" applyNumberFormat="1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/>
    </xf>
    <xf numFmtId="177" fontId="17" fillId="2" borderId="0" xfId="0" applyNumberFormat="1" applyFont="1" applyFill="1" applyAlignment="1">
      <alignment horizontal="center"/>
    </xf>
    <xf numFmtId="177" fontId="17" fillId="2" borderId="31" xfId="0" applyNumberFormat="1" applyFont="1" applyFill="1" applyBorder="1" applyAlignment="1">
      <alignment horizontal="center" vertical="center"/>
    </xf>
    <xf numFmtId="177" fontId="17" fillId="2" borderId="30" xfId="0" applyNumberFormat="1" applyFont="1" applyFill="1" applyBorder="1" applyAlignment="1">
      <alignment horizontal="center" vertical="center"/>
    </xf>
    <xf numFmtId="181" fontId="17" fillId="3" borderId="17" xfId="0" applyNumberFormat="1" applyFont="1" applyFill="1" applyBorder="1" applyAlignment="1">
      <alignment horizontal="center" vertical="center"/>
    </xf>
    <xf numFmtId="10" fontId="17" fillId="2" borderId="0" xfId="0" applyNumberFormat="1" applyFont="1" applyFill="1" applyAlignment="1">
      <alignment horizontal="center"/>
    </xf>
    <xf numFmtId="58" fontId="17" fillId="2" borderId="0" xfId="0" applyNumberFormat="1" applyFont="1" applyFill="1"/>
    <xf numFmtId="178" fontId="17" fillId="2" borderId="33" xfId="0" applyNumberFormat="1" applyFont="1" applyFill="1" applyBorder="1" applyAlignment="1">
      <alignment horizontal="center" vertical="center"/>
    </xf>
    <xf numFmtId="178" fontId="17" fillId="2" borderId="34" xfId="0" applyNumberFormat="1" applyFont="1" applyFill="1" applyBorder="1" applyAlignment="1">
      <alignment horizontal="center" vertical="center"/>
    </xf>
    <xf numFmtId="178" fontId="17" fillId="3" borderId="35" xfId="0" applyNumberFormat="1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top" wrapText="1"/>
    </xf>
    <xf numFmtId="0" fontId="18" fillId="2" borderId="0" xfId="0" applyFont="1" applyFill="1" applyAlignment="1">
      <alignment horizontal="center"/>
    </xf>
    <xf numFmtId="180" fontId="17" fillId="3" borderId="17" xfId="0" applyNumberFormat="1" applyFont="1" applyFill="1" applyBorder="1" applyAlignment="1">
      <alignment horizontal="center" vertical="center"/>
    </xf>
    <xf numFmtId="177" fontId="26" fillId="2" borderId="30" xfId="0" applyNumberFormat="1" applyFont="1" applyFill="1" applyBorder="1" applyAlignment="1">
      <alignment horizontal="center" vertical="center"/>
    </xf>
    <xf numFmtId="177" fontId="26" fillId="2" borderId="24" xfId="0" applyNumberFormat="1" applyFont="1" applyFill="1" applyBorder="1" applyAlignment="1">
      <alignment horizontal="center" vertical="center"/>
    </xf>
    <xf numFmtId="177" fontId="26" fillId="3" borderId="0" xfId="0" applyNumberFormat="1" applyFont="1" applyFill="1" applyAlignment="1">
      <alignment horizontal="center" vertical="center"/>
    </xf>
    <xf numFmtId="177" fontId="26" fillId="3" borderId="17" xfId="0" applyNumberFormat="1" applyFont="1" applyFill="1" applyBorder="1" applyAlignment="1">
      <alignment horizontal="center" vertical="center"/>
    </xf>
    <xf numFmtId="177" fontId="26" fillId="2" borderId="31" xfId="0" applyNumberFormat="1" applyFont="1" applyFill="1" applyBorder="1" applyAlignment="1">
      <alignment horizontal="center" vertical="center"/>
    </xf>
    <xf numFmtId="177" fontId="26" fillId="2" borderId="25" xfId="0" applyNumberFormat="1" applyFont="1" applyFill="1" applyBorder="1" applyAlignment="1">
      <alignment horizontal="center" vertical="center"/>
    </xf>
    <xf numFmtId="177" fontId="26" fillId="3" borderId="19" xfId="0" applyNumberFormat="1" applyFont="1" applyFill="1" applyBorder="1" applyAlignment="1">
      <alignment horizontal="center" vertical="center"/>
    </xf>
    <xf numFmtId="177" fontId="26" fillId="3" borderId="32" xfId="0" applyNumberFormat="1" applyFont="1" applyFill="1" applyBorder="1" applyAlignment="1">
      <alignment horizontal="center" vertical="center"/>
    </xf>
    <xf numFmtId="181" fontId="26" fillId="2" borderId="30" xfId="0" applyNumberFormat="1" applyFont="1" applyFill="1" applyBorder="1" applyAlignment="1">
      <alignment horizontal="center" vertical="center"/>
    </xf>
    <xf numFmtId="181" fontId="26" fillId="2" borderId="24" xfId="0" applyNumberFormat="1" applyFont="1" applyFill="1" applyBorder="1" applyAlignment="1">
      <alignment horizontal="center" vertical="center"/>
    </xf>
    <xf numFmtId="180" fontId="17" fillId="3" borderId="0" xfId="11" applyNumberFormat="1" applyFont="1" applyFill="1" applyAlignment="1">
      <alignment horizontal="center" vertical="center"/>
    </xf>
    <xf numFmtId="180" fontId="17" fillId="3" borderId="23" xfId="0" applyNumberFormat="1" applyFont="1" applyFill="1" applyBorder="1" applyAlignment="1">
      <alignment horizontal="center" vertical="center"/>
    </xf>
    <xf numFmtId="177" fontId="27" fillId="2" borderId="30" xfId="0" applyNumberFormat="1" applyFont="1" applyFill="1" applyBorder="1" applyAlignment="1">
      <alignment horizontal="center" vertical="center"/>
    </xf>
    <xf numFmtId="177" fontId="27" fillId="2" borderId="24" xfId="0" applyNumberFormat="1" applyFont="1" applyFill="1" applyBorder="1" applyAlignment="1">
      <alignment horizontal="center" vertical="center"/>
    </xf>
    <xf numFmtId="177" fontId="27" fillId="3" borderId="0" xfId="0" applyNumberFormat="1" applyFont="1" applyFill="1" applyAlignment="1">
      <alignment horizontal="center" vertical="center"/>
    </xf>
    <xf numFmtId="177" fontId="27" fillId="3" borderId="17" xfId="0" applyNumberFormat="1" applyFont="1" applyFill="1" applyBorder="1" applyAlignment="1">
      <alignment horizontal="center" vertical="center"/>
    </xf>
    <xf numFmtId="177" fontId="18" fillId="2" borderId="0" xfId="0" applyNumberFormat="1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182" fontId="17" fillId="2" borderId="26" xfId="0" applyNumberFormat="1" applyFont="1" applyFill="1" applyBorder="1" applyAlignment="1">
      <alignment horizontal="center" vertical="center"/>
    </xf>
    <xf numFmtId="182" fontId="17" fillId="3" borderId="19" xfId="0" applyNumberFormat="1" applyFont="1" applyFill="1" applyBorder="1" applyAlignment="1">
      <alignment horizontal="center" vertical="center"/>
    </xf>
    <xf numFmtId="182" fontId="17" fillId="3" borderId="17" xfId="0" applyNumberFormat="1" applyFont="1" applyFill="1" applyBorder="1" applyAlignment="1">
      <alignment horizontal="center" vertical="center"/>
    </xf>
    <xf numFmtId="0" fontId="18" fillId="4" borderId="41" xfId="0" applyFont="1" applyFill="1" applyBorder="1" applyAlignment="1">
      <alignment horizontal="center" vertical="center" wrapText="1"/>
    </xf>
    <xf numFmtId="177" fontId="17" fillId="2" borderId="42" xfId="0" applyNumberFormat="1" applyFont="1" applyFill="1" applyBorder="1" applyAlignment="1">
      <alignment horizontal="center" vertical="center"/>
    </xf>
    <xf numFmtId="177" fontId="17" fillId="2" borderId="26" xfId="0" applyNumberFormat="1" applyFont="1" applyFill="1" applyBorder="1" applyAlignment="1">
      <alignment horizontal="center" vertical="center"/>
    </xf>
    <xf numFmtId="177" fontId="17" fillId="3" borderId="43" xfId="0" applyNumberFormat="1" applyFont="1" applyFill="1" applyBorder="1" applyAlignment="1">
      <alignment horizontal="center" vertical="center"/>
    </xf>
    <xf numFmtId="177" fontId="17" fillId="3" borderId="44" xfId="0" applyNumberFormat="1" applyFont="1" applyFill="1" applyBorder="1" applyAlignment="1">
      <alignment horizontal="center" vertical="center"/>
    </xf>
    <xf numFmtId="0" fontId="30" fillId="0" borderId="29" xfId="0" applyFont="1" applyBorder="1" applyAlignment="1">
      <alignment horizontal="center" vertical="top" wrapText="1"/>
    </xf>
    <xf numFmtId="0" fontId="30" fillId="0" borderId="29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77" fontId="17" fillId="2" borderId="24" xfId="0" applyNumberFormat="1" applyFont="1" applyFill="1" applyBorder="1" applyAlignment="1">
      <alignment horizontal="center" vertical="center"/>
    </xf>
    <xf numFmtId="177" fontId="17" fillId="3" borderId="0" xfId="0" applyNumberFormat="1" applyFont="1" applyFill="1" applyBorder="1" applyAlignment="1">
      <alignment horizontal="center" vertical="center"/>
    </xf>
    <xf numFmtId="177" fontId="17" fillId="3" borderId="17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/>
    </xf>
    <xf numFmtId="177" fontId="17" fillId="3" borderId="45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81" fontId="22" fillId="3" borderId="19" xfId="0" applyNumberFormat="1" applyFont="1" applyFill="1" applyBorder="1" applyAlignment="1">
      <alignment horizontal="center" vertical="top"/>
    </xf>
    <xf numFmtId="181" fontId="22" fillId="3" borderId="22" xfId="0" applyNumberFormat="1" applyFont="1" applyFill="1" applyBorder="1" applyAlignment="1">
      <alignment horizontal="center" vertical="top"/>
    </xf>
    <xf numFmtId="0" fontId="21" fillId="4" borderId="18" xfId="0" applyFont="1" applyFill="1" applyBorder="1" applyAlignment="1">
      <alignment horizontal="center" vertical="center" wrapText="1"/>
    </xf>
    <xf numFmtId="0" fontId="21" fillId="4" borderId="21" xfId="0" applyFont="1" applyFill="1" applyBorder="1" applyAlignment="1">
      <alignment horizontal="center" vertical="center" wrapText="1"/>
    </xf>
    <xf numFmtId="179" fontId="18" fillId="3" borderId="39" xfId="0" applyNumberFormat="1" applyFont="1" applyFill="1" applyBorder="1" applyAlignment="1">
      <alignment horizontal="center" vertical="top"/>
    </xf>
    <xf numFmtId="179" fontId="18" fillId="3" borderId="40" xfId="0" applyNumberFormat="1" applyFont="1" applyFill="1" applyBorder="1" applyAlignment="1">
      <alignment horizontal="center" vertical="top"/>
    </xf>
    <xf numFmtId="181" fontId="22" fillId="2" borderId="19" xfId="0" applyNumberFormat="1" applyFont="1" applyFill="1" applyBorder="1" applyAlignment="1">
      <alignment horizontal="center" vertical="top"/>
    </xf>
    <xf numFmtId="181" fontId="22" fillId="2" borderId="22" xfId="0" applyNumberFormat="1" applyFont="1" applyFill="1" applyBorder="1" applyAlignment="1">
      <alignment horizontal="center" vertical="top"/>
    </xf>
    <xf numFmtId="0" fontId="30" fillId="0" borderId="12" xfId="0" applyFont="1" applyBorder="1" applyAlignment="1">
      <alignment horizontal="left" vertical="top" wrapText="1"/>
    </xf>
    <xf numFmtId="0" fontId="30" fillId="0" borderId="11" xfId="0" applyFont="1" applyBorder="1" applyAlignment="1">
      <alignment horizontal="left" vertical="top" wrapText="1"/>
    </xf>
    <xf numFmtId="0" fontId="30" fillId="0" borderId="36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36" xfId="0" applyFont="1" applyBorder="1" applyAlignment="1">
      <alignment horizontal="left" vertical="top" wrapText="1"/>
    </xf>
    <xf numFmtId="0" fontId="30" fillId="0" borderId="12" xfId="0" applyFont="1" applyBorder="1" applyAlignment="1">
      <alignment horizontal="center" vertical="top" wrapText="1"/>
    </xf>
    <xf numFmtId="0" fontId="30" fillId="0" borderId="11" xfId="0" applyFont="1" applyBorder="1" applyAlignment="1">
      <alignment horizontal="center" vertical="top" wrapText="1"/>
    </xf>
    <xf numFmtId="0" fontId="30" fillId="0" borderId="36" xfId="0" applyFont="1" applyBorder="1" applyAlignment="1">
      <alignment horizontal="center" vertical="top" wrapText="1"/>
    </xf>
    <xf numFmtId="0" fontId="15" fillId="0" borderId="37" xfId="0" applyFont="1" applyBorder="1" applyAlignment="1">
      <alignment horizontal="left" vertical="top" wrapText="1"/>
    </xf>
    <xf numFmtId="0" fontId="15" fillId="0" borderId="27" xfId="0" applyFont="1" applyBorder="1" applyAlignment="1">
      <alignment horizontal="left" vertical="top" wrapText="1"/>
    </xf>
    <xf numFmtId="0" fontId="15" fillId="0" borderId="38" xfId="0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5" fillId="5" borderId="46" xfId="0" applyFont="1" applyFill="1" applyBorder="1" applyAlignment="1">
      <alignment horizontal="center"/>
    </xf>
    <xf numFmtId="0" fontId="15" fillId="5" borderId="46" xfId="0" applyFont="1" applyFill="1" applyBorder="1" applyAlignment="1">
      <alignment horizontal="center"/>
    </xf>
    <xf numFmtId="49" fontId="0" fillId="5" borderId="46" xfId="0" applyNumberFormat="1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16" fillId="5" borderId="46" xfId="0" applyFont="1" applyFill="1" applyBorder="1" applyAlignment="1">
      <alignment horizontal="center"/>
    </xf>
  </cellXfs>
  <cellStyles count="17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常规 2 2" xfId="12" xr:uid="{C0212B23-C2EC-4A15-BB58-19A874DD4FEF}"/>
    <cellStyle name="常规 3" xfId="14" xr:uid="{F39368C1-2EB0-437F-88F9-A404C4C6540B}"/>
    <cellStyle name="常规 4" xfId="15" xr:uid="{66EEFEC2-1A4E-4411-8351-90901FA220D1}"/>
    <cellStyle name="超链接" xfId="6" builtinId="8"/>
    <cellStyle name="超链接 2" xfId="13" xr:uid="{C5657FAB-DD05-4A8D-901E-0D7ABB29FFE6}"/>
    <cellStyle name="超链接 3" xfId="16" xr:uid="{193CB70E-6084-4941-9928-FCF4502EE9FB}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081420"/>
      <color rgb="FF284580"/>
      <color rgb="FF152443"/>
      <color rgb="FF0C1E30"/>
      <color rgb="FF183C60"/>
      <color rgb="FF080E1A"/>
      <color rgb="FF205080"/>
      <color rgb="FF2864A0"/>
      <color rgb="FF3078C0"/>
      <color rgb="FFE7F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财务!$M$30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财务!$M$33:$M$44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  <c:pt idx="2">
                  <c:v>13948.41</c:v>
                </c:pt>
                <c:pt idx="3">
                  <c:v>22570.280000000002</c:v>
                </c:pt>
                <c:pt idx="4">
                  <c:v>19007.2</c:v>
                </c:pt>
                <c:pt idx="5">
                  <c:v>19130.29</c:v>
                </c:pt>
                <c:pt idx="6">
                  <c:v>24669.329999999998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1"/>
          <c:order val="1"/>
          <c:tx>
            <c:strRef>
              <c:f>财务!$B$30</c:f>
              <c:strCache>
                <c:ptCount val="1"/>
                <c:pt idx="0">
                  <c:v>工资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财务!$B$33:$B$44</c:f>
              <c:numCache>
                <c:formatCode>0_ ;[Red]\-0\ </c:formatCode>
                <c:ptCount val="12"/>
                <c:pt idx="0">
                  <c:v>7071.97</c:v>
                </c:pt>
                <c:pt idx="1">
                  <c:v>7556.97</c:v>
                </c:pt>
                <c:pt idx="2">
                  <c:v>0</c:v>
                </c:pt>
                <c:pt idx="3">
                  <c:v>11351.74</c:v>
                </c:pt>
                <c:pt idx="4">
                  <c:v>0</c:v>
                </c:pt>
                <c:pt idx="5">
                  <c:v>3520</c:v>
                </c:pt>
                <c:pt idx="6">
                  <c:v>10069.66</c:v>
                </c:pt>
                <c:pt idx="7">
                  <c:v>14374.239999999998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8"/>
          <c:order val="2"/>
          <c:tx>
            <c:strRef>
              <c:f>财务!$L$30</c:f>
              <c:strCache>
                <c:ptCount val="1"/>
                <c:pt idx="0">
                  <c:v>月支出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财务!$L$33:$L$44</c:f>
              <c:numCache>
                <c:formatCode>0_ ;[Red]\-0\ </c:formatCode>
                <c:ptCount val="12"/>
                <c:pt idx="0">
                  <c:v>2856.309999999999</c:v>
                </c:pt>
                <c:pt idx="1">
                  <c:v>3251.0999999999995</c:v>
                </c:pt>
                <c:pt idx="2">
                  <c:v>12432.600000000004</c:v>
                </c:pt>
                <c:pt idx="3">
                  <c:v>3095.2799999999988</c:v>
                </c:pt>
                <c:pt idx="4">
                  <c:v>4020.9700000000016</c:v>
                </c:pt>
                <c:pt idx="5">
                  <c:v>3864.0499999999997</c:v>
                </c:pt>
                <c:pt idx="6">
                  <c:v>3124.7500000000027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030648"/>
        <c:axId val="588034808"/>
      </c:lineChart>
      <c:valAx>
        <c:axId val="5880348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财务!$O$30</c:f>
              <c:strCache>
                <c:ptCount val="1"/>
                <c:pt idx="0">
                  <c:v>理财</c:v>
                </c:pt>
              </c:strCache>
            </c:strRef>
          </c:tx>
          <c:spPr>
            <a:solidFill>
              <a:schemeClr val="accent6"/>
            </a:soli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财务!$O$32:$O$44</c:f>
              <c:numCache>
                <c:formatCode>0.00_ ;[Red]\-0.00\ </c:formatCode>
                <c:ptCount val="13"/>
                <c:pt idx="0">
                  <c:v>89</c:v>
                </c:pt>
                <c:pt idx="1">
                  <c:v>67.78</c:v>
                </c:pt>
                <c:pt idx="2">
                  <c:v>81.459999999999994</c:v>
                </c:pt>
                <c:pt idx="3">
                  <c:v>33.869999999999997</c:v>
                </c:pt>
                <c:pt idx="4">
                  <c:v>15.41</c:v>
                </c:pt>
                <c:pt idx="5">
                  <c:v>57.89</c:v>
                </c:pt>
                <c:pt idx="6">
                  <c:v>67.14</c:v>
                </c:pt>
                <c:pt idx="7">
                  <c:v>94.13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431142903476"/>
          <c:y val="3.4474380828487021E-2"/>
          <c:w val="0.7743137714193048"/>
          <c:h val="0.7676987174425596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(财务!$F$30,财务!$K$30,财务!$G$30,财务!$C$30,财务!$I$30,财务!$D$30,财务!$E$30,财务!$H$30,财务!$J$30)</c15:sqref>
                  </c15:fullRef>
                </c:ext>
              </c:extLst>
              <c:f>(财务!$F$30,财务!$G$30,财务!$C$30,财务!$I$30,财务!$D$30,财务!$E$30,财务!$H$30,财务!$J$30)</c:f>
              <c:strCache>
                <c:ptCount val="8"/>
                <c:pt idx="0">
                  <c:v>房租</c:v>
                </c:pt>
                <c:pt idx="1">
                  <c:v>兴趣</c:v>
                </c:pt>
                <c:pt idx="2">
                  <c:v>日常</c:v>
                </c:pt>
                <c:pt idx="3">
                  <c:v>出行</c:v>
                </c:pt>
                <c:pt idx="4">
                  <c:v>穿戴</c:v>
                </c:pt>
                <c:pt idx="5">
                  <c:v>腐败</c:v>
                </c:pt>
                <c:pt idx="6">
                  <c:v>学习</c:v>
                </c:pt>
                <c:pt idx="7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(财务!$F$46,财务!$K$46,财务!$G$46,财务!$C$46,财务!$I$46,财务!$D$46,财务!$E$46,财务!$H$46,财务!$J$46)</c15:sqref>
                  </c15:fullRef>
                </c:ext>
              </c:extLst>
              <c:f>(财务!$F$46,财务!$G$46,财务!$C$46,财务!$I$46,财务!$D$46,财务!$E$46,财务!$H$46,财务!$J$46)</c:f>
              <c:numCache>
                <c:formatCode>0_ </c:formatCode>
                <c:ptCount val="8"/>
                <c:pt idx="0" formatCode="0_ ;[Red]\-0\ ">
                  <c:v>6775</c:v>
                </c:pt>
                <c:pt idx="1" formatCode="0_ ;[Red]\-0\ ">
                  <c:v>2161</c:v>
                </c:pt>
                <c:pt idx="2" formatCode="0_ ;[Red]\-0\ ">
                  <c:v>5923.8000000000047</c:v>
                </c:pt>
                <c:pt idx="3" formatCode="0_ ;[Red]\-0\ ">
                  <c:v>1131.72</c:v>
                </c:pt>
                <c:pt idx="4" formatCode="0_ ;[Red]\-0\ ">
                  <c:v>2038.9999999999998</c:v>
                </c:pt>
                <c:pt idx="5" formatCode="0_ ;[Red]\-0\ ">
                  <c:v>2971.7</c:v>
                </c:pt>
                <c:pt idx="6" formatCode="0_ ;[Red]\-0\ ">
                  <c:v>10999</c:v>
                </c:pt>
                <c:pt idx="7" formatCode="0_ ;[Red]\-0\ ">
                  <c:v>3363.7599999999998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3"/>
          <c:order val="0"/>
          <c:tx>
            <c:strRef>
              <c:f>财务!$C$30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chemeClr val="accent4"/>
            </a:solidFill>
            <a:ln w="12700"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财务!$C$33:$C$44</c:f>
              <c:numCache>
                <c:formatCode>0_ ;[Red]\-0\ </c:formatCode>
                <c:ptCount val="12"/>
                <c:pt idx="0">
                  <c:v>1344.5099999999991</c:v>
                </c:pt>
                <c:pt idx="1">
                  <c:v>344.44999999999936</c:v>
                </c:pt>
                <c:pt idx="2">
                  <c:v>866.02000000000407</c:v>
                </c:pt>
                <c:pt idx="3">
                  <c:v>1140.349999999999</c:v>
                </c:pt>
                <c:pt idx="4">
                  <c:v>1151.8700000000017</c:v>
                </c:pt>
                <c:pt idx="5">
                  <c:v>657.94999999999982</c:v>
                </c:pt>
                <c:pt idx="6">
                  <c:v>418.65000000000236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6"/>
          <c:order val="1"/>
          <c:tx>
            <c:strRef>
              <c:f>财务!$J$30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rgbClr val="FF0000"/>
            </a:solidFill>
            <a:ln w="12700"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财务!$J$33:$J$44</c:f>
              <c:numCache>
                <c:formatCode>0_ ;[Red]\-0\ </c:formatCode>
                <c:ptCount val="12"/>
                <c:pt idx="0">
                  <c:v>652.79999999999995</c:v>
                </c:pt>
                <c:pt idx="1">
                  <c:v>205.36</c:v>
                </c:pt>
                <c:pt idx="2">
                  <c:v>188.2</c:v>
                </c:pt>
                <c:pt idx="3">
                  <c:v>270.59999999999997</c:v>
                </c:pt>
                <c:pt idx="4">
                  <c:v>199.5</c:v>
                </c:pt>
                <c:pt idx="5">
                  <c:v>933.09999999999991</c:v>
                </c:pt>
                <c:pt idx="6">
                  <c:v>281.3</c:v>
                </c:pt>
                <c:pt idx="7">
                  <c:v>632.9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2"/>
          <c:tx>
            <c:strRef>
              <c:f>财务!$E$30</c:f>
              <c:strCache>
                <c:ptCount val="1"/>
                <c:pt idx="0">
                  <c:v>腐败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2700"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财务!$E$33:$E$44</c:f>
              <c:numCache>
                <c:formatCode>0_ ;[Red]\-0\ </c:formatCode>
                <c:ptCount val="12"/>
                <c:pt idx="0">
                  <c:v>106</c:v>
                </c:pt>
                <c:pt idx="1">
                  <c:v>391</c:v>
                </c:pt>
                <c:pt idx="2">
                  <c:v>900</c:v>
                </c:pt>
                <c:pt idx="3">
                  <c:v>0</c:v>
                </c:pt>
                <c:pt idx="4">
                  <c:v>278</c:v>
                </c:pt>
                <c:pt idx="5">
                  <c:v>664.7</c:v>
                </c:pt>
                <c:pt idx="6">
                  <c:v>620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4"/>
          <c:order val="3"/>
          <c:tx>
            <c:strRef>
              <c:f>财务!$I$30</c:f>
              <c:strCache>
                <c:ptCount val="1"/>
                <c:pt idx="0">
                  <c:v>出行</c:v>
                </c:pt>
              </c:strCache>
            </c:strRef>
          </c:tx>
          <c:spPr>
            <a:solidFill>
              <a:schemeClr val="accent5"/>
            </a:solidFill>
            <a:ln w="12700"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财务!$I$33:$I$44</c:f>
              <c:numCache>
                <c:formatCode>0_ ;[Red]\-0\ </c:formatCode>
                <c:ptCount val="12"/>
                <c:pt idx="0">
                  <c:v>127</c:v>
                </c:pt>
                <c:pt idx="1">
                  <c:v>173.29000000000002</c:v>
                </c:pt>
                <c:pt idx="2">
                  <c:v>29.48</c:v>
                </c:pt>
                <c:pt idx="3">
                  <c:v>74.53</c:v>
                </c:pt>
                <c:pt idx="4">
                  <c:v>81.099999999999994</c:v>
                </c:pt>
                <c:pt idx="5">
                  <c:v>456.3</c:v>
                </c:pt>
                <c:pt idx="6">
                  <c:v>80</c:v>
                </c:pt>
                <c:pt idx="7">
                  <c:v>110.02000000000001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4"/>
          <c:tx>
            <c:strRef>
              <c:f>财务!$D$30</c:f>
              <c:strCache>
                <c:ptCount val="1"/>
                <c:pt idx="0">
                  <c:v>穿戴</c:v>
                </c:pt>
              </c:strCache>
            </c:strRef>
          </c:tx>
          <c:spPr>
            <a:solidFill>
              <a:schemeClr val="accent6"/>
            </a:solidFill>
            <a:ln w="12700"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财务!$D$33:$D$44</c:f>
              <c:numCache>
                <c:formatCode>0_ ;[Red]\-0\ </c:formatCode>
                <c:ptCount val="12"/>
                <c:pt idx="0">
                  <c:v>0</c:v>
                </c:pt>
                <c:pt idx="1">
                  <c:v>30</c:v>
                </c:pt>
                <c:pt idx="2">
                  <c:v>9.9</c:v>
                </c:pt>
                <c:pt idx="3">
                  <c:v>653.79999999999995</c:v>
                </c:pt>
                <c:pt idx="4">
                  <c:v>806.5</c:v>
                </c:pt>
                <c:pt idx="5">
                  <c:v>133</c:v>
                </c:pt>
                <c:pt idx="6">
                  <c:v>405.8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2"/>
          <c:order val="5"/>
          <c:tx>
            <c:strRef>
              <c:f>财务!$G$30</c:f>
              <c:strCache>
                <c:ptCount val="1"/>
                <c:pt idx="0">
                  <c:v>兴趣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财务!$A$33:$A$44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财务!$G$33:$G$44</c:f>
              <c:numCache>
                <c:formatCode>0_ ;[Red]\-0\ 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541</c:v>
                </c:pt>
                <c:pt idx="5">
                  <c:v>60</c:v>
                </c:pt>
                <c:pt idx="6">
                  <c:v>280</c:v>
                </c:pt>
                <c:pt idx="7">
                  <c:v>1265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89912"/>
        <c:axId val="650988560"/>
      </c:area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19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5228</xdr:colOff>
      <xdr:row>34</xdr:row>
      <xdr:rowOff>12700</xdr:rowOff>
    </xdr:from>
    <xdr:to>
      <xdr:col>23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12701</xdr:colOff>
      <xdr:row>17</xdr:row>
      <xdr:rowOff>38100</xdr:rowOff>
    </xdr:from>
    <xdr:to>
      <xdr:col>23</xdr:col>
      <xdr:colOff>146051</xdr:colOff>
      <xdr:row>33</xdr:row>
      <xdr:rowOff>189011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12700</xdr:colOff>
      <xdr:row>0</xdr:row>
      <xdr:rowOff>0</xdr:rowOff>
    </xdr:from>
    <xdr:to>
      <xdr:col>23</xdr:col>
      <xdr:colOff>146050</xdr:colOff>
      <xdr:row>17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62CC-6DF3-4AA0-90E7-63FE9BB57466}">
  <sheetPr>
    <tabColor theme="0"/>
  </sheetPr>
  <dimension ref="A1:J10"/>
  <sheetViews>
    <sheetView workbookViewId="0">
      <selection activeCell="L8" sqref="L8"/>
    </sheetView>
  </sheetViews>
  <sheetFormatPr defaultRowHeight="14" x14ac:dyDescent="0.3"/>
  <cols>
    <col min="1" max="1" width="10" style="120" customWidth="1"/>
    <col min="2" max="2" width="6" style="120" customWidth="1"/>
    <col min="3" max="3" width="18.9140625" style="120" customWidth="1"/>
    <col min="4" max="4" width="5.75" style="120" customWidth="1"/>
    <col min="5" max="5" width="3.4140625" style="120" customWidth="1"/>
    <col min="6" max="6" width="20.25" style="120" customWidth="1"/>
    <col min="7" max="7" width="7.9140625" style="120" customWidth="1"/>
    <col min="8" max="8" width="3.25" style="120" customWidth="1"/>
    <col min="9" max="9" width="20.83203125" style="120" customWidth="1"/>
    <col min="10" max="10" width="7.9140625" style="120" customWidth="1"/>
    <col min="11" max="11" width="8.6640625" style="120"/>
    <col min="12" max="12" width="3.25" style="120" customWidth="1"/>
    <col min="13" max="13" width="20.83203125" style="120" customWidth="1"/>
    <col min="14" max="14" width="7.9140625" style="120" customWidth="1"/>
    <col min="15" max="16384" width="8.6640625" style="120"/>
  </cols>
  <sheetData>
    <row r="1" spans="1:10" x14ac:dyDescent="0.3">
      <c r="A1" s="123" t="s">
        <v>134</v>
      </c>
      <c r="B1" s="123"/>
      <c r="C1" s="123"/>
      <c r="E1" s="123" t="s">
        <v>107</v>
      </c>
      <c r="F1" s="123"/>
      <c r="H1" s="123" t="s">
        <v>102</v>
      </c>
      <c r="I1" s="123"/>
      <c r="J1" s="123"/>
    </row>
    <row r="2" spans="1:10" x14ac:dyDescent="0.3">
      <c r="A2" s="124" t="s">
        <v>135</v>
      </c>
      <c r="B2" s="124" t="s">
        <v>105</v>
      </c>
      <c r="C2" s="124" t="s">
        <v>134</v>
      </c>
      <c r="E2" s="124" t="s">
        <v>115</v>
      </c>
      <c r="F2" s="124" t="s">
        <v>114</v>
      </c>
      <c r="H2" s="124" t="s">
        <v>115</v>
      </c>
      <c r="I2" s="124" t="s">
        <v>114</v>
      </c>
      <c r="J2" s="124" t="s">
        <v>112</v>
      </c>
    </row>
    <row r="3" spans="1:10" x14ac:dyDescent="0.3">
      <c r="A3" s="125" t="s">
        <v>136</v>
      </c>
      <c r="B3" s="126">
        <v>23</v>
      </c>
      <c r="C3" s="126" t="s">
        <v>106</v>
      </c>
      <c r="E3" s="126">
        <v>1</v>
      </c>
      <c r="F3" s="127" t="s">
        <v>108</v>
      </c>
      <c r="H3" s="126">
        <v>1</v>
      </c>
      <c r="I3" s="126" t="s">
        <v>120</v>
      </c>
      <c r="J3" s="126" t="s">
        <v>123</v>
      </c>
    </row>
    <row r="4" spans="1:10" x14ac:dyDescent="0.3">
      <c r="A4" s="125" t="s">
        <v>137</v>
      </c>
      <c r="B4" s="126">
        <v>24</v>
      </c>
      <c r="C4" s="126" t="s">
        <v>119</v>
      </c>
      <c r="E4" s="126">
        <v>2</v>
      </c>
      <c r="F4" s="126" t="s">
        <v>109</v>
      </c>
      <c r="H4" s="126">
        <v>2</v>
      </c>
      <c r="I4" s="126" t="s">
        <v>121</v>
      </c>
      <c r="J4" s="126" t="s">
        <v>123</v>
      </c>
    </row>
    <row r="5" spans="1:10" x14ac:dyDescent="0.3">
      <c r="A5" s="125" t="s">
        <v>138</v>
      </c>
      <c r="B5" s="126">
        <v>25</v>
      </c>
      <c r="C5" s="126" t="s">
        <v>118</v>
      </c>
      <c r="E5" s="126">
        <v>3</v>
      </c>
      <c r="F5" s="126" t="s">
        <v>110</v>
      </c>
      <c r="H5" s="123" t="s">
        <v>104</v>
      </c>
      <c r="I5" s="123"/>
      <c r="J5" s="123"/>
    </row>
    <row r="6" spans="1:10" x14ac:dyDescent="0.3">
      <c r="A6" s="121"/>
      <c r="B6" s="122"/>
      <c r="C6" s="122"/>
      <c r="E6" s="126">
        <v>4</v>
      </c>
      <c r="F6" s="126" t="s">
        <v>111</v>
      </c>
      <c r="H6" s="124" t="s">
        <v>115</v>
      </c>
      <c r="I6" s="124" t="s">
        <v>114</v>
      </c>
      <c r="J6" s="124" t="s">
        <v>112</v>
      </c>
    </row>
    <row r="7" spans="1:10" x14ac:dyDescent="0.3">
      <c r="A7" s="121"/>
      <c r="B7" s="122"/>
      <c r="C7" s="122"/>
      <c r="E7" s="126">
        <v>5</v>
      </c>
      <c r="F7" s="126" t="s">
        <v>116</v>
      </c>
      <c r="H7" s="126">
        <v>1</v>
      </c>
      <c r="I7" s="126" t="s">
        <v>122</v>
      </c>
      <c r="J7" s="126" t="s">
        <v>124</v>
      </c>
    </row>
    <row r="8" spans="1:10" x14ac:dyDescent="0.3">
      <c r="A8" s="121"/>
      <c r="B8" s="122"/>
      <c r="C8" s="122"/>
      <c r="E8" s="126">
        <v>6</v>
      </c>
      <c r="F8" s="126" t="s">
        <v>117</v>
      </c>
      <c r="H8" s="126">
        <v>2</v>
      </c>
      <c r="I8" s="126" t="s">
        <v>125</v>
      </c>
      <c r="J8" s="126"/>
    </row>
    <row r="9" spans="1:10" x14ac:dyDescent="0.3">
      <c r="A9" s="121"/>
      <c r="B9" s="122"/>
      <c r="C9" s="122"/>
      <c r="H9" s="126">
        <v>3</v>
      </c>
      <c r="I9" s="126" t="s">
        <v>126</v>
      </c>
      <c r="J9" s="126"/>
    </row>
    <row r="10" spans="1:10" x14ac:dyDescent="0.3">
      <c r="A10" s="121"/>
      <c r="B10" s="122"/>
      <c r="C10" s="122"/>
    </row>
  </sheetData>
  <mergeCells count="4">
    <mergeCell ref="H5:J5"/>
    <mergeCell ref="A1:C1"/>
    <mergeCell ref="E1:F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0"/>
  </sheetPr>
  <dimension ref="A1:X72"/>
  <sheetViews>
    <sheetView tabSelected="1" topLeftCell="A21" zoomScaleNormal="100" zoomScalePageLayoutView="58" workbookViewId="0">
      <selection activeCell="F42" sqref="F42"/>
    </sheetView>
  </sheetViews>
  <sheetFormatPr defaultRowHeight="11.5" x14ac:dyDescent="0.25"/>
  <cols>
    <col min="1" max="1" width="4.08203125" style="32" customWidth="1"/>
    <col min="2" max="2" width="6.4140625" style="32" customWidth="1"/>
    <col min="3" max="12" width="5.9140625" style="32" customWidth="1"/>
    <col min="13" max="13" width="6.4140625" style="32" customWidth="1"/>
    <col min="14" max="14" width="5.9140625" style="32" customWidth="1"/>
    <col min="15" max="15" width="5.4140625" style="32" customWidth="1"/>
    <col min="16" max="16" width="4.9140625" style="32" customWidth="1"/>
    <col min="17" max="17" width="5.58203125" style="32" customWidth="1"/>
    <col min="18" max="18" width="9.9140625" style="32" customWidth="1"/>
    <col min="19" max="19" width="9.9140625" style="33" customWidth="1"/>
    <col min="20" max="16384" width="8.6640625" style="14"/>
  </cols>
  <sheetData>
    <row r="1" spans="19:19" s="13" customFormat="1" ht="26.5" customHeight="1" x14ac:dyDescent="0.3">
      <c r="S1" s="12"/>
    </row>
    <row r="29" spans="1:19" ht="12" thickBot="1" x14ac:dyDescent="0.3"/>
    <row r="30" spans="1:19" s="15" customFormat="1" ht="25" customHeight="1" thickBot="1" x14ac:dyDescent="0.3">
      <c r="A30" s="19" t="s">
        <v>20</v>
      </c>
      <c r="B30" s="74" t="s">
        <v>49</v>
      </c>
      <c r="C30" s="20" t="s">
        <v>96</v>
      </c>
      <c r="D30" s="19" t="s">
        <v>30</v>
      </c>
      <c r="E30" s="19" t="s">
        <v>93</v>
      </c>
      <c r="F30" s="19" t="s">
        <v>19</v>
      </c>
      <c r="G30" s="19" t="s">
        <v>101</v>
      </c>
      <c r="H30" s="19" t="s">
        <v>54</v>
      </c>
      <c r="I30" s="19" t="s">
        <v>90</v>
      </c>
      <c r="J30" s="19" t="s">
        <v>29</v>
      </c>
      <c r="K30" s="19" t="s">
        <v>46</v>
      </c>
      <c r="L30" s="19" t="s">
        <v>47</v>
      </c>
      <c r="M30" s="20" t="s">
        <v>28</v>
      </c>
      <c r="N30" s="19" t="s">
        <v>133</v>
      </c>
      <c r="O30" s="19" t="s">
        <v>48</v>
      </c>
      <c r="P30" s="19" t="s">
        <v>91</v>
      </c>
      <c r="Q30" s="20" t="s">
        <v>95</v>
      </c>
      <c r="R30" s="90" t="s">
        <v>94</v>
      </c>
      <c r="S30" s="91"/>
    </row>
    <row r="31" spans="1:19" ht="15" customHeight="1" x14ac:dyDescent="0.25">
      <c r="A31" s="30" t="s">
        <v>43</v>
      </c>
      <c r="B31" s="75">
        <f>SUM(B32:B44)</f>
        <v>124818.58000000002</v>
      </c>
      <c r="C31" s="57">
        <f>SUM(C32:C44)</f>
        <v>28861.800000000007</v>
      </c>
      <c r="D31" s="53">
        <f>SUM(D32:D44)</f>
        <v>4514</v>
      </c>
      <c r="E31" s="53">
        <f>SUM(E32:E44)</f>
        <v>6615.7</v>
      </c>
      <c r="F31" s="53">
        <f t="shared" ref="F31:G31" si="0">SUM(F32:F44)</f>
        <v>17604</v>
      </c>
      <c r="G31" s="53">
        <f t="shared" si="0"/>
        <v>10856</v>
      </c>
      <c r="H31" s="53">
        <f t="shared" ref="H31" si="1">SUM(H32:H44)</f>
        <v>11463</v>
      </c>
      <c r="I31" s="53">
        <f>SUM(I32:I44)</f>
        <v>1131.72</v>
      </c>
      <c r="J31" s="53">
        <f>SUM(J32:J44)</f>
        <v>3574.7599999999998</v>
      </c>
      <c r="K31" s="61">
        <f>SUM(K32:K44)</f>
        <v>7800</v>
      </c>
      <c r="L31" s="65">
        <f>SUM(L32:L44)</f>
        <v>96668.060000000012</v>
      </c>
      <c r="M31" s="42">
        <f>LOOKUP(1,0/(ISNUMBER(M32:M44)),M32:M44)</f>
        <v>24669.329999999998</v>
      </c>
      <c r="N31" s="43">
        <f>M31</f>
        <v>24669.329999999998</v>
      </c>
      <c r="O31" s="43">
        <f>SUM(O32:O44)</f>
        <v>506.68</v>
      </c>
      <c r="P31" s="47"/>
      <c r="Q31" s="48"/>
      <c r="R31" s="92" t="s">
        <v>98</v>
      </c>
      <c r="S31" s="93"/>
    </row>
    <row r="32" spans="1:19" ht="15" customHeight="1" x14ac:dyDescent="0.25">
      <c r="A32" s="29" t="s">
        <v>36</v>
      </c>
      <c r="B32" s="76">
        <v>70874</v>
      </c>
      <c r="C32" s="58">
        <v>22938</v>
      </c>
      <c r="D32" s="54">
        <v>2475</v>
      </c>
      <c r="E32" s="54">
        <f>1564+2080</f>
        <v>3644</v>
      </c>
      <c r="F32" s="54">
        <v>10829</v>
      </c>
      <c r="G32" s="54">
        <v>8695</v>
      </c>
      <c r="H32" s="54">
        <v>464</v>
      </c>
      <c r="I32" s="54">
        <v>0</v>
      </c>
      <c r="J32" s="54">
        <v>211</v>
      </c>
      <c r="K32" s="62">
        <v>8650</v>
      </c>
      <c r="L32" s="66">
        <v>64023</v>
      </c>
      <c r="M32" s="31">
        <v>16333.37</v>
      </c>
      <c r="N32" s="82">
        <f>M32</f>
        <v>16333.37</v>
      </c>
      <c r="O32" s="34">
        <v>89</v>
      </c>
      <c r="P32" s="34">
        <f>O32/M32*1000</f>
        <v>5.4489673594610295</v>
      </c>
      <c r="Q32" s="71">
        <f>(C32+E32)/L32*100</f>
        <v>41.519453946238073</v>
      </c>
      <c r="R32" s="94">
        <f ca="1">DATEDIF(NOW(),"2074/3/22","y")</f>
        <v>54</v>
      </c>
      <c r="S32" s="95"/>
    </row>
    <row r="33" spans="1:24" ht="15" customHeight="1" x14ac:dyDescent="0.25">
      <c r="A33" s="17" t="s">
        <v>34</v>
      </c>
      <c r="B33" s="77">
        <v>7071.97</v>
      </c>
      <c r="C33" s="59">
        <f>L33-SUM(D33:K33)</f>
        <v>1344.5099999999991</v>
      </c>
      <c r="D33" s="55">
        <v>0</v>
      </c>
      <c r="E33" s="55">
        <f>96+10</f>
        <v>106</v>
      </c>
      <c r="F33" s="55">
        <v>976</v>
      </c>
      <c r="G33" s="55">
        <v>0</v>
      </c>
      <c r="H33" s="55">
        <v>0</v>
      </c>
      <c r="I33" s="55">
        <f>115+12</f>
        <v>127</v>
      </c>
      <c r="J33" s="55">
        <f>29.9+69*2+10+17+19.9+18+20+400</f>
        <v>652.79999999999995</v>
      </c>
      <c r="K33" s="38">
        <v>-350</v>
      </c>
      <c r="L33" s="67">
        <f>M32+B33-M33-K33+O33</f>
        <v>2856.309999999999</v>
      </c>
      <c r="M33" s="35">
        <f>639.58+135+20154.47+37.76</f>
        <v>20966.810000000001</v>
      </c>
      <c r="N33" s="83">
        <f t="shared" ref="N33:N38" si="2">M33-M32</f>
        <v>4633.4400000000005</v>
      </c>
      <c r="O33" s="36">
        <v>67.78</v>
      </c>
      <c r="P33" s="36">
        <f>O33/20148.55*1000</f>
        <v>3.3640137875926559</v>
      </c>
      <c r="Q33" s="72">
        <f t="shared" ref="Q33:Q39" si="3">C33/L33*100</f>
        <v>47.071571363052314</v>
      </c>
      <c r="R33" s="94"/>
      <c r="S33" s="95"/>
    </row>
    <row r="34" spans="1:24" ht="15" customHeight="1" x14ac:dyDescent="0.25">
      <c r="A34" s="17" t="s">
        <v>35</v>
      </c>
      <c r="B34" s="77">
        <v>7556.97</v>
      </c>
      <c r="C34" s="59">
        <f>L34-SUM(D34:J34)</f>
        <v>344.44999999999936</v>
      </c>
      <c r="D34" s="55">
        <f>30</f>
        <v>30</v>
      </c>
      <c r="E34" s="55">
        <f>155+103+133</f>
        <v>391</v>
      </c>
      <c r="F34" s="55">
        <v>893</v>
      </c>
      <c r="G34" s="55">
        <v>15</v>
      </c>
      <c r="H34" s="55">
        <f>199+1000</f>
        <v>1199</v>
      </c>
      <c r="I34" s="55">
        <f>26.96+100+25.12+21.21</f>
        <v>173.29000000000002</v>
      </c>
      <c r="J34" s="55">
        <f>52.9+26.96+69+28+19.9+8.6</f>
        <v>205.36</v>
      </c>
      <c r="K34" s="38">
        <v>0</v>
      </c>
      <c r="L34" s="67">
        <f>(200+168+100+100+100+100+20+20+185)+M33+B34-M34+O34</f>
        <v>3251.0999999999995</v>
      </c>
      <c r="M34" s="35">
        <f>19234.93+448.24+6663.97</f>
        <v>26347.140000000003</v>
      </c>
      <c r="N34" s="83">
        <f t="shared" si="2"/>
        <v>5380.3300000000017</v>
      </c>
      <c r="O34" s="36">
        <f>81.46</f>
        <v>81.459999999999994</v>
      </c>
      <c r="P34" s="36">
        <f>O34/18734.91*1000</f>
        <v>4.348032629993952</v>
      </c>
      <c r="Q34" s="72">
        <f t="shared" si="3"/>
        <v>10.594875580572712</v>
      </c>
      <c r="R34" s="21" t="s">
        <v>100</v>
      </c>
      <c r="S34" s="22" t="s">
        <v>99</v>
      </c>
      <c r="X34" s="46"/>
    </row>
    <row r="35" spans="1:24" ht="15" customHeight="1" x14ac:dyDescent="0.25">
      <c r="A35" s="17" t="s">
        <v>33</v>
      </c>
      <c r="B35" s="77">
        <v>0</v>
      </c>
      <c r="C35" s="59">
        <f>L35-SUM(D35:K35)</f>
        <v>866.02000000000407</v>
      </c>
      <c r="D35" s="55">
        <v>9.9</v>
      </c>
      <c r="E35" s="55">
        <f>150+720+30</f>
        <v>900</v>
      </c>
      <c r="F35" s="55">
        <v>989</v>
      </c>
      <c r="G35" s="55">
        <v>0</v>
      </c>
      <c r="H35" s="55">
        <v>9800</v>
      </c>
      <c r="I35" s="55">
        <f>29.48</f>
        <v>29.48</v>
      </c>
      <c r="J35" s="55">
        <f>19.7+14.4+5+20+10+18+8+93.1</f>
        <v>188.2</v>
      </c>
      <c r="K35" s="38">
        <v>-350</v>
      </c>
      <c r="L35" s="67">
        <f>M34-M35+O35</f>
        <v>12432.600000000004</v>
      </c>
      <c r="M35" s="35">
        <f>179.11+13769.3</f>
        <v>13948.41</v>
      </c>
      <c r="N35" s="83">
        <f t="shared" si="2"/>
        <v>-12398.730000000003</v>
      </c>
      <c r="O35" s="36">
        <f>33.87</f>
        <v>33.869999999999997</v>
      </c>
      <c r="P35" s="36">
        <f>O35/13769.16*1000</f>
        <v>2.4598450450136391</v>
      </c>
      <c r="Q35" s="72">
        <f t="shared" si="3"/>
        <v>6.9657191576983397</v>
      </c>
      <c r="R35" s="88">
        <f ca="1">DATEDIF(NOW(),"2059/3/22","y")</f>
        <v>39</v>
      </c>
      <c r="S35" s="89">
        <f ca="1">DATEDIF(NOW(),"2029/3/22","y")</f>
        <v>9</v>
      </c>
    </row>
    <row r="36" spans="1:24" ht="15" customHeight="1" x14ac:dyDescent="0.25">
      <c r="A36" s="17" t="s">
        <v>21</v>
      </c>
      <c r="B36" s="77">
        <v>11351.74</v>
      </c>
      <c r="C36" s="59">
        <f>L36-SUM(D36:J36)</f>
        <v>1140.349999999999</v>
      </c>
      <c r="D36" s="55">
        <f>638+7.9*2</f>
        <v>653.79999999999995</v>
      </c>
      <c r="E36" s="55">
        <v>0</v>
      </c>
      <c r="F36" s="55">
        <v>956</v>
      </c>
      <c r="G36" s="55">
        <v>0</v>
      </c>
      <c r="H36" s="55">
        <v>0</v>
      </c>
      <c r="I36" s="55">
        <f>24.53+50</f>
        <v>74.53</v>
      </c>
      <c r="J36" s="55">
        <f>56+20.5+35+79.2+60+19.9</f>
        <v>270.59999999999997</v>
      </c>
      <c r="K36" s="38">
        <v>-350</v>
      </c>
      <c r="L36" s="67">
        <f>M35+B36-M36-K36+O36</f>
        <v>3095.2799999999988</v>
      </c>
      <c r="M36" s="35">
        <f>1940.31+20629.97</f>
        <v>22570.280000000002</v>
      </c>
      <c r="N36" s="83">
        <f t="shared" si="2"/>
        <v>8621.8700000000026</v>
      </c>
      <c r="O36" s="36">
        <v>15.41</v>
      </c>
      <c r="P36" s="36">
        <f>O36/20633.2*1000</f>
        <v>0.7468545838745323</v>
      </c>
      <c r="Q36" s="72">
        <f t="shared" si="3"/>
        <v>36.841578144788173</v>
      </c>
      <c r="R36" s="88"/>
      <c r="S36" s="89"/>
    </row>
    <row r="37" spans="1:24" ht="15" customHeight="1" x14ac:dyDescent="0.25">
      <c r="A37" s="17" t="s">
        <v>22</v>
      </c>
      <c r="B37" s="77">
        <v>0</v>
      </c>
      <c r="C37" s="59">
        <f>L37-SUM(D37:J37)</f>
        <v>1151.8700000000017</v>
      </c>
      <c r="D37" s="55">
        <f>333+24+19.9+429.6</f>
        <v>806.5</v>
      </c>
      <c r="E37" s="55">
        <f>103+92+83</f>
        <v>278</v>
      </c>
      <c r="F37" s="55">
        <v>963</v>
      </c>
      <c r="G37" s="55">
        <f>481+60</f>
        <v>541</v>
      </c>
      <c r="H37" s="55">
        <v>0</v>
      </c>
      <c r="I37" s="55">
        <f>6*8+2+2+29.1</f>
        <v>81.099999999999994</v>
      </c>
      <c r="J37" s="55">
        <f>56.9+10+60+17+6+9.6+35+5</f>
        <v>199.5</v>
      </c>
      <c r="K37" s="38">
        <v>-400</v>
      </c>
      <c r="L37" s="67">
        <f>M36+B37-M37-K37+O37</f>
        <v>4020.9700000000016</v>
      </c>
      <c r="M37" s="35">
        <f>1796.89+17691.31-481</f>
        <v>19007.2</v>
      </c>
      <c r="N37" s="83">
        <f t="shared" si="2"/>
        <v>-3563.0800000000017</v>
      </c>
      <c r="O37" s="36">
        <v>57.89</v>
      </c>
      <c r="P37" s="36">
        <f>O37/17692.32*1000</f>
        <v>3.2720412020582943</v>
      </c>
      <c r="Q37" s="72">
        <f t="shared" si="3"/>
        <v>28.646570354914392</v>
      </c>
      <c r="R37" s="21" t="s">
        <v>97</v>
      </c>
      <c r="S37" s="22" t="s">
        <v>141</v>
      </c>
    </row>
    <row r="38" spans="1:24" ht="15" customHeight="1" x14ac:dyDescent="0.25">
      <c r="A38" s="17" t="s">
        <v>23</v>
      </c>
      <c r="B38" s="77">
        <v>3520</v>
      </c>
      <c r="C38" s="59">
        <f>L38-SUM(D38:J38)</f>
        <v>657.94999999999982</v>
      </c>
      <c r="D38" s="55">
        <f>28+20+85</f>
        <v>133</v>
      </c>
      <c r="E38" s="55">
        <f>39+12+117+243+196+57.7</f>
        <v>664.7</v>
      </c>
      <c r="F38" s="55">
        <v>959</v>
      </c>
      <c r="G38" s="55">
        <v>60</v>
      </c>
      <c r="H38" s="55">
        <v>0</v>
      </c>
      <c r="I38" s="55">
        <f>100+37.5*2+6*4+35+23.98+20.63+6*5+10+5+26.69+100+6</f>
        <v>456.3</v>
      </c>
      <c r="J38" s="55">
        <f>576+9+178+33.9+17.4+11.8+15+4+88</f>
        <v>933.09999999999991</v>
      </c>
      <c r="K38" s="38">
        <v>-400</v>
      </c>
      <c r="L38" s="67">
        <f>M37+B38-M38-K38+O38</f>
        <v>3864.0499999999997</v>
      </c>
      <c r="M38" s="35">
        <f>1454.32+17760.97-85</f>
        <v>19130.29</v>
      </c>
      <c r="N38" s="83">
        <f t="shared" si="2"/>
        <v>123.09000000000015</v>
      </c>
      <c r="O38" s="36">
        <v>67.14</v>
      </c>
      <c r="P38" s="36">
        <f>O38/17692.32*1000</f>
        <v>3.7948669253099649</v>
      </c>
      <c r="Q38" s="72">
        <f t="shared" si="3"/>
        <v>17.027471176615204</v>
      </c>
      <c r="R38" s="88">
        <f ca="1">DATEDIF("2017/6/1",NOW(),"y")</f>
        <v>2</v>
      </c>
      <c r="S38" s="89">
        <f ca="1">DATEDIF(NOW(),"2019/12/31","m")</f>
        <v>4</v>
      </c>
    </row>
    <row r="39" spans="1:24" ht="15" customHeight="1" x14ac:dyDescent="0.25">
      <c r="A39" s="17" t="s">
        <v>24</v>
      </c>
      <c r="B39" s="77">
        <v>10069.66</v>
      </c>
      <c r="C39" s="59">
        <f>L39-SUM(D39:J39)</f>
        <v>418.65000000000236</v>
      </c>
      <c r="D39" s="55">
        <f>366+39.8</f>
        <v>405.8</v>
      </c>
      <c r="E39" s="55">
        <f>108+102+299+111</f>
        <v>620</v>
      </c>
      <c r="F39" s="55">
        <v>1039</v>
      </c>
      <c r="G39" s="55">
        <f>60+120+40+60</f>
        <v>280</v>
      </c>
      <c r="H39" s="55">
        <v>0</v>
      </c>
      <c r="I39" s="55">
        <f>4*5+4*5+4*5+4*5</f>
        <v>80</v>
      </c>
      <c r="J39" s="55">
        <f>20.9+6.5+30.5+8+6.8+6.8+9.5+35.8+8+4.2+39.3+15+90</f>
        <v>281.3</v>
      </c>
      <c r="K39" s="38">
        <f>-500+2000</f>
        <v>1500</v>
      </c>
      <c r="L39" s="67">
        <f>M38+B39-M39-K39+O39</f>
        <v>3124.7500000000027</v>
      </c>
      <c r="M39" s="35">
        <f>16372.88+660+7636.45</f>
        <v>24669.329999999998</v>
      </c>
      <c r="N39" s="83">
        <f>M39-M38</f>
        <v>5539.0399999999972</v>
      </c>
      <c r="O39" s="36">
        <f>13.13+81</f>
        <v>94.13</v>
      </c>
      <c r="P39" s="36">
        <f>O39/17692.32*1000</f>
        <v>5.3203876032086237</v>
      </c>
      <c r="Q39" s="72">
        <f t="shared" si="3"/>
        <v>13.397871829746444</v>
      </c>
      <c r="R39" s="88"/>
      <c r="S39" s="89"/>
    </row>
    <row r="40" spans="1:24" ht="15" customHeight="1" x14ac:dyDescent="0.25">
      <c r="A40" s="17" t="s">
        <v>25</v>
      </c>
      <c r="B40" s="77">
        <f>10200+9174.24-5000</f>
        <v>14374.239999999998</v>
      </c>
      <c r="C40" s="59"/>
      <c r="D40" s="55"/>
      <c r="E40" s="55">
        <f>12</f>
        <v>12</v>
      </c>
      <c r="F40" s="55"/>
      <c r="G40" s="55">
        <f>60+60+145+1000</f>
        <v>1265</v>
      </c>
      <c r="H40" s="55"/>
      <c r="I40" s="55">
        <f>16.2+24+36.8+33.02</f>
        <v>110.02000000000001</v>
      </c>
      <c r="J40" s="55">
        <f>15+8+21+66.4+420+98+4.5</f>
        <v>632.9</v>
      </c>
      <c r="K40" s="38">
        <f>-500</f>
        <v>-500</v>
      </c>
      <c r="L40" s="67"/>
      <c r="M40" s="35"/>
      <c r="N40" s="83"/>
      <c r="O40" s="36"/>
      <c r="P40" s="36"/>
      <c r="Q40" s="37"/>
      <c r="R40" s="21"/>
      <c r="S40" s="22"/>
    </row>
    <row r="41" spans="1:24" ht="15" customHeight="1" x14ac:dyDescent="0.25">
      <c r="A41" s="17" t="s">
        <v>26</v>
      </c>
      <c r="B41" s="77"/>
      <c r="C41" s="59"/>
      <c r="D41" s="55"/>
      <c r="E41" s="55"/>
      <c r="F41" s="55"/>
      <c r="G41" s="55"/>
      <c r="H41" s="55"/>
      <c r="I41" s="55"/>
      <c r="J41" s="55"/>
      <c r="K41" s="38"/>
      <c r="L41" s="67"/>
      <c r="M41" s="35"/>
      <c r="N41" s="83"/>
      <c r="O41" s="36"/>
      <c r="P41" s="63"/>
      <c r="Q41" s="37"/>
      <c r="R41" s="88"/>
      <c r="S41" s="89"/>
    </row>
    <row r="42" spans="1:24" ht="15" customHeight="1" x14ac:dyDescent="0.25">
      <c r="A42" s="17" t="s">
        <v>27</v>
      </c>
      <c r="B42" s="77"/>
      <c r="C42" s="59"/>
      <c r="D42" s="55" t="s">
        <v>140</v>
      </c>
      <c r="E42" s="55"/>
      <c r="F42" s="55"/>
      <c r="G42" s="55"/>
      <c r="H42" s="55"/>
      <c r="I42" s="55"/>
      <c r="J42" s="55"/>
      <c r="K42" s="38"/>
      <c r="L42" s="67"/>
      <c r="M42" s="35"/>
      <c r="N42" s="83"/>
      <c r="O42" s="36"/>
      <c r="P42" s="63"/>
      <c r="Q42" s="37"/>
      <c r="R42" s="88"/>
      <c r="S42" s="89"/>
    </row>
    <row r="43" spans="1:24" ht="15" customHeight="1" x14ac:dyDescent="0.25">
      <c r="A43" s="17" t="s">
        <v>32</v>
      </c>
      <c r="B43" s="77"/>
      <c r="C43" s="59"/>
      <c r="D43" s="55"/>
      <c r="E43" s="55"/>
      <c r="F43" s="55"/>
      <c r="G43" s="55"/>
      <c r="H43" s="55"/>
      <c r="I43" s="55"/>
      <c r="J43" s="55"/>
      <c r="K43" s="38"/>
      <c r="L43" s="67"/>
      <c r="M43" s="35"/>
      <c r="N43" s="83"/>
      <c r="O43" s="36"/>
      <c r="P43" s="63"/>
      <c r="Q43" s="37"/>
      <c r="R43" s="21"/>
      <c r="S43" s="24"/>
    </row>
    <row r="44" spans="1:24" s="16" customFormat="1" ht="16" customHeight="1" thickBot="1" x14ac:dyDescent="0.35">
      <c r="A44" s="17" t="s">
        <v>31</v>
      </c>
      <c r="B44" s="77"/>
      <c r="C44" s="60"/>
      <c r="D44" s="55"/>
      <c r="E44" s="55"/>
      <c r="F44" s="55"/>
      <c r="G44" s="55"/>
      <c r="H44" s="55"/>
      <c r="I44" s="55"/>
      <c r="J44" s="55"/>
      <c r="K44" s="38"/>
      <c r="L44" s="67"/>
      <c r="M44" s="35"/>
      <c r="N44" s="83"/>
      <c r="O44" s="36"/>
      <c r="P44" s="63"/>
      <c r="Q44" s="37"/>
      <c r="R44" s="88"/>
      <c r="S44" s="24"/>
    </row>
    <row r="45" spans="1:24" s="25" customFormat="1" ht="16" customHeight="1" thickTop="1" x14ac:dyDescent="0.3">
      <c r="A45" s="18" t="s">
        <v>92</v>
      </c>
      <c r="B45" s="78">
        <f>AVERAGE(B33:B44)</f>
        <v>6743.0724999999993</v>
      </c>
      <c r="C45" s="56">
        <f t="shared" ref="C45:F45" si="4">AVERAGE(C33:C44)</f>
        <v>846.25714285714355</v>
      </c>
      <c r="D45" s="56">
        <f>AVERAGE(D33:D44)</f>
        <v>291.28571428571428</v>
      </c>
      <c r="E45" s="56">
        <f>AVERAGE(E33:E44)</f>
        <v>371.46249999999998</v>
      </c>
      <c r="F45" s="56">
        <f t="shared" si="4"/>
        <v>967.85714285714289</v>
      </c>
      <c r="G45" s="56">
        <f t="shared" ref="G45:L45" si="5">AVERAGE(G33:G44)</f>
        <v>270.125</v>
      </c>
      <c r="H45" s="56">
        <f t="shared" si="5"/>
        <v>1571.2857142857142</v>
      </c>
      <c r="I45" s="56">
        <f t="shared" si="5"/>
        <v>141.465</v>
      </c>
      <c r="J45" s="56">
        <f t="shared" si="5"/>
        <v>420.46999999999997</v>
      </c>
      <c r="K45" s="44">
        <f t="shared" si="5"/>
        <v>-106.25</v>
      </c>
      <c r="L45" s="68">
        <f t="shared" si="5"/>
        <v>4663.5800000000008</v>
      </c>
      <c r="M45" s="39">
        <f>AVERAGE(M33:M44)</f>
        <v>20948.494285714285</v>
      </c>
      <c r="N45" s="84">
        <f>AVERAGE(N33:N44)</f>
        <v>1190.8514285714282</v>
      </c>
      <c r="O45" s="52">
        <f>AVERAGE(O33:O44)</f>
        <v>59.668571428571433</v>
      </c>
      <c r="P45" s="64">
        <f>AVERAGE(P33:P44)</f>
        <v>3.3294345395788087</v>
      </c>
      <c r="Q45" s="49"/>
      <c r="R45" s="88"/>
      <c r="S45" s="24"/>
    </row>
    <row r="46" spans="1:24" ht="16" customHeight="1" x14ac:dyDescent="0.25">
      <c r="A46" s="18" t="s">
        <v>45</v>
      </c>
      <c r="B46" s="78">
        <f>SUM(B33:B44)</f>
        <v>53944.579999999994</v>
      </c>
      <c r="C46" s="56">
        <f>SUM(C33:C44)</f>
        <v>5923.8000000000047</v>
      </c>
      <c r="D46" s="56">
        <f>SUM(D33:D44)</f>
        <v>2038.9999999999998</v>
      </c>
      <c r="E46" s="56">
        <f>SUM(E33:E44)</f>
        <v>2971.7</v>
      </c>
      <c r="F46" s="56">
        <f t="shared" ref="F46" si="6">SUM(F33:F44)</f>
        <v>6775</v>
      </c>
      <c r="G46" s="56">
        <f t="shared" ref="G46:L46" si="7">SUM(G33:G44)</f>
        <v>2161</v>
      </c>
      <c r="H46" s="56">
        <f t="shared" si="7"/>
        <v>10999</v>
      </c>
      <c r="I46" s="56">
        <f t="shared" si="7"/>
        <v>1131.72</v>
      </c>
      <c r="J46" s="56">
        <f t="shared" si="7"/>
        <v>3363.7599999999998</v>
      </c>
      <c r="K46" s="44">
        <f t="shared" si="7"/>
        <v>-850</v>
      </c>
      <c r="L46" s="68">
        <f t="shared" si="7"/>
        <v>32645.060000000005</v>
      </c>
      <c r="M46" s="86"/>
      <c r="N46" s="84">
        <f>SUM(N33:N44)</f>
        <v>8335.9599999999973</v>
      </c>
      <c r="O46" s="52">
        <f>SUM(O33:O44)</f>
        <v>417.68</v>
      </c>
      <c r="P46" s="49"/>
      <c r="Q46" s="73">
        <f>C46/L46*100</f>
        <v>18.14608397105107</v>
      </c>
      <c r="R46" s="23"/>
      <c r="S46" s="24"/>
    </row>
    <row r="47" spans="1:24" hidden="1" x14ac:dyDescent="0.25">
      <c r="A47" s="40"/>
      <c r="B47" s="40"/>
      <c r="C47" s="40"/>
      <c r="F47" s="40"/>
      <c r="G47" s="40"/>
      <c r="I47" s="40"/>
      <c r="K47" s="40"/>
      <c r="R47" s="32">
        <f>DATEDIF("1994/3/22","2064/3/22","y")</f>
        <v>70</v>
      </c>
    </row>
    <row r="48" spans="1:24" ht="8.5" customHeight="1" x14ac:dyDescent="0.25"/>
    <row r="50" spans="3:11" x14ac:dyDescent="0.25">
      <c r="C50" s="51"/>
      <c r="D50" s="69"/>
      <c r="F50" s="51"/>
      <c r="H50" s="51"/>
    </row>
    <row r="51" spans="3:11" s="14" customFormat="1" x14ac:dyDescent="0.25">
      <c r="C51" s="32"/>
      <c r="D51" s="32"/>
      <c r="F51" s="32"/>
      <c r="G51" s="32"/>
      <c r="H51" s="32"/>
      <c r="I51" s="32"/>
      <c r="J51" s="41"/>
      <c r="K51" s="32"/>
    </row>
    <row r="52" spans="3:11" s="14" customFormat="1" x14ac:dyDescent="0.25">
      <c r="C52" s="32"/>
      <c r="D52" s="32"/>
      <c r="F52" s="32"/>
      <c r="G52" s="32"/>
      <c r="H52" s="32"/>
      <c r="I52" s="32"/>
      <c r="J52" s="41"/>
      <c r="K52" s="32"/>
    </row>
    <row r="53" spans="3:11" s="14" customFormat="1" x14ac:dyDescent="0.25">
      <c r="C53" s="32"/>
      <c r="D53" s="32"/>
      <c r="F53" s="32"/>
      <c r="G53" s="32"/>
      <c r="H53" s="32"/>
      <c r="I53" s="32"/>
      <c r="J53" s="41"/>
      <c r="K53" s="32"/>
    </row>
    <row r="54" spans="3:11" s="14" customFormat="1" x14ac:dyDescent="0.25">
      <c r="C54" s="32"/>
      <c r="D54" s="32"/>
      <c r="F54" s="32"/>
      <c r="G54" s="32"/>
      <c r="H54" s="32"/>
      <c r="I54" s="32"/>
      <c r="J54" s="32"/>
      <c r="K54" s="32"/>
    </row>
    <row r="55" spans="3:11" s="14" customFormat="1" x14ac:dyDescent="0.25">
      <c r="C55" s="32"/>
      <c r="D55" s="32"/>
      <c r="F55" s="32"/>
      <c r="G55" s="32"/>
      <c r="H55" s="32"/>
      <c r="I55" s="32"/>
      <c r="J55" s="32"/>
      <c r="K55" s="32"/>
    </row>
    <row r="56" spans="3:11" s="14" customFormat="1" x14ac:dyDescent="0.25">
      <c r="C56" s="32"/>
      <c r="D56" s="32"/>
      <c r="F56" s="32"/>
      <c r="G56" s="32"/>
      <c r="H56" s="32"/>
      <c r="I56" s="32"/>
      <c r="J56" s="32"/>
      <c r="K56" s="32"/>
    </row>
    <row r="57" spans="3:11" s="14" customFormat="1" x14ac:dyDescent="0.25">
      <c r="C57" s="32"/>
      <c r="D57" s="32"/>
      <c r="F57" s="32"/>
      <c r="G57" s="32"/>
      <c r="H57" s="32"/>
      <c r="I57" s="45"/>
      <c r="J57" s="32"/>
      <c r="K57" s="45"/>
    </row>
    <row r="58" spans="3:11" s="14" customFormat="1" x14ac:dyDescent="0.25">
      <c r="C58" s="32"/>
      <c r="D58" s="32"/>
      <c r="F58" s="32"/>
      <c r="G58" s="32"/>
      <c r="H58" s="32"/>
      <c r="I58" s="45"/>
      <c r="J58" s="32"/>
      <c r="K58" s="32"/>
    </row>
    <row r="59" spans="3:11" s="14" customFormat="1" x14ac:dyDescent="0.25">
      <c r="C59" s="32"/>
      <c r="D59" s="32"/>
      <c r="F59" s="32"/>
      <c r="G59" s="32"/>
      <c r="H59" s="32"/>
      <c r="I59" s="45"/>
      <c r="J59" s="32"/>
      <c r="K59" s="32"/>
    </row>
    <row r="60" spans="3:11" s="14" customFormat="1" x14ac:dyDescent="0.25">
      <c r="C60" s="32"/>
      <c r="D60" s="32"/>
      <c r="F60" s="32"/>
      <c r="G60" s="32"/>
      <c r="H60" s="32"/>
      <c r="I60" s="45"/>
      <c r="J60" s="32"/>
      <c r="K60" s="45"/>
    </row>
    <row r="61" spans="3:11" s="14" customFormat="1" x14ac:dyDescent="0.25">
      <c r="C61" s="32"/>
      <c r="D61" s="32"/>
      <c r="F61" s="32"/>
      <c r="G61" s="32"/>
      <c r="H61" s="32"/>
      <c r="I61" s="45"/>
      <c r="J61" s="32"/>
      <c r="K61" s="45"/>
    </row>
    <row r="62" spans="3:11" s="14" customFormat="1" x14ac:dyDescent="0.25">
      <c r="C62" s="70"/>
      <c r="D62" s="70"/>
      <c r="F62" s="32"/>
      <c r="G62" s="32"/>
      <c r="H62" s="70"/>
      <c r="I62" s="45"/>
      <c r="J62" s="32"/>
      <c r="K62" s="32"/>
    </row>
    <row r="63" spans="3:11" s="14" customFormat="1" x14ac:dyDescent="0.25">
      <c r="C63" s="32"/>
      <c r="D63" s="32"/>
      <c r="F63" s="32"/>
      <c r="G63" s="32"/>
      <c r="H63" s="32"/>
      <c r="I63" s="45"/>
      <c r="J63" s="32"/>
      <c r="K63" s="32"/>
    </row>
    <row r="64" spans="3:11" s="14" customFormat="1" x14ac:dyDescent="0.25">
      <c r="C64" s="32"/>
      <c r="D64" s="32"/>
      <c r="F64" s="32"/>
      <c r="G64" s="32"/>
      <c r="H64" s="32"/>
      <c r="I64" s="32"/>
      <c r="J64" s="32"/>
      <c r="K64" s="32"/>
    </row>
    <row r="65" spans="1:19" x14ac:dyDescent="0.25">
      <c r="A65" s="14"/>
      <c r="B65" s="14"/>
      <c r="C65" s="70"/>
      <c r="D65" s="70"/>
      <c r="F65" s="70"/>
      <c r="H65" s="70"/>
      <c r="O65" s="14"/>
      <c r="P65" s="14"/>
      <c r="Q65" s="14"/>
      <c r="R65" s="14"/>
      <c r="S65" s="14"/>
    </row>
    <row r="66" spans="1:19" x14ac:dyDescent="0.25">
      <c r="A66" s="14"/>
      <c r="B66" s="14"/>
      <c r="C66" s="70"/>
      <c r="D66" s="70"/>
      <c r="H66" s="70"/>
      <c r="O66" s="14"/>
      <c r="P66" s="14"/>
      <c r="Q66" s="14"/>
      <c r="R66" s="14"/>
      <c r="S66" s="14"/>
    </row>
    <row r="67" spans="1:19" x14ac:dyDescent="0.25">
      <c r="A67" s="14"/>
      <c r="B67" s="14"/>
      <c r="O67" s="14"/>
      <c r="P67" s="14"/>
      <c r="Q67" s="14"/>
      <c r="R67" s="14"/>
      <c r="S67" s="14"/>
    </row>
    <row r="69" spans="1:19" x14ac:dyDescent="0.25">
      <c r="S69" s="32"/>
    </row>
    <row r="70" spans="1:19" x14ac:dyDescent="0.25">
      <c r="S70" s="32"/>
    </row>
    <row r="71" spans="1:19" x14ac:dyDescent="0.25">
      <c r="A71" s="14"/>
      <c r="B71" s="14"/>
      <c r="C71" s="51"/>
      <c r="D71" s="51"/>
      <c r="F71" s="51"/>
      <c r="H71" s="51"/>
      <c r="M71" s="33"/>
      <c r="N71" s="85"/>
      <c r="O71" s="14"/>
      <c r="P71" s="14"/>
      <c r="Q71" s="14"/>
      <c r="R71" s="14"/>
      <c r="S71" s="14"/>
    </row>
    <row r="72" spans="1:19" x14ac:dyDescent="0.25">
      <c r="A72" s="14"/>
      <c r="B72" s="14"/>
      <c r="C72" s="51"/>
      <c r="D72" s="51"/>
      <c r="F72" s="51"/>
      <c r="H72" s="51"/>
      <c r="O72" s="14"/>
      <c r="P72" s="14"/>
      <c r="Q72" s="14"/>
      <c r="R72" s="14"/>
      <c r="S72" s="14"/>
    </row>
  </sheetData>
  <mergeCells count="10">
    <mergeCell ref="R44:R45"/>
    <mergeCell ref="R41:R42"/>
    <mergeCell ref="S41:S42"/>
    <mergeCell ref="R38:R39"/>
    <mergeCell ref="R30:S30"/>
    <mergeCell ref="R35:R36"/>
    <mergeCell ref="S35:S36"/>
    <mergeCell ref="S38:S39"/>
    <mergeCell ref="R31:S31"/>
    <mergeCell ref="R32:S33"/>
  </mergeCells>
  <phoneticPr fontId="1" type="noConversion"/>
  <conditionalFormatting sqref="R32 R4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{8A25278A-21BA-47EA-8F72-15A4A88BFAF7}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M31 C34:C35" formula="1"/>
    <ignoredError sqref="B45:B46 F46 D45:D46 F45:H45 G46:H46 K45:L46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5278A-21BA-47EA-8F72-15A4A88BFA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R32 R47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4632-5F36-4435-9129-C9F51CF85E2C}">
  <sheetPr>
    <tabColor theme="0"/>
  </sheetPr>
  <dimension ref="A1:N45"/>
  <sheetViews>
    <sheetView workbookViewId="0">
      <selection activeCell="K11" sqref="K11"/>
    </sheetView>
  </sheetViews>
  <sheetFormatPr defaultRowHeight="14" x14ac:dyDescent="0.3"/>
  <cols>
    <col min="1" max="4" width="9.9140625" customWidth="1"/>
    <col min="5" max="5" width="6.1640625" customWidth="1"/>
    <col min="6" max="6" width="6.83203125" style="11" customWidth="1"/>
    <col min="7" max="7" width="4.83203125" style="11" customWidth="1"/>
    <col min="8" max="8" width="1.9140625" style="120" customWidth="1"/>
    <col min="9" max="9" width="21.9140625" customWidth="1"/>
    <col min="10" max="10" width="8.5" customWidth="1"/>
    <col min="11" max="12" width="9.5" customWidth="1"/>
    <col min="14" max="14" width="17.6640625" customWidth="1"/>
  </cols>
  <sheetData>
    <row r="1" spans="1:14" x14ac:dyDescent="0.3">
      <c r="A1" s="108" t="s">
        <v>42</v>
      </c>
      <c r="B1" s="109"/>
      <c r="C1" s="109"/>
      <c r="D1" s="109"/>
      <c r="E1" s="110"/>
      <c r="F1" s="28" t="s">
        <v>53</v>
      </c>
      <c r="G1" s="50" t="s">
        <v>103</v>
      </c>
      <c r="I1" s="87" t="s">
        <v>127</v>
      </c>
      <c r="J1" s="87"/>
      <c r="K1" s="87"/>
      <c r="L1" s="87"/>
      <c r="M1" s="87"/>
      <c r="N1" s="87"/>
    </row>
    <row r="2" spans="1:14" x14ac:dyDescent="0.3">
      <c r="A2" s="102" t="s">
        <v>88</v>
      </c>
      <c r="B2" s="103"/>
      <c r="C2" s="103"/>
      <c r="D2" s="103"/>
      <c r="E2" s="104"/>
      <c r="F2" s="79"/>
      <c r="G2" s="79"/>
      <c r="I2" s="27" t="s">
        <v>128</v>
      </c>
      <c r="J2" s="27" t="s">
        <v>130</v>
      </c>
      <c r="K2" s="27" t="s">
        <v>131</v>
      </c>
      <c r="L2" s="27" t="s">
        <v>132</v>
      </c>
      <c r="M2" s="27" t="s">
        <v>103</v>
      </c>
      <c r="N2" s="27" t="s">
        <v>113</v>
      </c>
    </row>
    <row r="3" spans="1:14" x14ac:dyDescent="0.3">
      <c r="A3" s="96" t="s">
        <v>51</v>
      </c>
      <c r="B3" s="97"/>
      <c r="C3" s="97"/>
      <c r="D3" s="97"/>
      <c r="E3" s="98"/>
      <c r="F3" s="79">
        <v>8.6</v>
      </c>
      <c r="G3" s="79" t="s">
        <v>52</v>
      </c>
      <c r="I3" s="11" t="s">
        <v>129</v>
      </c>
      <c r="J3" s="11">
        <v>8.4</v>
      </c>
      <c r="K3" s="81">
        <v>43681</v>
      </c>
      <c r="L3" s="11"/>
      <c r="M3" s="11" t="s">
        <v>139</v>
      </c>
    </row>
    <row r="4" spans="1:14" x14ac:dyDescent="0.3">
      <c r="A4" s="96" t="s">
        <v>50</v>
      </c>
      <c r="B4" s="97"/>
      <c r="C4" s="97"/>
      <c r="D4" s="97"/>
      <c r="E4" s="98"/>
      <c r="F4" s="79">
        <v>8.8000000000000007</v>
      </c>
      <c r="G4" s="79" t="s">
        <v>52</v>
      </c>
    </row>
    <row r="5" spans="1:14" x14ac:dyDescent="0.3">
      <c r="A5" s="102" t="s">
        <v>37</v>
      </c>
      <c r="B5" s="103"/>
      <c r="C5" s="103"/>
      <c r="D5" s="103"/>
      <c r="E5" s="104"/>
      <c r="F5" s="79"/>
      <c r="G5" s="79"/>
    </row>
    <row r="6" spans="1:14" x14ac:dyDescent="0.3">
      <c r="A6" s="96" t="s">
        <v>39</v>
      </c>
      <c r="B6" s="97"/>
      <c r="C6" s="97"/>
      <c r="D6" s="97"/>
      <c r="E6" s="98"/>
      <c r="F6" s="79">
        <v>8.5</v>
      </c>
      <c r="G6" s="79"/>
    </row>
    <row r="7" spans="1:14" x14ac:dyDescent="0.3">
      <c r="A7" s="96" t="s">
        <v>40</v>
      </c>
      <c r="B7" s="97"/>
      <c r="C7" s="97"/>
      <c r="D7" s="97"/>
      <c r="E7" s="98"/>
      <c r="F7" s="79"/>
      <c r="G7" s="79"/>
    </row>
    <row r="8" spans="1:14" x14ac:dyDescent="0.3">
      <c r="A8" s="96" t="s">
        <v>41</v>
      </c>
      <c r="B8" s="97"/>
      <c r="C8" s="97"/>
      <c r="D8" s="97"/>
      <c r="E8" s="98"/>
      <c r="F8" s="79">
        <v>9.1999999999999993</v>
      </c>
      <c r="G8" s="79" t="s">
        <v>52</v>
      </c>
    </row>
    <row r="9" spans="1:14" x14ac:dyDescent="0.3">
      <c r="A9" s="102" t="s">
        <v>38</v>
      </c>
      <c r="B9" s="103"/>
      <c r="C9" s="103"/>
      <c r="D9" s="103"/>
      <c r="E9" s="104"/>
      <c r="F9" s="79"/>
      <c r="G9" s="79"/>
    </row>
    <row r="10" spans="1:14" x14ac:dyDescent="0.3">
      <c r="A10" s="96" t="s">
        <v>44</v>
      </c>
      <c r="B10" s="97"/>
      <c r="C10" s="97"/>
      <c r="D10" s="97"/>
      <c r="E10" s="98"/>
      <c r="F10" s="79">
        <v>7.4</v>
      </c>
      <c r="G10" s="79" t="s">
        <v>52</v>
      </c>
    </row>
    <row r="11" spans="1:14" x14ac:dyDescent="0.3">
      <c r="A11" s="105"/>
      <c r="B11" s="106"/>
      <c r="C11" s="106"/>
      <c r="D11" s="106"/>
      <c r="E11" s="107"/>
      <c r="F11" s="79"/>
      <c r="G11" s="79"/>
    </row>
    <row r="12" spans="1:14" x14ac:dyDescent="0.3">
      <c r="A12" s="102" t="s">
        <v>68</v>
      </c>
      <c r="B12" s="103"/>
      <c r="C12" s="103"/>
      <c r="D12" s="103"/>
      <c r="E12" s="104"/>
      <c r="F12" s="79"/>
      <c r="G12" s="79"/>
    </row>
    <row r="13" spans="1:14" x14ac:dyDescent="0.3">
      <c r="A13" s="102" t="s">
        <v>69</v>
      </c>
      <c r="B13" s="103"/>
      <c r="C13" s="103"/>
      <c r="D13" s="103"/>
      <c r="E13" s="104"/>
      <c r="F13" s="79"/>
      <c r="G13" s="79"/>
    </row>
    <row r="14" spans="1:14" x14ac:dyDescent="0.3">
      <c r="A14" s="96" t="s">
        <v>83</v>
      </c>
      <c r="B14" s="97"/>
      <c r="C14" s="97"/>
      <c r="D14" s="97"/>
      <c r="E14" s="98"/>
      <c r="F14" s="79">
        <v>7.6</v>
      </c>
      <c r="G14" s="79"/>
    </row>
    <row r="15" spans="1:14" x14ac:dyDescent="0.3">
      <c r="A15" s="96" t="s">
        <v>55</v>
      </c>
      <c r="B15" s="97"/>
      <c r="C15" s="97"/>
      <c r="D15" s="97"/>
      <c r="E15" s="98"/>
      <c r="F15" s="79">
        <v>7.7</v>
      </c>
      <c r="G15" s="79"/>
    </row>
    <row r="16" spans="1:14" x14ac:dyDescent="0.3">
      <c r="A16" s="96" t="s">
        <v>56</v>
      </c>
      <c r="B16" s="97"/>
      <c r="C16" s="97"/>
      <c r="D16" s="97"/>
      <c r="E16" s="98"/>
      <c r="F16" s="79">
        <v>7.9</v>
      </c>
      <c r="G16" s="79" t="s">
        <v>52</v>
      </c>
    </row>
    <row r="17" spans="1:7" x14ac:dyDescent="0.3">
      <c r="A17" s="96" t="s">
        <v>57</v>
      </c>
      <c r="B17" s="97"/>
      <c r="C17" s="97"/>
      <c r="D17" s="97"/>
      <c r="E17" s="98"/>
      <c r="F17" s="79">
        <v>7.5</v>
      </c>
      <c r="G17" s="79"/>
    </row>
    <row r="18" spans="1:7" x14ac:dyDescent="0.3">
      <c r="A18" s="96" t="s">
        <v>58</v>
      </c>
      <c r="B18" s="97"/>
      <c r="C18" s="97"/>
      <c r="D18" s="97"/>
      <c r="E18" s="98"/>
      <c r="F18" s="79">
        <v>7.3</v>
      </c>
      <c r="G18" s="79"/>
    </row>
    <row r="19" spans="1:7" x14ac:dyDescent="0.3">
      <c r="A19" s="102" t="s">
        <v>70</v>
      </c>
      <c r="B19" s="103"/>
      <c r="C19" s="103"/>
      <c r="D19" s="103"/>
      <c r="E19" s="104"/>
      <c r="F19" s="79"/>
      <c r="G19" s="79"/>
    </row>
    <row r="20" spans="1:7" x14ac:dyDescent="0.3">
      <c r="A20" s="96" t="s">
        <v>59</v>
      </c>
      <c r="B20" s="97"/>
      <c r="C20" s="97"/>
      <c r="D20" s="97"/>
      <c r="E20" s="98"/>
      <c r="F20" s="79">
        <v>7.6</v>
      </c>
      <c r="G20" s="79" t="s">
        <v>52</v>
      </c>
    </row>
    <row r="21" spans="1:7" x14ac:dyDescent="0.3">
      <c r="A21" s="96" t="s">
        <v>60</v>
      </c>
      <c r="B21" s="97"/>
      <c r="C21" s="97"/>
      <c r="D21" s="97"/>
      <c r="E21" s="98"/>
      <c r="F21" s="79" t="s">
        <v>84</v>
      </c>
      <c r="G21" s="79" t="s">
        <v>52</v>
      </c>
    </row>
    <row r="22" spans="1:7" x14ac:dyDescent="0.3">
      <c r="A22" s="96" t="s">
        <v>61</v>
      </c>
      <c r="B22" s="97"/>
      <c r="C22" s="97"/>
      <c r="D22" s="97"/>
      <c r="E22" s="98"/>
      <c r="F22" s="79">
        <v>7.3</v>
      </c>
      <c r="G22" s="79"/>
    </row>
    <row r="23" spans="1:7" x14ac:dyDescent="0.3">
      <c r="A23" s="102" t="s">
        <v>71</v>
      </c>
      <c r="B23" s="103"/>
      <c r="C23" s="103"/>
      <c r="D23" s="103"/>
      <c r="E23" s="104"/>
      <c r="F23" s="79"/>
      <c r="G23" s="79"/>
    </row>
    <row r="24" spans="1:7" x14ac:dyDescent="0.3">
      <c r="A24" s="96" t="s">
        <v>85</v>
      </c>
      <c r="B24" s="97"/>
      <c r="C24" s="97"/>
      <c r="D24" s="97"/>
      <c r="E24" s="98"/>
      <c r="F24" s="79">
        <v>7.8</v>
      </c>
      <c r="G24" s="79"/>
    </row>
    <row r="25" spans="1:7" x14ac:dyDescent="0.3">
      <c r="A25" s="96" t="s">
        <v>86</v>
      </c>
      <c r="B25" s="97"/>
      <c r="C25" s="97"/>
      <c r="D25" s="97"/>
      <c r="E25" s="98"/>
      <c r="F25" s="79">
        <v>7.1</v>
      </c>
      <c r="G25" s="79"/>
    </row>
    <row r="26" spans="1:7" x14ac:dyDescent="0.3">
      <c r="A26" s="96" t="s">
        <v>62</v>
      </c>
      <c r="B26" s="97"/>
      <c r="C26" s="97"/>
      <c r="D26" s="97"/>
      <c r="E26" s="98"/>
      <c r="F26" s="79">
        <v>7.5</v>
      </c>
      <c r="G26" s="79"/>
    </row>
    <row r="27" spans="1:7" x14ac:dyDescent="0.3">
      <c r="A27" s="96" t="s">
        <v>89</v>
      </c>
      <c r="B27" s="97"/>
      <c r="C27" s="97"/>
      <c r="D27" s="97"/>
      <c r="E27" s="98"/>
      <c r="F27" s="79">
        <v>8.1</v>
      </c>
      <c r="G27" s="79"/>
    </row>
    <row r="28" spans="1:7" x14ac:dyDescent="0.3">
      <c r="A28" s="102" t="s">
        <v>72</v>
      </c>
      <c r="B28" s="103"/>
      <c r="C28" s="103"/>
      <c r="D28" s="103"/>
      <c r="E28" s="104"/>
      <c r="F28" s="79"/>
      <c r="G28" s="79"/>
    </row>
    <row r="29" spans="1:7" x14ac:dyDescent="0.3">
      <c r="A29" s="96" t="s">
        <v>63</v>
      </c>
      <c r="B29" s="97"/>
      <c r="C29" s="97"/>
      <c r="D29" s="97"/>
      <c r="E29" s="98"/>
      <c r="F29" s="80">
        <v>8.4</v>
      </c>
      <c r="G29" s="80" t="s">
        <v>52</v>
      </c>
    </row>
    <row r="30" spans="1:7" x14ac:dyDescent="0.3">
      <c r="A30" s="96" t="s">
        <v>64</v>
      </c>
      <c r="B30" s="97"/>
      <c r="C30" s="97"/>
      <c r="D30" s="97"/>
      <c r="E30" s="98"/>
      <c r="F30" s="80">
        <v>8.5</v>
      </c>
      <c r="G30" s="80" t="s">
        <v>52</v>
      </c>
    </row>
    <row r="31" spans="1:7" x14ac:dyDescent="0.3">
      <c r="A31" s="96" t="s">
        <v>66</v>
      </c>
      <c r="B31" s="97"/>
      <c r="C31" s="97"/>
      <c r="D31" s="97"/>
      <c r="E31" s="98"/>
      <c r="F31" s="80">
        <v>8.4</v>
      </c>
      <c r="G31" s="80"/>
    </row>
    <row r="32" spans="1:7" x14ac:dyDescent="0.3">
      <c r="A32" s="96" t="s">
        <v>65</v>
      </c>
      <c r="B32" s="97"/>
      <c r="C32" s="97"/>
      <c r="D32" s="97"/>
      <c r="E32" s="98"/>
      <c r="F32" s="80" t="s">
        <v>87</v>
      </c>
      <c r="G32" s="80"/>
    </row>
    <row r="33" spans="1:7" x14ac:dyDescent="0.3">
      <c r="A33" s="96" t="s">
        <v>67</v>
      </c>
      <c r="B33" s="97"/>
      <c r="C33" s="97"/>
      <c r="D33" s="97"/>
      <c r="E33" s="98"/>
      <c r="F33" s="80">
        <v>7.5</v>
      </c>
      <c r="G33" s="80"/>
    </row>
    <row r="34" spans="1:7" x14ac:dyDescent="0.3">
      <c r="A34" s="96" t="s">
        <v>73</v>
      </c>
      <c r="B34" s="97"/>
      <c r="C34" s="97"/>
      <c r="D34" s="97"/>
      <c r="E34" s="98"/>
      <c r="F34" s="80">
        <v>8.5</v>
      </c>
      <c r="G34" s="80"/>
    </row>
    <row r="35" spans="1:7" x14ac:dyDescent="0.3">
      <c r="A35" s="96" t="s">
        <v>74</v>
      </c>
      <c r="B35" s="97"/>
      <c r="C35" s="97"/>
      <c r="D35" s="97"/>
      <c r="E35" s="98"/>
      <c r="F35" s="80">
        <v>8</v>
      </c>
      <c r="G35" s="80"/>
    </row>
    <row r="36" spans="1:7" x14ac:dyDescent="0.3">
      <c r="A36" s="96" t="s">
        <v>75</v>
      </c>
      <c r="B36" s="97"/>
      <c r="C36" s="97"/>
      <c r="D36" s="97"/>
      <c r="E36" s="98"/>
      <c r="F36" s="80">
        <v>8.1</v>
      </c>
      <c r="G36" s="80"/>
    </row>
    <row r="37" spans="1:7" x14ac:dyDescent="0.3">
      <c r="A37" s="96" t="s">
        <v>76</v>
      </c>
      <c r="B37" s="97"/>
      <c r="C37" s="97"/>
      <c r="D37" s="97"/>
      <c r="E37" s="98"/>
      <c r="F37" s="80"/>
      <c r="G37" s="80"/>
    </row>
    <row r="38" spans="1:7" x14ac:dyDescent="0.3">
      <c r="A38" s="102" t="s">
        <v>77</v>
      </c>
      <c r="B38" s="103"/>
      <c r="C38" s="103"/>
      <c r="D38" s="103"/>
      <c r="E38" s="104"/>
      <c r="F38" s="80"/>
      <c r="G38" s="80"/>
    </row>
    <row r="39" spans="1:7" x14ac:dyDescent="0.3">
      <c r="A39" s="96" t="s">
        <v>79</v>
      </c>
      <c r="B39" s="97"/>
      <c r="C39" s="97"/>
      <c r="D39" s="97"/>
      <c r="E39" s="98"/>
      <c r="F39" s="80">
        <v>8.4</v>
      </c>
      <c r="G39" s="80"/>
    </row>
    <row r="40" spans="1:7" x14ac:dyDescent="0.3">
      <c r="A40" s="96" t="s">
        <v>78</v>
      </c>
      <c r="B40" s="97"/>
      <c r="C40" s="97"/>
      <c r="D40" s="97"/>
      <c r="E40" s="98"/>
      <c r="F40" s="80">
        <v>7.6</v>
      </c>
      <c r="G40" s="80"/>
    </row>
    <row r="41" spans="1:7" x14ac:dyDescent="0.3">
      <c r="A41" s="96" t="s">
        <v>80</v>
      </c>
      <c r="B41" s="97"/>
      <c r="C41" s="97"/>
      <c r="D41" s="97"/>
      <c r="E41" s="98"/>
      <c r="F41" s="80">
        <v>9.1</v>
      </c>
      <c r="G41" s="80"/>
    </row>
    <row r="42" spans="1:7" x14ac:dyDescent="0.3">
      <c r="A42" s="96" t="s">
        <v>81</v>
      </c>
      <c r="B42" s="97"/>
      <c r="C42" s="97"/>
      <c r="D42" s="97"/>
      <c r="E42" s="98"/>
      <c r="F42" s="80">
        <v>8.4</v>
      </c>
      <c r="G42" s="80"/>
    </row>
    <row r="43" spans="1:7" x14ac:dyDescent="0.3">
      <c r="A43" s="96" t="s">
        <v>82</v>
      </c>
      <c r="B43" s="97"/>
      <c r="C43" s="97"/>
      <c r="D43" s="97"/>
      <c r="E43" s="98"/>
      <c r="F43" s="80">
        <v>8.5</v>
      </c>
      <c r="G43" s="80"/>
    </row>
    <row r="44" spans="1:7" x14ac:dyDescent="0.3">
      <c r="A44" s="99"/>
      <c r="B44" s="100"/>
      <c r="C44" s="100"/>
      <c r="D44" s="100"/>
      <c r="E44" s="101"/>
      <c r="F44" s="26"/>
      <c r="G44" s="26"/>
    </row>
    <row r="45" spans="1:7" x14ac:dyDescent="0.3">
      <c r="A45" s="99"/>
      <c r="B45" s="100"/>
      <c r="C45" s="100"/>
      <c r="D45" s="100"/>
      <c r="E45" s="101"/>
      <c r="F45" s="26"/>
      <c r="G45" s="26"/>
    </row>
  </sheetData>
  <mergeCells count="46">
    <mergeCell ref="A11:E11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23:E23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35:E35"/>
    <mergeCell ref="A24:E24"/>
    <mergeCell ref="A25:E25"/>
    <mergeCell ref="A26:E26"/>
    <mergeCell ref="A27:E27"/>
    <mergeCell ref="A28:E28"/>
    <mergeCell ref="A29:E29"/>
    <mergeCell ref="I1:N1"/>
    <mergeCell ref="A42:E42"/>
    <mergeCell ref="A43:E43"/>
    <mergeCell ref="A44:E44"/>
    <mergeCell ref="A45:E45"/>
    <mergeCell ref="A36:E36"/>
    <mergeCell ref="A37:E37"/>
    <mergeCell ref="A38:E38"/>
    <mergeCell ref="A39:E39"/>
    <mergeCell ref="A40:E40"/>
    <mergeCell ref="A41:E41"/>
    <mergeCell ref="A30:E30"/>
    <mergeCell ref="A31:E31"/>
    <mergeCell ref="A32:E32"/>
    <mergeCell ref="A33:E33"/>
    <mergeCell ref="A34:E34"/>
  </mergeCells>
  <phoneticPr fontId="1" type="noConversion"/>
  <dataValidations count="1">
    <dataValidation type="list" allowBlank="1" showInputMessage="1" showErrorMessage="1" sqref="M3" xr:uid="{B2B8FB0E-77FC-42E4-BBE2-76E6C4F7D0FE}">
      <formula1>"获取资源,未开始,阅读中,完成,输出收获"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2</v>
      </c>
      <c r="D1" s="6" t="s">
        <v>1</v>
      </c>
      <c r="E1" s="7"/>
      <c r="F1" s="7"/>
      <c r="G1" s="7"/>
      <c r="H1" s="6"/>
    </row>
    <row r="2" spans="2:13" ht="45" customHeight="1" x14ac:dyDescent="0.3">
      <c r="B2" s="5" t="s">
        <v>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5</v>
      </c>
      <c r="D1" s="6" t="s">
        <v>4</v>
      </c>
      <c r="E1" s="7"/>
      <c r="F1" s="7"/>
      <c r="G1" s="7"/>
      <c r="H1" s="6"/>
    </row>
    <row r="2" spans="2:13" ht="45" customHeight="1" x14ac:dyDescent="0.3">
      <c r="B2" s="5" t="s">
        <v>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8</v>
      </c>
      <c r="D1" s="6" t="s">
        <v>7</v>
      </c>
      <c r="E1" s="7"/>
      <c r="F1" s="7"/>
      <c r="G1" s="7"/>
      <c r="H1" s="6"/>
    </row>
    <row r="2" spans="2:13" ht="45" customHeight="1" x14ac:dyDescent="0.3">
      <c r="B2" s="5" t="s">
        <v>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11</v>
      </c>
      <c r="D1" s="6" t="s">
        <v>10</v>
      </c>
      <c r="E1" s="7"/>
      <c r="F1" s="7"/>
      <c r="G1" s="7"/>
      <c r="H1" s="6"/>
    </row>
    <row r="2" spans="2:13" ht="45" customHeight="1" x14ac:dyDescent="0.3">
      <c r="B2" s="5" t="s">
        <v>9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14</v>
      </c>
      <c r="D1" s="6" t="s">
        <v>13</v>
      </c>
      <c r="E1" s="7"/>
      <c r="F1" s="7"/>
      <c r="G1" s="7"/>
      <c r="H1" s="6"/>
    </row>
    <row r="2" spans="2:13" ht="45" customHeight="1" x14ac:dyDescent="0.3">
      <c r="B2" s="5" t="s">
        <v>12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17</v>
      </c>
      <c r="D1" s="6" t="s">
        <v>16</v>
      </c>
      <c r="E1" s="7"/>
      <c r="F1" s="7"/>
      <c r="G1" s="7"/>
      <c r="H1" s="6"/>
    </row>
    <row r="2" spans="2:13" ht="45" customHeight="1" x14ac:dyDescent="0.3">
      <c r="B2" s="5" t="s">
        <v>15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17" t="s">
        <v>18</v>
      </c>
      <c r="K3" s="118"/>
      <c r="L3" s="118"/>
      <c r="M3" s="119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11"/>
      <c r="K4" s="112"/>
      <c r="L4" s="112"/>
      <c r="M4" s="113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14"/>
      <c r="K5" s="115"/>
      <c r="L5" s="115"/>
      <c r="M5" s="116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11"/>
      <c r="K6" s="112"/>
      <c r="L6" s="112"/>
      <c r="M6" s="113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14"/>
      <c r="K7" s="115"/>
      <c r="L7" s="115"/>
      <c r="M7" s="116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11"/>
      <c r="K8" s="112"/>
      <c r="L8" s="112"/>
      <c r="M8" s="113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14"/>
      <c r="K9" s="115"/>
      <c r="L9" s="115"/>
      <c r="M9" s="116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11"/>
      <c r="K10" s="112"/>
      <c r="L10" s="112"/>
      <c r="M10" s="113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14"/>
      <c r="K11" s="115"/>
      <c r="L11" s="115"/>
      <c r="M11" s="116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11"/>
      <c r="K12" s="112"/>
      <c r="L12" s="112"/>
      <c r="M12" s="113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14"/>
      <c r="K13" s="115"/>
      <c r="L13" s="115"/>
      <c r="M13" s="116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11"/>
      <c r="K14" s="112"/>
      <c r="L14" s="112"/>
      <c r="M14" s="113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14"/>
      <c r="K15" s="115"/>
      <c r="L15" s="115"/>
      <c r="M15" s="116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统战部</vt:lpstr>
      <vt:lpstr>财务</vt:lpstr>
      <vt:lpstr>读书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2019-08-18T02:58:05Z</dcterms:modified>
</cp:coreProperties>
</file>