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E34B55-A928-47DD-86CD-8F2ECD87EA0A}" xr6:coauthVersionLast="36" xr6:coauthVersionMax="36" xr10:uidLastSave="{00000000-0000-0000-0000-000000000000}"/>
  <bookViews>
    <workbookView xWindow="10230" yWindow="0" windowWidth="22260" windowHeight="12650" tabRatio="848" activeTab="1" xr2:uid="{00000000-000D-0000-FFFF-FFFF00000000}"/>
  </bookViews>
  <sheets>
    <sheet name="总计划" sheetId="29" r:id="rId1"/>
    <sheet name="资金流" sheetId="27" r:id="rId2"/>
    <sheet name="1月" sheetId="6" r:id="rId3"/>
    <sheet name="2月" sheetId="7" r:id="rId4"/>
    <sheet name="3月" sheetId="8" r:id="rId5"/>
    <sheet name="4月" sheetId="9" r:id="rId6"/>
    <sheet name="5月" sheetId="10" r:id="rId7"/>
    <sheet name="6月" sheetId="11" r:id="rId8"/>
    <sheet name="7月 " sheetId="19" r:id="rId9"/>
    <sheet name="8月" sheetId="20" r:id="rId10"/>
    <sheet name="9月" sheetId="21" r:id="rId11"/>
    <sheet name="10月 " sheetId="22" r:id="rId12"/>
    <sheet name="11月" sheetId="23" r:id="rId13"/>
    <sheet name="12月 " sheetId="24" r:id="rId14"/>
    <sheet name="七月" sheetId="12" state="hidden" r:id="rId15"/>
    <sheet name="八月" sheetId="13" state="hidden" r:id="rId16"/>
    <sheet name="九月" sheetId="14" state="hidden" r:id="rId17"/>
    <sheet name="十月" sheetId="15" state="hidden" r:id="rId18"/>
    <sheet name="十一月" sheetId="16" state="hidden" r:id="rId19"/>
    <sheet name="十二月" sheetId="17" state="hidden" r:id="rId20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7" l="1"/>
  <c r="H9" i="27"/>
  <c r="F9" i="27"/>
  <c r="D9" i="27"/>
  <c r="J9" i="27"/>
  <c r="B9" i="27"/>
  <c r="O8" i="27"/>
  <c r="N8" i="27"/>
  <c r="L8" i="27"/>
  <c r="F6" i="27"/>
  <c r="F7" i="27"/>
  <c r="F8" i="27"/>
  <c r="F5" i="27"/>
  <c r="D4" i="27"/>
  <c r="D5" i="27"/>
  <c r="D6" i="27"/>
  <c r="D7" i="27"/>
  <c r="D8" i="27"/>
  <c r="D3" i="27"/>
  <c r="H8" i="27"/>
  <c r="J8" i="27"/>
  <c r="N2" i="27"/>
  <c r="N3" i="27"/>
  <c r="N4" i="27"/>
  <c r="L2" i="27"/>
  <c r="L3" i="27"/>
  <c r="L4" i="27"/>
  <c r="O3" i="27"/>
  <c r="O4" i="27"/>
  <c r="O2" i="27"/>
  <c r="H2" i="27"/>
  <c r="J2" i="27"/>
  <c r="H3" i="27"/>
  <c r="J3" i="27"/>
  <c r="H4" i="27"/>
  <c r="J4" i="27"/>
  <c r="H5" i="27"/>
  <c r="J5" i="27"/>
  <c r="L5" i="27"/>
  <c r="N5" i="27"/>
  <c r="H6" i="27"/>
  <c r="J6" i="27"/>
  <c r="L6" i="27"/>
  <c r="N6" i="27"/>
  <c r="H7" i="27"/>
  <c r="J7" i="27"/>
  <c r="L7" i="27"/>
  <c r="N7" i="27"/>
  <c r="O6" i="27"/>
  <c r="O7" i="27"/>
  <c r="O5" i="27"/>
  <c r="B3" i="17"/>
  <c r="B3" i="16"/>
  <c r="B3" i="15"/>
  <c r="B3" i="14"/>
  <c r="B3" i="13"/>
  <c r="B3" i="12"/>
  <c r="B3" i="11"/>
  <c r="B3" i="10"/>
  <c r="B3" i="9"/>
  <c r="B3" i="8"/>
  <c r="B3" i="7"/>
  <c r="C2" i="6"/>
  <c r="B3" i="6"/>
  <c r="B5" i="6"/>
  <c r="B4" i="8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/>
  <c r="B12" i="14" a="1"/>
  <c r="B10" i="14" a="1"/>
  <c r="B8" i="14" a="1"/>
  <c r="B6" i="14" a="1"/>
  <c r="B4" i="14" a="1"/>
  <c r="B1" i="14"/>
  <c r="B12" i="12" a="1"/>
  <c r="E12" i="12"/>
  <c r="B10" i="12" a="1"/>
  <c r="B10" i="12"/>
  <c r="B14" i="13" a="1"/>
  <c r="B12" i="13" a="1"/>
  <c r="B10" i="13" a="1"/>
  <c r="B8" i="13" a="1"/>
  <c r="B6" i="13" a="1"/>
  <c r="B4" i="13" a="1"/>
  <c r="B1" i="13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/>
  <c r="B10" i="6" a="1"/>
  <c r="D10" i="6"/>
  <c r="B14" i="7" a="1"/>
  <c r="B10" i="7" a="1"/>
  <c r="B6" i="7" a="1"/>
  <c r="B4" i="7" a="1"/>
  <c r="B8" i="6" a="1"/>
  <c r="D8" i="6"/>
  <c r="B6" i="6" a="1"/>
  <c r="D6" i="6"/>
  <c r="D5" i="6"/>
  <c r="B12" i="7" a="1"/>
  <c r="B8" i="7" a="1"/>
  <c r="B14" i="6" a="1"/>
  <c r="C14" i="6"/>
  <c r="B12" i="6" a="1"/>
  <c r="D12" i="6"/>
  <c r="B1" i="7"/>
  <c r="G14" i="12"/>
  <c r="G10" i="6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/>
  <c r="D4" i="8"/>
  <c r="D3" i="8"/>
  <c r="G4" i="8"/>
  <c r="G3" i="8"/>
  <c r="C4" i="8"/>
  <c r="C3" i="8"/>
  <c r="F4" i="8"/>
  <c r="F3" i="8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/>
  <c r="B4" i="17"/>
  <c r="F4" i="17"/>
  <c r="F3" i="17"/>
  <c r="D4" i="17"/>
  <c r="D3" i="17"/>
  <c r="H4" i="17"/>
  <c r="H3" i="17"/>
  <c r="C4" i="17"/>
  <c r="C3" i="17"/>
  <c r="G4" i="17"/>
  <c r="G3" i="17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/>
  <c r="B4" i="16"/>
  <c r="F4" i="16"/>
  <c r="F3" i="16"/>
  <c r="C4" i="16"/>
  <c r="C3" i="16"/>
  <c r="G4" i="16"/>
  <c r="G3" i="16"/>
  <c r="D4" i="16"/>
  <c r="D3" i="16"/>
  <c r="H4" i="16"/>
  <c r="H3" i="16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/>
  <c r="B4" i="15"/>
  <c r="F4" i="15"/>
  <c r="F3" i="15"/>
  <c r="C4" i="15"/>
  <c r="C3" i="15"/>
  <c r="G4" i="15"/>
  <c r="G3" i="15"/>
  <c r="D4" i="15"/>
  <c r="D3" i="15"/>
  <c r="H4" i="15"/>
  <c r="H3" i="15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/>
  <c r="B4" i="14"/>
  <c r="F4" i="14"/>
  <c r="F3" i="14"/>
  <c r="C4" i="14"/>
  <c r="C3" i="14"/>
  <c r="G4" i="14"/>
  <c r="G3" i="14"/>
  <c r="D4" i="14"/>
  <c r="D3" i="14"/>
  <c r="H4" i="14"/>
  <c r="H3" i="14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/>
  <c r="B4" i="13"/>
  <c r="F4" i="13"/>
  <c r="F3" i="13"/>
  <c r="C4" i="13"/>
  <c r="C3" i="13"/>
  <c r="G4" i="13"/>
  <c r="G3" i="13"/>
  <c r="D4" i="13"/>
  <c r="D3" i="13"/>
  <c r="H4" i="13"/>
  <c r="H3" i="13"/>
  <c r="E12" i="13"/>
  <c r="B12" i="13"/>
  <c r="F12" i="13"/>
  <c r="C12" i="13"/>
  <c r="G12" i="13"/>
  <c r="D12" i="13"/>
  <c r="H12" i="13"/>
  <c r="H6" i="6"/>
  <c r="H5" i="6"/>
  <c r="E4" i="12"/>
  <c r="E3" i="12"/>
  <c r="B4" i="12"/>
  <c r="F4" i="12"/>
  <c r="F3" i="12"/>
  <c r="C4" i="12"/>
  <c r="C3" i="12"/>
  <c r="G4" i="12"/>
  <c r="G3" i="12"/>
  <c r="D4" i="12"/>
  <c r="D3" i="12"/>
  <c r="H4" i="12"/>
  <c r="H3" i="12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/>
  <c r="B4" i="11"/>
  <c r="F4" i="11"/>
  <c r="F3" i="11"/>
  <c r="C4" i="11"/>
  <c r="C3" i="11"/>
  <c r="G4" i="11"/>
  <c r="G3" i="11"/>
  <c r="D4" i="11"/>
  <c r="D3" i="11"/>
  <c r="H4" i="11"/>
  <c r="H3" i="1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/>
  <c r="B4" i="10"/>
  <c r="F4" i="10"/>
  <c r="F3" i="10"/>
  <c r="C4" i="10"/>
  <c r="C3" i="10"/>
  <c r="G4" i="10"/>
  <c r="G3" i="10"/>
  <c r="D4" i="10"/>
  <c r="D3" i="10"/>
  <c r="H4" i="10"/>
  <c r="H3" i="10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/>
  <c r="B4" i="9"/>
  <c r="F4" i="9"/>
  <c r="F3" i="9"/>
  <c r="C4" i="9"/>
  <c r="C3" i="9"/>
  <c r="G4" i="9"/>
  <c r="G3" i="9"/>
  <c r="D4" i="9"/>
  <c r="D3" i="9"/>
  <c r="H4" i="9"/>
  <c r="H3" i="9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/>
  <c r="B6" i="6"/>
  <c r="C6" i="6"/>
  <c r="C5" i="6"/>
  <c r="B8" i="7"/>
  <c r="F8" i="7"/>
  <c r="C8" i="7"/>
  <c r="G8" i="7"/>
  <c r="D8" i="7"/>
  <c r="H8" i="7"/>
  <c r="E8" i="7"/>
  <c r="B4" i="7"/>
  <c r="F4" i="7"/>
  <c r="F3" i="7"/>
  <c r="C4" i="7"/>
  <c r="C3" i="7"/>
  <c r="G4" i="7"/>
  <c r="G3" i="7"/>
  <c r="D4" i="7"/>
  <c r="D3" i="7"/>
  <c r="H4" i="7"/>
  <c r="H3" i="7"/>
  <c r="E4" i="7"/>
  <c r="E3" i="7"/>
  <c r="H12" i="6"/>
  <c r="F6" i="6"/>
  <c r="F5" i="6"/>
  <c r="G6" i="6"/>
  <c r="G5" i="6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<sst xmlns="http://schemas.openxmlformats.org/spreadsheetml/2006/main" count="414" uniqueCount="203">
  <si>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</si>
  <si>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</si>
  <si>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</si>
  <si>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</si>
  <si>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</si>
  <si>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</si>
  <si>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</si>
  <si>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</si>
  <si>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</si>
  <si>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</si>
  <si>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</si>
  <si>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</si>
  <si>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</si>
  <si>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</si>
  <si>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</si>
  <si>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</si>
  <si>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</si>
  <si>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</si>
  <si>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</si>
  <si>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</si>
  <si>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</si>
  <si>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</si>
  <si>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</si>
  <si>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</si>
  <si>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</si>
  <si>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</si>
  <si>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</si>
  <si>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</si>
  <si>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</si>
  <si>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</si>
  <si>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</si>
  <si>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</si>
  <si>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</si>
  <si>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</si>
  <si>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</si>
  <si>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</si>
  <si>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</si>
  <si>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</si>
  <si>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</si>
  <si>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</si>
  <si>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</si>
  <si>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</si>
  <si>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</si>
  <si>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</si>
  <si>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</si>
  <si>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</si>
  <si>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</si>
  <si>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</si>
  <si>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</si>
  <si>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</si>
  <si>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</si>
  <si>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</si>
  <si>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</si>
  <si>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</si>
  <si>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</si>
  <si>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</si>
  <si>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</si>
  <si>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</si>
  <si>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</si>
  <si>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</si>
  <si>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</si>
  <si>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</si>
  <si>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</si>
  <si>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</si>
  <si>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</si>
  <si>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</si>
  <si>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</si>
  <si>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</si>
  <si>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</si>
  <si>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</si>
  <si>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</si>
  <si>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</si>
  <si>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一级事项</t>
    <phoneticPr fontId="1" type="noConversion"/>
  </si>
  <si>
    <t>工作日</t>
    <phoneticPr fontId="1" type="noConversion"/>
  </si>
  <si>
    <t>工作日</t>
    <phoneticPr fontId="1" type="noConversion"/>
  </si>
  <si>
    <t>日期</t>
    <phoneticPr fontId="1" type="noConversion"/>
  </si>
  <si>
    <t>日期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</si>
  <si>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</si>
  <si>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</si>
  <si>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</si>
  <si>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</si>
  <si>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</si>
  <si>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</si>
  <si>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</si>
  <si>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</si>
  <si>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</si>
  <si>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</si>
  <si>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</si>
  <si>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Deadline</t>
    <phoneticPr fontId="1" type="noConversion"/>
  </si>
  <si>
    <t>二级事项</t>
    <phoneticPr fontId="1" type="noConversion"/>
  </si>
  <si>
    <t>二级事项</t>
    <phoneticPr fontId="1" type="noConversion"/>
  </si>
  <si>
    <t>整理产品经理工作阶段</t>
    <phoneticPr fontId="1" type="noConversion"/>
  </si>
  <si>
    <t>待续</t>
  </si>
  <si>
    <t>用户分析、需求挖掘、产品调研、功能/流程、原型/PRD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</si>
  <si>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</si>
  <si>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</si>
  <si>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</si>
  <si>
    <t>用户分析P2</t>
    <phoneticPr fontId="1" type="noConversion"/>
  </si>
  <si>
    <t>用户分析P1</t>
    <phoneticPr fontId="1" type="noConversion"/>
  </si>
  <si>
    <t>数据分析</t>
    <phoneticPr fontId="1" type="noConversion"/>
  </si>
  <si>
    <t>《深入浅出数据分析》《深入浅出统计学》</t>
    <phoneticPr fontId="1" type="noConversion"/>
  </si>
  <si>
    <t>用水/吨</t>
    <phoneticPr fontId="1" type="noConversion"/>
  </si>
  <si>
    <t>水费/元</t>
    <phoneticPr fontId="1" type="noConversion"/>
  </si>
  <si>
    <t>用电/度</t>
    <phoneticPr fontId="1" type="noConversion"/>
  </si>
  <si>
    <t>电费/元</t>
    <phoneticPr fontId="1" type="noConversion"/>
  </si>
  <si>
    <t>统计</t>
    <phoneticPr fontId="1" type="noConversion"/>
  </si>
  <si>
    <t>《统计》</t>
    <phoneticPr fontId="1" type="noConversion"/>
  </si>
  <si>
    <t>8月15</t>
    <phoneticPr fontId="1" type="noConversion"/>
  </si>
  <si>
    <t>9月15</t>
    <phoneticPr fontId="1" type="noConversion"/>
  </si>
  <si>
    <t>10月15</t>
    <phoneticPr fontId="1" type="noConversion"/>
  </si>
  <si>
    <t>11月15</t>
    <phoneticPr fontId="1" type="noConversion"/>
  </si>
  <si>
    <t>12月15</t>
    <phoneticPr fontId="1" type="noConversion"/>
  </si>
  <si>
    <t>到手工资</t>
    <phoneticPr fontId="1" type="noConversion"/>
  </si>
  <si>
    <t>2月15</t>
    <phoneticPr fontId="1" type="noConversion"/>
  </si>
  <si>
    <t>3月15</t>
    <phoneticPr fontId="1" type="noConversion"/>
  </si>
  <si>
    <t>4月15</t>
    <phoneticPr fontId="1" type="noConversion"/>
  </si>
  <si>
    <t>5月15</t>
    <phoneticPr fontId="1" type="noConversion"/>
  </si>
  <si>
    <t>6月15</t>
    <phoneticPr fontId="1" type="noConversion"/>
  </si>
  <si>
    <t>7月15</t>
    <phoneticPr fontId="1" type="noConversion"/>
  </si>
  <si>
    <t>公积金</t>
    <phoneticPr fontId="1" type="noConversion"/>
  </si>
  <si>
    <t>个税</t>
    <phoneticPr fontId="1" type="noConversion"/>
  </si>
  <si>
    <t>社保</t>
    <phoneticPr fontId="1" type="noConversion"/>
  </si>
  <si>
    <t>时间</t>
    <phoneticPr fontId="1" type="noConversion"/>
  </si>
  <si>
    <t>日</t>
    <phoneticPr fontId="1" type="noConversion"/>
  </si>
  <si>
    <t>借出-3000</t>
    <phoneticPr fontId="1" type="noConversion"/>
  </si>
  <si>
    <t>买电脑-5100，借出-4000</t>
    <phoneticPr fontId="1" type="noConversion"/>
  </si>
  <si>
    <t>总共扣除</t>
    <phoneticPr fontId="1" type="noConversion"/>
  </si>
  <si>
    <t>连续性概率分布</t>
    <phoneticPr fontId="1" type="noConversion"/>
  </si>
  <si>
    <t>跑步</t>
    <phoneticPr fontId="1" type="noConversion"/>
  </si>
  <si>
    <t>区间估计</t>
    <phoneticPr fontId="1" type="noConversion"/>
  </si>
  <si>
    <t>抽样和抽样分布</t>
    <phoneticPr fontId="1" type="noConversion"/>
  </si>
  <si>
    <t>《线代》</t>
    <phoneticPr fontId="1" type="noConversion"/>
  </si>
  <si>
    <t>矩阵加法、乘法、逆（高斯消元法）</t>
    <phoneticPr fontId="1" type="noConversion"/>
  </si>
  <si>
    <t>社保累积</t>
    <phoneticPr fontId="1" type="noConversion"/>
  </si>
  <si>
    <t>公积金累积</t>
    <phoneticPr fontId="1" type="noConversion"/>
  </si>
  <si>
    <t>15号初始</t>
    <phoneticPr fontId="1" type="noConversion"/>
  </si>
  <si>
    <t>15号剩余</t>
    <phoneticPr fontId="1" type="noConversion"/>
  </si>
  <si>
    <t>开发基础</t>
    <phoneticPr fontId="1" type="noConversion"/>
  </si>
  <si>
    <t>计划</t>
    <phoneticPr fontId="1" type="noConversion"/>
  </si>
  <si>
    <t>产品经理</t>
    <phoneticPr fontId="1" type="noConversion"/>
  </si>
  <si>
    <t>后台开发</t>
    <phoneticPr fontId="1" type="noConversion"/>
  </si>
  <si>
    <t xml:space="preserve">    2、python(np、pd、mpl、sklearn)</t>
    <phoneticPr fontId="1" type="noConversion"/>
  </si>
  <si>
    <t xml:space="preserve">    3、sql</t>
    <phoneticPr fontId="1" type="noConversion"/>
  </si>
  <si>
    <t>数据分析：</t>
    <phoneticPr fontId="1" type="noConversion"/>
  </si>
  <si>
    <t>机器学习：</t>
    <phoneticPr fontId="1" type="noConversion"/>
  </si>
  <si>
    <t xml:space="preserve">    1、《web analysis 2.0》</t>
    <phoneticPr fontId="1" type="noConversion"/>
  </si>
  <si>
    <t>读书：</t>
    <phoneticPr fontId="1" type="noConversion"/>
  </si>
  <si>
    <t xml:space="preserve">    2、《数据挖掘导论》、《数据挖掘》</t>
    <phoneticPr fontId="1" type="noConversion"/>
  </si>
  <si>
    <t xml:space="preserve">    3、《深入浅出数据分析》</t>
    <phoneticPr fontId="1" type="noConversion"/>
  </si>
  <si>
    <t>开发、产品</t>
    <phoneticPr fontId="1" type="noConversion"/>
  </si>
  <si>
    <t xml:space="preserve">    2、Tensorflow：Google深度学习框架</t>
    <phoneticPr fontId="1" type="noConversion"/>
  </si>
  <si>
    <t xml:space="preserve">    1、理论基础（微积分、线代、统计）</t>
    <phoneticPr fontId="1" type="noConversion"/>
  </si>
  <si>
    <t>2018 ~ 24</t>
  </si>
  <si>
    <t>2019 ~ 25</t>
  </si>
  <si>
    <t>2020 ~ 26</t>
  </si>
  <si>
    <t>2021 ~ 27</t>
  </si>
  <si>
    <t>2022 ~ 28</t>
  </si>
  <si>
    <t>2023 ~ 29</t>
  </si>
  <si>
    <t>2024 ~ 30</t>
  </si>
  <si>
    <t>2017 ~ 23</t>
    <phoneticPr fontId="1" type="noConversion"/>
  </si>
  <si>
    <t xml:space="preserve">    1、微积分、线代、统计、凸优化、N大机器学习算法</t>
    <phoneticPr fontId="1" type="noConversion"/>
  </si>
  <si>
    <t>高数</t>
    <phoneticPr fontId="1" type="noConversion"/>
  </si>
  <si>
    <t>快速过</t>
    <phoneticPr fontId="1" type="noConversion"/>
  </si>
  <si>
    <t>一级计划</t>
    <phoneticPr fontId="1" type="noConversion"/>
  </si>
  <si>
    <t>二级计划</t>
    <phoneticPr fontId="1" type="noConversion"/>
  </si>
  <si>
    <t>线性代数</t>
    <phoneticPr fontId="1" type="noConversion"/>
  </si>
  <si>
    <t>一级任务</t>
    <phoneticPr fontId="1" type="noConversion"/>
  </si>
  <si>
    <t>二级任务</t>
    <phoneticPr fontId="1" type="noConversion"/>
  </si>
  <si>
    <t>4、5</t>
    <phoneticPr fontId="1" type="noConversion"/>
  </si>
  <si>
    <t>1、2、3</t>
    <phoneticPr fontId="1" type="noConversion"/>
  </si>
  <si>
    <t>7、8、 9</t>
    <phoneticPr fontId="1" type="noConversion"/>
  </si>
  <si>
    <t>单变量线性回归</t>
    <phoneticPr fontId="1" type="noConversion"/>
  </si>
  <si>
    <t>买平板-1040</t>
    <phoneticPr fontId="1" type="noConversion"/>
  </si>
  <si>
    <t>产品设计</t>
    <phoneticPr fontId="1" type="noConversion"/>
  </si>
  <si>
    <t>人生规划：</t>
    <phoneticPr fontId="1" type="noConversion"/>
  </si>
  <si>
    <t>注：</t>
    <phoneticPr fontId="1" type="noConversion"/>
  </si>
  <si>
    <t>优雅的分割线</t>
    <phoneticPr fontId="1" type="noConversion"/>
  </si>
  <si>
    <t>工作</t>
    <phoneticPr fontId="1" type="noConversion"/>
  </si>
  <si>
    <t>学习</t>
    <phoneticPr fontId="1" type="noConversion"/>
  </si>
  <si>
    <t xml:space="preserve">    1 寻找投资机会，实现指数增长</t>
    <phoneticPr fontId="1" type="noConversion"/>
  </si>
  <si>
    <t>《闪电侠》回归</t>
    <phoneticPr fontId="1" type="noConversion"/>
  </si>
  <si>
    <t>逻辑回归算法实现/神经网络理解</t>
    <phoneticPr fontId="1" type="noConversion"/>
  </si>
  <si>
    <t>穿插numpy/pandas学习</t>
    <phoneticPr fontId="1" type="noConversion"/>
  </si>
  <si>
    <t xml:space="preserve"> </t>
    <phoneticPr fontId="1" type="noConversion"/>
  </si>
  <si>
    <t xml:space="preserve">    3、Keras：基于TensorFlow构建的深度学习框架</t>
    <phoneticPr fontId="1" type="noConversion"/>
  </si>
  <si>
    <t xml:space="preserve">    1 技术、理论学习（1年，2020年）</t>
    <phoneticPr fontId="1" type="noConversion"/>
  </si>
  <si>
    <t xml:space="preserve">    3 寻找商机，投资、创业（？年）</t>
    <phoneticPr fontId="1" type="noConversion"/>
  </si>
  <si>
    <t xml:space="preserve">    2 知识学习、为人处世并重</t>
    <phoneticPr fontId="1" type="noConversion"/>
  </si>
  <si>
    <t>机器学习算法</t>
    <phoneticPr fontId="1" type="noConversion"/>
  </si>
  <si>
    <t>房租支出</t>
    <phoneticPr fontId="1" type="noConversion"/>
  </si>
  <si>
    <t>端午+500</t>
    <phoneticPr fontId="1" type="noConversion"/>
  </si>
  <si>
    <t>华为发布会</t>
    <phoneticPr fontId="1" type="noConversion"/>
  </si>
  <si>
    <t>决策树——信息论</t>
    <phoneticPr fontId="1" type="noConversion"/>
  </si>
  <si>
    <t>机器学习</t>
    <phoneticPr fontId="1" type="noConversion"/>
  </si>
  <si>
    <t>神经网络</t>
    <phoneticPr fontId="1" type="noConversion"/>
  </si>
  <si>
    <t>决策树——原理、算法</t>
    <phoneticPr fontId="1" type="noConversion"/>
  </si>
  <si>
    <t>决策树——ID3/C4.5</t>
    <phoneticPr fontId="1" type="noConversion"/>
  </si>
  <si>
    <t>AI/数据产品</t>
    <phoneticPr fontId="1" type="noConversion"/>
  </si>
  <si>
    <t xml:space="preserve">    4、《机器学习》、《机器学习实战》、《统计学习方法》</t>
    <phoneticPr fontId="1" type="noConversion"/>
  </si>
  <si>
    <t xml:space="preserve">    2 与人打交道——产品、运营、管理（？年）</t>
    <phoneticPr fontId="1" type="noConversion"/>
  </si>
  <si>
    <t>反向传播算法</t>
    <phoneticPr fontId="1" type="noConversion"/>
  </si>
  <si>
    <t>中秋+500，</t>
    <phoneticPr fontId="1" type="noConversion"/>
  </si>
  <si>
    <t>买手机-2398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</si>
</sst>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52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 tint="-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/>
      <diagonal/>
    </border>
    <border>
      <left/>
      <right style="double">
        <color theme="0" tint="-0.499984740745262"/>
      </right>
      <top style="double">
        <color theme="0"/>
      </top>
      <bottom/>
      <diagonal/>
    </border>
    <border>
      <left/>
      <right/>
      <top/>
      <bottom style="double">
        <color theme="0"/>
      </bottom>
      <diagonal/>
    </border>
    <border>
      <left/>
      <right style="double">
        <color theme="0" tint="-0.499984740745262"/>
      </right>
      <top/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auto="1"/>
      </top>
      <bottom/>
      <diagonal/>
    </border>
    <border>
      <left/>
      <right style="double">
        <color theme="0" tint="-0.499984740745262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double">
        <color theme="0" tint="-0.499984740745262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94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176" fontId="5" fillId="0" borderId="1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1" xfId="3" applyFont="1" applyBorder="1">
      <alignment horizontal="left" indent="1"/>
    </xf>
    <xf numFmtId="0" fontId="3" fillId="0" borderId="1" xfId="1" applyFont="1" applyBorder="1">
      <alignment horizontal="left" vertical="top" wrapText="1" indent="1"/>
    </xf>
    <xf numFmtId="0" fontId="3" fillId="2" borderId="1" xfId="2" applyFont="1" applyFill="1">
      <alignment horizontal="left" vertical="top" wrapText="1" indent="1"/>
    </xf>
    <xf numFmtId="0" fontId="0" fillId="0" borderId="0" xfId="0" applyFill="1"/>
    <xf numFmtId="0" fontId="0" fillId="0" borderId="0" xfId="0" applyAlignment="1">
      <alignment horizontal="center"/>
    </xf>
    <xf numFmtId="0" fontId="21" fillId="0" borderId="0" xfId="0" applyFont="1" applyAlignment="1">
      <alignment vertical="top" wrapText="1"/>
    </xf>
    <xf numFmtId="0" fontId="0" fillId="0" borderId="36" xfId="0" applyBorder="1" applyAlignment="1"/>
    <xf numFmtId="0" fontId="0" fillId="0" borderId="36" xfId="0" applyBorder="1"/>
    <xf numFmtId="0" fontId="0" fillId="0" borderId="0" xfId="0" applyBorder="1" applyAlignment="1">
      <alignment horizontal="center"/>
    </xf>
    <xf numFmtId="0" fontId="0" fillId="0" borderId="37" xfId="0" applyBorder="1" applyAlignment="1">
      <alignment horizontal="center"/>
    </xf>
    <xf numFmtId="0" fontId="22" fillId="5" borderId="48" xfId="0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0" fontId="18" fillId="7" borderId="13" xfId="0" applyFont="1" applyFill="1" applyBorder="1" applyAlignment="1">
      <alignment horizontal="center" vertical="center"/>
    </xf>
    <xf numFmtId="58" fontId="0" fillId="6" borderId="11" xfId="0" applyNumberFormat="1" applyFill="1" applyBorder="1"/>
    <xf numFmtId="0" fontId="0" fillId="6" borderId="12" xfId="0" applyFill="1" applyBorder="1" applyAlignment="1">
      <alignment horizontal="center"/>
    </xf>
    <xf numFmtId="0" fontId="0" fillId="6" borderId="11" xfId="0" applyFill="1" applyBorder="1"/>
    <xf numFmtId="0" fontId="17" fillId="6" borderId="11" xfId="0" applyFont="1" applyFill="1" applyBorder="1"/>
    <xf numFmtId="58" fontId="0" fillId="4" borderId="11" xfId="0" applyNumberFormat="1" applyFill="1" applyBorder="1"/>
    <xf numFmtId="0" fontId="0" fillId="4" borderId="12" xfId="0" applyFill="1" applyBorder="1" applyAlignment="1">
      <alignment horizontal="center"/>
    </xf>
    <xf numFmtId="0" fontId="0" fillId="4" borderId="11" xfId="0" applyFill="1" applyBorder="1"/>
    <xf numFmtId="0" fontId="17" fillId="4" borderId="11" xfId="0" applyFont="1" applyFill="1" applyBorder="1"/>
    <xf numFmtId="0" fontId="0" fillId="6" borderId="11" xfId="0" applyNumberFormat="1" applyFill="1" applyBorder="1"/>
    <xf numFmtId="0" fontId="0" fillId="4" borderId="11" xfId="0" applyFill="1" applyBorder="1" applyAlignment="1">
      <alignment horizontal="left"/>
    </xf>
    <xf numFmtId="0" fontId="22" fillId="5" borderId="47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7" xfId="0" applyBorder="1" applyAlignment="1">
      <alignment horizontal="left"/>
    </xf>
    <xf numFmtId="0" fontId="19" fillId="4" borderId="11" xfId="0" applyFont="1" applyFill="1" applyBorder="1"/>
    <xf numFmtId="0" fontId="23" fillId="4" borderId="31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0" fontId="23" fillId="3" borderId="23" xfId="0" applyFont="1" applyFill="1" applyBorder="1"/>
    <xf numFmtId="0" fontId="23" fillId="3" borderId="24" xfId="0" applyFont="1" applyFill="1" applyBorder="1"/>
    <xf numFmtId="0" fontId="23" fillId="3" borderId="25" xfId="0" applyFont="1" applyFill="1" applyBorder="1"/>
    <xf numFmtId="0" fontId="23" fillId="3" borderId="26" xfId="0" applyFont="1" applyFill="1" applyBorder="1"/>
    <xf numFmtId="0" fontId="23" fillId="3" borderId="27" xfId="0" applyFont="1" applyFill="1" applyBorder="1"/>
    <xf numFmtId="0" fontId="23" fillId="0" borderId="28" xfId="0" applyFont="1" applyFill="1" applyBorder="1"/>
    <xf numFmtId="0" fontId="23" fillId="0" borderId="26" xfId="0" applyFont="1" applyFill="1" applyBorder="1"/>
    <xf numFmtId="0" fontId="23" fillId="0" borderId="29" xfId="0" applyFont="1" applyFill="1" applyBorder="1"/>
    <xf numFmtId="0" fontId="23" fillId="3" borderId="30" xfId="0" applyFont="1" applyFill="1" applyBorder="1"/>
    <xf numFmtId="0" fontId="23" fillId="3" borderId="0" xfId="0" applyFont="1" applyFill="1"/>
    <xf numFmtId="0" fontId="23" fillId="3" borderId="21" xfId="0" applyFont="1" applyFill="1" applyBorder="1"/>
    <xf numFmtId="0" fontId="23" fillId="3" borderId="22" xfId="0" applyFont="1" applyFill="1" applyBorder="1"/>
    <xf numFmtId="0" fontId="23" fillId="3" borderId="19" xfId="0" applyFont="1" applyFill="1" applyBorder="1"/>
    <xf numFmtId="0" fontId="23" fillId="3" borderId="16" xfId="0" applyFont="1" applyFill="1" applyBorder="1"/>
    <xf numFmtId="0" fontId="23" fillId="3" borderId="18" xfId="0" applyFont="1" applyFill="1" applyBorder="1"/>
    <xf numFmtId="0" fontId="23" fillId="0" borderId="15" xfId="0" applyFont="1" applyFill="1" applyBorder="1"/>
    <xf numFmtId="0" fontId="23" fillId="0" borderId="16" xfId="0" applyFont="1" applyFill="1" applyBorder="1"/>
    <xf numFmtId="0" fontId="23" fillId="0" borderId="17" xfId="0" applyFont="1" applyFill="1" applyBorder="1"/>
    <xf numFmtId="0" fontId="23" fillId="3" borderId="20" xfId="0" applyFont="1" applyFill="1" applyBorder="1"/>
    <xf numFmtId="4" fontId="23" fillId="3" borderId="16" xfId="0" applyNumberFormat="1" applyFont="1" applyFill="1" applyBorder="1"/>
    <xf numFmtId="0" fontId="23" fillId="3" borderId="32" xfId="0" applyFont="1" applyFill="1" applyBorder="1"/>
    <xf numFmtId="0" fontId="23" fillId="3" borderId="33" xfId="0" applyFont="1" applyFill="1" applyBorder="1"/>
    <xf numFmtId="0" fontId="23" fillId="3" borderId="34" xfId="0" applyFont="1" applyFill="1" applyBorder="1"/>
    <xf numFmtId="0" fontId="0" fillId="0" borderId="50" xfId="0" applyFont="1" applyBorder="1" applyAlignment="1">
      <alignment horizontal="left" vertical="top" wrapText="1"/>
    </xf>
    <xf numFmtId="0" fontId="21" fillId="0" borderId="51" xfId="0" applyFont="1" applyBorder="1" applyAlignment="1">
      <alignment horizontal="left" vertical="top" wrapText="1"/>
    </xf>
    <xf numFmtId="0" fontId="0" fillId="0" borderId="35" xfId="0" applyFont="1" applyBorder="1" applyAlignment="1">
      <alignment horizontal="left" vertical="top" wrapText="1"/>
    </xf>
    <xf numFmtId="0" fontId="21" fillId="0" borderId="35" xfId="0" applyFont="1" applyBorder="1" applyAlignment="1">
      <alignment horizontal="left" vertical="top" wrapText="1"/>
    </xf>
    <xf numFmtId="0" fontId="22" fillId="5" borderId="49" xfId="0" applyFont="1" applyFill="1" applyBorder="1" applyAlignment="1">
      <alignment horizontal="center" vertical="center"/>
    </xf>
    <xf numFmtId="0" fontId="22" fillId="5" borderId="47" xfId="0" applyFont="1" applyFill="1" applyBorder="1" applyAlignment="1">
      <alignment horizontal="center" vertical="center"/>
    </xf>
    <xf numFmtId="0" fontId="20" fillId="0" borderId="35" xfId="0" applyFont="1" applyBorder="1" applyAlignment="1">
      <alignment horizontal="left" vertical="top" wrapText="1"/>
    </xf>
    <xf numFmtId="0" fontId="0" fillId="0" borderId="38" xfId="0" applyFont="1" applyBorder="1" applyAlignment="1">
      <alignment horizontal="left" vertical="top" wrapText="1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20" fillId="0" borderId="39" xfId="0" applyFont="1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5" borderId="46" xfId="0" applyFill="1" applyBorder="1" applyAlignment="1">
      <alignment horizontal="center"/>
    </xf>
    <xf numFmtId="0" fontId="0" fillId="5" borderId="45" xfId="0" applyFill="1" applyBorder="1" applyAlignment="1">
      <alignment horizontal="center"/>
    </xf>
    <xf numFmtId="0" fontId="20" fillId="0" borderId="40" xfId="0" applyFont="1" applyBorder="1" applyAlignment="1">
      <alignment horizontal="left"/>
    </xf>
    <xf numFmtId="0" fontId="20" fillId="0" borderId="43" xfId="0" applyFont="1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</cellXfs>
  <cellStyles count="11"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2A69A2"/>
      <color rgb="FF2C6EAA"/>
      <color rgb="FF327CC0"/>
      <color rgb="FF3381C7"/>
      <color rgb="FF3F89CD"/>
      <color rgb="FF63A0D7"/>
      <color rgb="FF76ABDC"/>
      <color rgb="FF88B6E0"/>
      <color rgb="FF9BC2E5"/>
      <color rgb="FFCE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资金</a:t>
            </a:r>
            <a:r>
              <a:rPr lang="zh-CN"/>
              <a:t>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资金流!$I$1</c:f>
              <c:strCache>
                <c:ptCount val="1"/>
                <c:pt idx="0">
                  <c:v>到手工资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资金流!$I$2:$I$12</c:f>
              <c:numCache>
                <c:formatCode>General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6835.69</c:v>
                </c:pt>
                <c:pt idx="7" formatCode="#,##0.00">
                  <c:v>7285.69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4-4940-BB04-29F1BA483D1B}"/>
            </c:ext>
          </c:extLst>
        </c:ser>
        <c:ser>
          <c:idx val="3"/>
          <c:order val="3"/>
          <c:tx>
            <c:strRef>
              <c:f>资金流!$C$1</c:f>
              <c:strCache>
                <c:ptCount val="1"/>
                <c:pt idx="0">
                  <c:v>社保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资金流!$C$2:$C$12</c:f>
              <c:numCache>
                <c:formatCode>General</c:formatCode>
                <c:ptCount val="11"/>
                <c:pt idx="0">
                  <c:v>346.7</c:v>
                </c:pt>
                <c:pt idx="1">
                  <c:v>346.7</c:v>
                </c:pt>
                <c:pt idx="2">
                  <c:v>346.7</c:v>
                </c:pt>
                <c:pt idx="3">
                  <c:v>346.7</c:v>
                </c:pt>
                <c:pt idx="4">
                  <c:v>346.7</c:v>
                </c:pt>
                <c:pt idx="5">
                  <c:v>346.7</c:v>
                </c:pt>
                <c:pt idx="6">
                  <c:v>380.34</c:v>
                </c:pt>
                <c:pt idx="7">
                  <c:v>380.34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C4-4940-BB04-29F1BA483D1B}"/>
            </c:ext>
          </c:extLst>
        </c:ser>
        <c:ser>
          <c:idx val="5"/>
          <c:order val="4"/>
          <c:tx>
            <c:strRef>
              <c:f>资金流!$G$1</c:f>
              <c:strCache>
                <c:ptCount val="1"/>
                <c:pt idx="0">
                  <c:v>个税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资金流!$G$2:$G$12</c:f>
              <c:numCache>
                <c:formatCode>General</c:formatCode>
                <c:ptCount val="11"/>
                <c:pt idx="1">
                  <c:v>195.33</c:v>
                </c:pt>
                <c:pt idx="2">
                  <c:v>164.24</c:v>
                </c:pt>
                <c:pt idx="3">
                  <c:v>148.33000000000001</c:v>
                </c:pt>
                <c:pt idx="4">
                  <c:v>295.33</c:v>
                </c:pt>
                <c:pt idx="5">
                  <c:v>245.33</c:v>
                </c:pt>
                <c:pt idx="6">
                  <c:v>253.97</c:v>
                </c:pt>
                <c:pt idx="7">
                  <c:v>303.97000000000003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C4-4940-BB04-29F1BA483D1B}"/>
            </c:ext>
          </c:extLst>
        </c:ser>
        <c:ser>
          <c:idx val="4"/>
          <c:order val="5"/>
          <c:tx>
            <c:strRef>
              <c:f>资金流!$E$1</c:f>
              <c:strCache>
                <c:ptCount val="1"/>
                <c:pt idx="0">
                  <c:v>公积金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资金流!$E$2:$E$12</c:f>
              <c:numCache>
                <c:formatCode>General</c:formatCode>
                <c:ptCount val="11"/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50272440"/>
        <c:axId val="750272760"/>
      </c:barChart>
      <c:lineChart>
        <c:grouping val="standard"/>
        <c:varyColors val="0"/>
        <c:ser>
          <c:idx val="0"/>
          <c:order val="0"/>
          <c:tx>
            <c:strRef>
              <c:f>资金流!$B$1</c:f>
              <c:strCache>
                <c:ptCount val="1"/>
                <c:pt idx="0">
                  <c:v>15号剩余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1000</c:v>
                </c:pt>
                <c:pt idx="7">
                  <c:v>3471.41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C4-4940-BB04-29F1BA483D1B}"/>
            </c:ext>
          </c:extLst>
        </c:ser>
        <c:ser>
          <c:idx val="2"/>
          <c:order val="2"/>
          <c:tx>
            <c:strRef>
              <c:f>资金流!$J$1</c:f>
              <c:strCache>
                <c:ptCount val="1"/>
                <c:pt idx="0">
                  <c:v>15号初始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资金流!$J$2:$J$12</c:f>
              <c:numCache>
                <c:formatCode>General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7835.69</c:v>
                </c:pt>
                <c:pt idx="7">
                  <c:v>10757.099999999999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C4-4940-BB04-29F1BA483D1B}"/>
            </c:ext>
          </c:extLst>
        </c:ser>
        <c:ser>
          <c:idx val="8"/>
          <c:order val="6"/>
          <c:tx>
            <c:strRef>
              <c:f>资金流!$O$1</c:f>
              <c:strCache>
                <c:ptCount val="1"/>
                <c:pt idx="0">
                  <c:v>房租支出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资金流!$O$2:$O$12</c:f>
              <c:numCache>
                <c:formatCode>General</c:formatCode>
                <c:ptCount val="11"/>
                <c:pt idx="0">
                  <c:v>684.75</c:v>
                </c:pt>
                <c:pt idx="1">
                  <c:v>633.75</c:v>
                </c:pt>
                <c:pt idx="2">
                  <c:v>647.5</c:v>
                </c:pt>
                <c:pt idx="3">
                  <c:v>1490</c:v>
                </c:pt>
                <c:pt idx="4">
                  <c:v>1652.5</c:v>
                </c:pt>
                <c:pt idx="5">
                  <c:v>974</c:v>
                </c:pt>
                <c:pt idx="6">
                  <c:v>1001.5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C4-4940-BB04-29F1BA483D1B}"/>
            </c:ext>
          </c:extLst>
        </c:ser>
        <c:ser>
          <c:idx val="6"/>
          <c:order val="7"/>
          <c:tx>
            <c:strRef>
              <c:f>资金流!$D$1</c:f>
              <c:strCache>
                <c:ptCount val="1"/>
                <c:pt idx="0">
                  <c:v>社保累积</c:v>
                </c:pt>
              </c:strCache>
            </c:strRef>
          </c:tx>
          <c:spPr>
            <a:ln w="127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资金流!$D$2:$D$12</c:f>
              <c:numCache>
                <c:formatCode>General</c:formatCode>
                <c:ptCount val="11"/>
                <c:pt idx="0">
                  <c:v>346.7</c:v>
                </c:pt>
                <c:pt idx="1">
                  <c:v>693.4</c:v>
                </c:pt>
                <c:pt idx="2">
                  <c:v>1040.0999999999999</c:v>
                </c:pt>
                <c:pt idx="3">
                  <c:v>1386.8</c:v>
                </c:pt>
                <c:pt idx="4">
                  <c:v>1733.5</c:v>
                </c:pt>
                <c:pt idx="5">
                  <c:v>2080.1999999999998</c:v>
                </c:pt>
                <c:pt idx="6">
                  <c:v>2460.54</c:v>
                </c:pt>
                <c:pt idx="7">
                  <c:v>2840.88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C4-4940-BB04-29F1BA483D1B}"/>
            </c:ext>
          </c:extLst>
        </c:ser>
        <c:ser>
          <c:idx val="7"/>
          <c:order val="8"/>
          <c:tx>
            <c:strRef>
              <c:f>资金流!$F$1</c:f>
              <c:strCache>
                <c:ptCount val="1"/>
                <c:pt idx="0">
                  <c:v>公积金累积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资金流!$F$2:$F$12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700</c:v>
                </c:pt>
                <c:pt idx="4">
                  <c:v>1400</c:v>
                </c:pt>
                <c:pt idx="5">
                  <c:v>2100</c:v>
                </c:pt>
                <c:pt idx="6">
                  <c:v>2800</c:v>
                </c:pt>
                <c:pt idx="7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272440"/>
        <c:axId val="750272760"/>
      </c:line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0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房租支出表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资金流!$N$1</c:f>
              <c:strCache>
                <c:ptCount val="1"/>
                <c:pt idx="0">
                  <c:v>电费/元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资金流!$N$2:$N$12</c:f>
              <c:numCache>
                <c:formatCode>General</c:formatCode>
                <c:ptCount val="11"/>
                <c:pt idx="0">
                  <c:v>99.75</c:v>
                </c:pt>
                <c:pt idx="1">
                  <c:v>56.25</c:v>
                </c:pt>
                <c:pt idx="2">
                  <c:v>67.5</c:v>
                </c:pt>
                <c:pt idx="3">
                  <c:v>30</c:v>
                </c:pt>
                <c:pt idx="4">
                  <c:v>130.5</c:v>
                </c:pt>
                <c:pt idx="5">
                  <c:v>162</c:v>
                </c:pt>
                <c:pt idx="6">
                  <c:v>169.5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9-4BA4-9BB7-89C768520B53}"/>
            </c:ext>
          </c:extLst>
        </c:ser>
        <c:ser>
          <c:idx val="0"/>
          <c:order val="1"/>
          <c:tx>
            <c:strRef>
              <c:f>资金流!$L$1</c:f>
              <c:strCache>
                <c:ptCount val="1"/>
                <c:pt idx="0">
                  <c:v>水费/元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资金流!$L$2:$L$12</c:f>
              <c:numCache>
                <c:formatCode>General</c:formatCode>
                <c:ptCount val="11"/>
                <c:pt idx="0">
                  <c:v>15</c:v>
                </c:pt>
                <c:pt idx="1">
                  <c:v>7.5</c:v>
                </c:pt>
                <c:pt idx="2">
                  <c:v>10</c:v>
                </c:pt>
                <c:pt idx="3">
                  <c:v>4</c:v>
                </c:pt>
                <c:pt idx="4">
                  <c:v>16</c:v>
                </c:pt>
                <c:pt idx="5">
                  <c:v>12</c:v>
                </c:pt>
                <c:pt idx="6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09-4BA4-9BB7-89C768520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948408"/>
        <c:axId val="841949048"/>
      </c:barChart>
      <c:lineChart>
        <c:grouping val="standard"/>
        <c:varyColors val="0"/>
        <c:ser>
          <c:idx val="3"/>
          <c:order val="2"/>
          <c:tx>
            <c:strRef>
              <c:f>资金流!$O$1</c:f>
              <c:strCache>
                <c:ptCount val="1"/>
                <c:pt idx="0">
                  <c:v>房租支出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资金流!$O$2:$O$12</c:f>
              <c:numCache>
                <c:formatCode>General</c:formatCode>
                <c:ptCount val="11"/>
                <c:pt idx="0">
                  <c:v>684.75</c:v>
                </c:pt>
                <c:pt idx="1">
                  <c:v>633.75</c:v>
                </c:pt>
                <c:pt idx="2">
                  <c:v>647.5</c:v>
                </c:pt>
                <c:pt idx="3">
                  <c:v>1490</c:v>
                </c:pt>
                <c:pt idx="4">
                  <c:v>1652.5</c:v>
                </c:pt>
                <c:pt idx="5">
                  <c:v>974</c:v>
                </c:pt>
                <c:pt idx="6">
                  <c:v>1001.5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09-4BA4-9BB7-89C768520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107384"/>
        <c:axId val="820106104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0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82010610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0107384"/>
        <c:crosses val="max"/>
        <c:crossBetween val="between"/>
      </c:valAx>
      <c:catAx>
        <c:axId val="820107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0106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12</xdr:row>
      <xdr:rowOff>41226</xdr:rowOff>
    </xdr:from>
    <xdr:to>
      <xdr:col>16</xdr:col>
      <xdr:colOff>1</xdr:colOff>
      <xdr:row>31</xdr:row>
      <xdr:rowOff>2586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71D821-A2FF-4690-80B7-616600266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3552</xdr:rowOff>
    </xdr:from>
    <xdr:to>
      <xdr:col>16</xdr:col>
      <xdr:colOff>5522</xdr:colOff>
      <xdr:row>45</xdr:row>
      <xdr:rowOff>119006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5AF1E8E-F180-4FD9-93A9-A578CBCFD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9DB5-DB89-4682-8758-4B7CCBF271E2}">
  <sheetPr>
    <tabColor theme="4" tint="-0.249977111117893"/>
  </sheetPr>
  <dimension ref="A1:J45"/>
  <sheetViews>
    <sheetView workbookViewId="0">
      <selection activeCell="D3" sqref="D3"/>
    </sheetView>
  </sheetViews>
  <sheetFormatPr defaultRowHeight="14" x14ac:dyDescent="0.3"/>
  <cols>
    <col min="1" max="1" width="8.58203125" style="36" customWidth="1"/>
    <col min="2" max="2" width="15.33203125" style="37" customWidth="1"/>
    <col min="3" max="3" width="37.58203125" style="37" customWidth="1"/>
    <col min="4" max="4" width="37.58203125" style="38" customWidth="1"/>
    <col min="5" max="9" width="12.1640625" customWidth="1"/>
  </cols>
  <sheetData>
    <row r="1" spans="1:10" s="19" customFormat="1" ht="19.5" customHeight="1" thickTop="1" thickBot="1" x14ac:dyDescent="0.35">
      <c r="A1" s="35" t="s">
        <v>122</v>
      </c>
      <c r="B1" s="35" t="s">
        <v>138</v>
      </c>
      <c r="C1" s="35" t="s">
        <v>177</v>
      </c>
      <c r="D1" s="22" t="s">
        <v>178</v>
      </c>
      <c r="E1" s="69" t="s">
        <v>65</v>
      </c>
      <c r="F1" s="70"/>
      <c r="G1" s="70"/>
      <c r="H1" s="70"/>
      <c r="I1" s="70"/>
      <c r="J1" s="18"/>
    </row>
    <row r="2" spans="1:10" ht="14" customHeight="1" x14ac:dyDescent="0.3">
      <c r="A2" s="20" t="s">
        <v>159</v>
      </c>
      <c r="B2" s="16" t="s">
        <v>137</v>
      </c>
      <c r="C2" s="16" t="s">
        <v>140</v>
      </c>
      <c r="D2" s="21" t="s">
        <v>149</v>
      </c>
      <c r="E2" s="71" t="s">
        <v>143</v>
      </c>
      <c r="F2" s="71"/>
      <c r="G2" s="71"/>
      <c r="H2" s="71"/>
      <c r="I2" s="71"/>
      <c r="J2" s="17"/>
    </row>
    <row r="3" spans="1:10" x14ac:dyDescent="0.3">
      <c r="A3" s="20" t="s">
        <v>152</v>
      </c>
      <c r="B3" s="16" t="s">
        <v>139</v>
      </c>
      <c r="C3" s="16" t="s">
        <v>173</v>
      </c>
      <c r="D3" s="21" t="s">
        <v>188</v>
      </c>
      <c r="E3" s="67" t="s">
        <v>151</v>
      </c>
      <c r="F3" s="68"/>
      <c r="G3" s="68"/>
      <c r="H3" s="68"/>
      <c r="I3" s="68"/>
      <c r="J3" s="17"/>
    </row>
    <row r="4" spans="1:10" x14ac:dyDescent="0.3">
      <c r="A4" s="20" t="s">
        <v>153</v>
      </c>
      <c r="B4" s="16" t="s">
        <v>197</v>
      </c>
      <c r="C4" s="16"/>
      <c r="D4" s="21"/>
      <c r="E4" s="67" t="s">
        <v>141</v>
      </c>
      <c r="F4" s="68"/>
      <c r="G4" s="68"/>
      <c r="H4" s="68"/>
      <c r="I4" s="68"/>
      <c r="J4" s="17"/>
    </row>
    <row r="5" spans="1:10" x14ac:dyDescent="0.3">
      <c r="A5" s="20" t="s">
        <v>154</v>
      </c>
      <c r="B5" s="16"/>
      <c r="C5" s="16"/>
      <c r="D5" s="21"/>
      <c r="E5" s="67" t="s">
        <v>142</v>
      </c>
      <c r="F5" s="68"/>
      <c r="G5" s="68"/>
      <c r="H5" s="68"/>
      <c r="I5" s="68"/>
      <c r="J5" s="17"/>
    </row>
    <row r="6" spans="1:10" x14ac:dyDescent="0.3">
      <c r="A6" s="20" t="s">
        <v>155</v>
      </c>
      <c r="B6" s="16"/>
      <c r="C6" s="16"/>
      <c r="D6" s="21"/>
      <c r="E6" s="71" t="s">
        <v>144</v>
      </c>
      <c r="F6" s="71"/>
      <c r="G6" s="71"/>
      <c r="H6" s="71"/>
      <c r="I6" s="71"/>
      <c r="J6" s="17"/>
    </row>
    <row r="7" spans="1:10" x14ac:dyDescent="0.3">
      <c r="A7" s="20" t="s">
        <v>156</v>
      </c>
      <c r="B7" s="16"/>
      <c r="C7" s="16"/>
      <c r="D7" s="21"/>
      <c r="E7" s="67" t="s">
        <v>160</v>
      </c>
      <c r="F7" s="68"/>
      <c r="G7" s="68"/>
      <c r="H7" s="68"/>
      <c r="I7" s="68"/>
      <c r="J7" s="17"/>
    </row>
    <row r="8" spans="1:10" x14ac:dyDescent="0.3">
      <c r="A8" s="20" t="s">
        <v>157</v>
      </c>
      <c r="B8" s="16"/>
      <c r="C8" s="16"/>
      <c r="D8" s="21"/>
      <c r="E8" s="72" t="s">
        <v>150</v>
      </c>
      <c r="F8" s="67"/>
      <c r="G8" s="67"/>
      <c r="H8" s="67"/>
      <c r="I8" s="67"/>
      <c r="J8" s="17"/>
    </row>
    <row r="9" spans="1:10" ht="14.5" thickBot="1" x14ac:dyDescent="0.35">
      <c r="A9" s="20" t="s">
        <v>158</v>
      </c>
      <c r="B9" s="16"/>
      <c r="C9" s="16"/>
      <c r="D9" s="21"/>
      <c r="E9" s="72" t="s">
        <v>184</v>
      </c>
      <c r="F9" s="67"/>
      <c r="G9" s="67"/>
      <c r="H9" s="67"/>
      <c r="I9" s="67"/>
      <c r="J9" s="17"/>
    </row>
    <row r="10" spans="1:10" ht="14.5" thickTop="1" x14ac:dyDescent="0.3">
      <c r="A10" s="78" t="s">
        <v>176</v>
      </c>
      <c r="B10" s="78"/>
      <c r="C10" s="78"/>
      <c r="D10" s="79"/>
      <c r="E10" s="71" t="s">
        <v>146</v>
      </c>
      <c r="F10" s="71"/>
      <c r="G10" s="71"/>
      <c r="H10" s="71"/>
      <c r="I10" s="71"/>
      <c r="J10" s="17"/>
    </row>
    <row r="11" spans="1:10" ht="14.5" thickBot="1" x14ac:dyDescent="0.35">
      <c r="A11" s="81" t="s">
        <v>174</v>
      </c>
      <c r="B11" s="82"/>
      <c r="C11" s="82"/>
      <c r="D11" s="83"/>
      <c r="E11" s="67" t="s">
        <v>145</v>
      </c>
      <c r="F11" s="68"/>
      <c r="G11" s="68"/>
      <c r="H11" s="68"/>
      <c r="I11" s="68"/>
      <c r="J11" s="17"/>
    </row>
    <row r="12" spans="1:10" ht="15" thickTop="1" thickBot="1" x14ac:dyDescent="0.35">
      <c r="A12" s="73" t="s">
        <v>185</v>
      </c>
      <c r="B12" s="73"/>
      <c r="C12" s="73"/>
      <c r="D12" s="74"/>
      <c r="E12" s="67" t="s">
        <v>147</v>
      </c>
      <c r="F12" s="68"/>
      <c r="G12" s="68"/>
      <c r="H12" s="68"/>
      <c r="I12" s="68"/>
      <c r="J12" s="17"/>
    </row>
    <row r="13" spans="1:10" ht="15" thickTop="1" thickBot="1" x14ac:dyDescent="0.35">
      <c r="A13" s="73" t="s">
        <v>199</v>
      </c>
      <c r="B13" s="73"/>
      <c r="C13" s="73"/>
      <c r="D13" s="74"/>
      <c r="E13" s="67" t="s">
        <v>148</v>
      </c>
      <c r="F13" s="68"/>
      <c r="G13" s="68"/>
      <c r="H13" s="68"/>
      <c r="I13" s="68"/>
      <c r="J13" s="17"/>
    </row>
    <row r="14" spans="1:10" ht="15" thickTop="1" thickBot="1" x14ac:dyDescent="0.35">
      <c r="A14" s="73" t="s">
        <v>186</v>
      </c>
      <c r="B14" s="73"/>
      <c r="C14" s="73"/>
      <c r="D14" s="74"/>
      <c r="E14" s="67" t="s">
        <v>198</v>
      </c>
      <c r="F14" s="68"/>
      <c r="G14" s="68"/>
      <c r="H14" s="68"/>
      <c r="I14" s="68"/>
      <c r="J14" s="17"/>
    </row>
    <row r="15" spans="1:10" ht="15" thickTop="1" thickBot="1" x14ac:dyDescent="0.35">
      <c r="A15" s="75" t="s">
        <v>175</v>
      </c>
      <c r="B15" s="73"/>
      <c r="C15" s="73"/>
      <c r="D15" s="74"/>
      <c r="E15" s="71"/>
      <c r="F15" s="71"/>
      <c r="G15" s="71"/>
      <c r="H15" s="71"/>
      <c r="I15" s="71"/>
      <c r="J15" s="17"/>
    </row>
    <row r="16" spans="1:10" ht="15" thickTop="1" thickBot="1" x14ac:dyDescent="0.35">
      <c r="A16" s="73" t="s">
        <v>179</v>
      </c>
      <c r="B16" s="73"/>
      <c r="C16" s="73"/>
      <c r="D16" s="74"/>
      <c r="E16" s="67"/>
      <c r="F16" s="68"/>
      <c r="G16" s="68"/>
      <c r="H16" s="68"/>
      <c r="I16" s="68"/>
      <c r="J16" s="17"/>
    </row>
    <row r="17" spans="1:10" ht="15" thickTop="1" thickBot="1" x14ac:dyDescent="0.35">
      <c r="A17" s="73" t="s">
        <v>187</v>
      </c>
      <c r="B17" s="73"/>
      <c r="C17" s="73"/>
      <c r="D17" s="74"/>
      <c r="E17" s="67"/>
      <c r="F17" s="68"/>
      <c r="G17" s="68"/>
      <c r="H17" s="68"/>
      <c r="I17" s="68"/>
      <c r="J17" s="17"/>
    </row>
    <row r="18" spans="1:10" ht="15" thickTop="1" thickBot="1" x14ac:dyDescent="0.35">
      <c r="A18" s="73"/>
      <c r="B18" s="73"/>
      <c r="C18" s="73"/>
      <c r="D18" s="74"/>
      <c r="E18" s="67"/>
      <c r="F18" s="68"/>
      <c r="G18" s="68"/>
      <c r="H18" s="68"/>
      <c r="I18" s="68"/>
      <c r="J18" s="17"/>
    </row>
    <row r="19" spans="1:10" ht="15" thickTop="1" thickBot="1" x14ac:dyDescent="0.35">
      <c r="A19" s="73"/>
      <c r="B19" s="73"/>
      <c r="C19" s="73"/>
      <c r="D19" s="74"/>
      <c r="E19" s="67"/>
      <c r="F19" s="68"/>
      <c r="G19" s="68"/>
      <c r="H19" s="68"/>
      <c r="I19" s="68"/>
      <c r="J19" s="17"/>
    </row>
    <row r="20" spans="1:10" ht="15" thickTop="1" thickBot="1" x14ac:dyDescent="0.35">
      <c r="A20" s="75"/>
      <c r="B20" s="75"/>
      <c r="C20" s="75"/>
      <c r="D20" s="80"/>
      <c r="E20" s="67"/>
      <c r="F20" s="68"/>
      <c r="G20" s="68"/>
      <c r="H20" s="68"/>
      <c r="I20" s="68"/>
      <c r="J20" s="17"/>
    </row>
    <row r="21" spans="1:10" ht="15" thickTop="1" thickBot="1" x14ac:dyDescent="0.35">
      <c r="A21" s="73" t="s">
        <v>183</v>
      </c>
      <c r="B21" s="73"/>
      <c r="C21" s="73"/>
      <c r="D21" s="74"/>
      <c r="E21" s="67"/>
      <c r="F21" s="68"/>
      <c r="G21" s="68"/>
      <c r="H21" s="68"/>
      <c r="I21" s="68"/>
      <c r="J21" s="17"/>
    </row>
    <row r="22" spans="1:10" ht="15" thickTop="1" thickBot="1" x14ac:dyDescent="0.35">
      <c r="A22" s="75"/>
      <c r="B22" s="73"/>
      <c r="C22" s="73"/>
      <c r="D22" s="74"/>
      <c r="E22" s="67"/>
      <c r="F22" s="68"/>
      <c r="G22" s="68"/>
      <c r="H22" s="68"/>
      <c r="I22" s="68"/>
      <c r="J22" s="17"/>
    </row>
    <row r="23" spans="1:10" ht="15" thickTop="1" thickBot="1" x14ac:dyDescent="0.35">
      <c r="A23" s="73"/>
      <c r="B23" s="73"/>
      <c r="C23" s="73"/>
      <c r="D23" s="74"/>
      <c r="E23" s="67"/>
      <c r="F23" s="68"/>
      <c r="G23" s="68"/>
      <c r="H23" s="68"/>
      <c r="I23" s="68"/>
      <c r="J23" s="17"/>
    </row>
    <row r="24" spans="1:10" ht="15" thickTop="1" thickBot="1" x14ac:dyDescent="0.35">
      <c r="A24" s="73"/>
      <c r="B24" s="73"/>
      <c r="C24" s="73"/>
      <c r="D24" s="74"/>
      <c r="E24" s="67"/>
      <c r="F24" s="68"/>
      <c r="G24" s="68"/>
      <c r="H24" s="68"/>
      <c r="I24" s="68"/>
      <c r="J24" s="17"/>
    </row>
    <row r="25" spans="1:10" ht="15" thickTop="1" thickBot="1" x14ac:dyDescent="0.35">
      <c r="A25" s="73"/>
      <c r="B25" s="73"/>
      <c r="C25" s="73"/>
      <c r="D25" s="74"/>
      <c r="E25" s="67"/>
      <c r="F25" s="68"/>
      <c r="G25" s="68"/>
      <c r="H25" s="68"/>
      <c r="I25" s="68"/>
      <c r="J25" s="17"/>
    </row>
    <row r="26" spans="1:10" ht="15" thickTop="1" thickBot="1" x14ac:dyDescent="0.35">
      <c r="A26" s="73"/>
      <c r="B26" s="73"/>
      <c r="C26" s="73"/>
      <c r="D26" s="74"/>
      <c r="E26" s="67"/>
      <c r="F26" s="68"/>
      <c r="G26" s="68"/>
      <c r="H26" s="68"/>
      <c r="I26" s="68"/>
      <c r="J26" s="17"/>
    </row>
    <row r="27" spans="1:10" ht="15" thickTop="1" thickBot="1" x14ac:dyDescent="0.35">
      <c r="A27" s="76"/>
      <c r="B27" s="76"/>
      <c r="C27" s="76"/>
      <c r="D27" s="77"/>
      <c r="E27" s="67"/>
      <c r="F27" s="68"/>
      <c r="G27" s="68"/>
      <c r="H27" s="68"/>
      <c r="I27" s="68"/>
      <c r="J27" s="17"/>
    </row>
    <row r="28" spans="1:10" ht="15" thickTop="1" thickBot="1" x14ac:dyDescent="0.35">
      <c r="A28" s="76"/>
      <c r="B28" s="76"/>
      <c r="C28" s="76"/>
      <c r="D28" s="77"/>
      <c r="E28" s="67"/>
      <c r="F28" s="68"/>
      <c r="G28" s="68"/>
      <c r="H28" s="68"/>
      <c r="I28" s="68"/>
    </row>
    <row r="29" spans="1:10" ht="15" thickTop="1" thickBot="1" x14ac:dyDescent="0.35">
      <c r="A29" s="76"/>
      <c r="B29" s="76"/>
      <c r="C29" s="76"/>
      <c r="D29" s="77"/>
      <c r="E29" s="67"/>
      <c r="F29" s="68"/>
      <c r="G29" s="68"/>
      <c r="H29" s="68"/>
      <c r="I29" s="68"/>
    </row>
    <row r="30" spans="1:10" ht="15" thickTop="1" thickBot="1" x14ac:dyDescent="0.35">
      <c r="A30" s="76"/>
      <c r="B30" s="76"/>
      <c r="C30" s="76"/>
      <c r="D30" s="77"/>
      <c r="E30" s="67"/>
      <c r="F30" s="68"/>
      <c r="G30" s="68"/>
      <c r="H30" s="68"/>
      <c r="I30" s="68"/>
    </row>
    <row r="31" spans="1:10" ht="15" thickTop="1" thickBot="1" x14ac:dyDescent="0.35">
      <c r="A31" s="76"/>
      <c r="B31" s="76"/>
      <c r="C31" s="76"/>
      <c r="D31" s="77"/>
      <c r="E31" s="67"/>
      <c r="F31" s="68"/>
      <c r="G31" s="68"/>
      <c r="H31" s="68"/>
      <c r="I31" s="68"/>
    </row>
    <row r="32" spans="1:10" ht="15" thickTop="1" thickBot="1" x14ac:dyDescent="0.35">
      <c r="A32" s="76"/>
      <c r="B32" s="76"/>
      <c r="C32" s="76"/>
      <c r="D32" s="77"/>
      <c r="E32" s="67"/>
      <c r="F32" s="68"/>
      <c r="G32" s="68"/>
      <c r="H32" s="68"/>
      <c r="I32" s="68"/>
    </row>
    <row r="33" spans="1:9" ht="15" thickTop="1" thickBot="1" x14ac:dyDescent="0.35">
      <c r="A33" s="76"/>
      <c r="B33" s="76"/>
      <c r="C33" s="76"/>
      <c r="D33" s="77"/>
      <c r="E33" s="67"/>
      <c r="F33" s="68"/>
      <c r="G33" s="68"/>
      <c r="H33" s="68"/>
      <c r="I33" s="68"/>
    </row>
    <row r="34" spans="1:9" ht="15" thickTop="1" thickBot="1" x14ac:dyDescent="0.35">
      <c r="A34" s="76"/>
      <c r="B34" s="76"/>
      <c r="C34" s="76"/>
      <c r="D34" s="77"/>
      <c r="E34" s="67"/>
      <c r="F34" s="68"/>
      <c r="G34" s="68"/>
      <c r="H34" s="68"/>
      <c r="I34" s="68"/>
    </row>
    <row r="35" spans="1:9" ht="15" thickTop="1" thickBot="1" x14ac:dyDescent="0.35">
      <c r="A35" s="76"/>
      <c r="B35" s="76"/>
      <c r="C35" s="76"/>
      <c r="D35" s="77"/>
      <c r="E35" s="67"/>
      <c r="F35" s="68"/>
      <c r="G35" s="68"/>
      <c r="H35" s="68"/>
      <c r="I35" s="68"/>
    </row>
    <row r="36" spans="1:9" ht="15" thickTop="1" thickBot="1" x14ac:dyDescent="0.35">
      <c r="A36" s="76"/>
      <c r="B36" s="76"/>
      <c r="C36" s="76"/>
      <c r="D36" s="77"/>
      <c r="E36" s="65"/>
      <c r="F36" s="66"/>
      <c r="G36" s="66"/>
      <c r="H36" s="66"/>
      <c r="I36" s="66"/>
    </row>
    <row r="37" spans="1:9" ht="15" thickTop="1" thickBot="1" x14ac:dyDescent="0.35">
      <c r="A37" s="76"/>
      <c r="B37" s="76"/>
      <c r="C37" s="76"/>
      <c r="D37" s="77"/>
      <c r="E37" s="65"/>
      <c r="F37" s="66"/>
      <c r="G37" s="66"/>
      <c r="H37" s="66"/>
      <c r="I37" s="66"/>
    </row>
    <row r="38" spans="1:9" ht="15" thickTop="1" thickBot="1" x14ac:dyDescent="0.35">
      <c r="A38" s="76"/>
      <c r="B38" s="76"/>
      <c r="C38" s="76"/>
      <c r="D38" s="77"/>
      <c r="E38" s="65"/>
      <c r="F38" s="66"/>
      <c r="G38" s="66"/>
      <c r="H38" s="66"/>
      <c r="I38" s="66"/>
    </row>
    <row r="39" spans="1:9" ht="15" thickTop="1" thickBot="1" x14ac:dyDescent="0.35">
      <c r="A39" s="76"/>
      <c r="B39" s="76"/>
      <c r="C39" s="76"/>
      <c r="D39" s="77"/>
      <c r="E39" s="65"/>
      <c r="F39" s="66"/>
      <c r="G39" s="66"/>
      <c r="H39" s="66"/>
      <c r="I39" s="66"/>
    </row>
    <row r="40" spans="1:9" ht="15" thickTop="1" thickBot="1" x14ac:dyDescent="0.35">
      <c r="A40" s="76"/>
      <c r="B40" s="76"/>
      <c r="C40" s="76"/>
      <c r="D40" s="77"/>
      <c r="E40" s="65"/>
      <c r="F40" s="66"/>
      <c r="G40" s="66"/>
      <c r="H40" s="66"/>
      <c r="I40" s="66"/>
    </row>
    <row r="41" spans="1:9" ht="15" thickTop="1" thickBot="1" x14ac:dyDescent="0.35">
      <c r="A41" s="76"/>
      <c r="B41" s="76"/>
      <c r="C41" s="76"/>
      <c r="D41" s="77"/>
      <c r="E41" s="65"/>
      <c r="F41" s="66"/>
      <c r="G41" s="66"/>
      <c r="H41" s="66"/>
      <c r="I41" s="66"/>
    </row>
    <row r="42" spans="1:9" ht="15" thickTop="1" thickBot="1" x14ac:dyDescent="0.35">
      <c r="A42" s="76"/>
      <c r="B42" s="76"/>
      <c r="C42" s="76"/>
      <c r="D42" s="77"/>
      <c r="E42" s="65"/>
      <c r="F42" s="66"/>
      <c r="G42" s="66"/>
      <c r="H42" s="66"/>
      <c r="I42" s="66"/>
    </row>
    <row r="43" spans="1:9" ht="15" thickTop="1" thickBot="1" x14ac:dyDescent="0.35">
      <c r="A43" s="76"/>
      <c r="B43" s="76"/>
      <c r="C43" s="76"/>
      <c r="D43" s="77"/>
      <c r="E43" s="65"/>
      <c r="F43" s="66"/>
      <c r="G43" s="66"/>
      <c r="H43" s="66"/>
      <c r="I43" s="66"/>
    </row>
    <row r="44" spans="1:9" ht="15" thickTop="1" thickBot="1" x14ac:dyDescent="0.35">
      <c r="A44" s="76"/>
      <c r="B44" s="76"/>
      <c r="C44" s="76"/>
      <c r="D44" s="77"/>
      <c r="E44" s="65"/>
      <c r="F44" s="66"/>
      <c r="G44" s="66"/>
      <c r="H44" s="66"/>
      <c r="I44" s="66"/>
    </row>
    <row r="45" spans="1:9" ht="14.5" thickTop="1" x14ac:dyDescent="0.3">
      <c r="A45" s="76"/>
      <c r="B45" s="76"/>
      <c r="C45" s="76"/>
      <c r="D45" s="77"/>
      <c r="E45" s="65"/>
      <c r="F45" s="66"/>
      <c r="G45" s="66"/>
      <c r="H45" s="66"/>
      <c r="I45" s="66"/>
    </row>
  </sheetData>
  <mergeCells count="81">
    <mergeCell ref="A37:D37"/>
    <mergeCell ref="A35:D35"/>
    <mergeCell ref="A36:D36"/>
    <mergeCell ref="E36:I36"/>
    <mergeCell ref="A45:D45"/>
    <mergeCell ref="E37:I37"/>
    <mergeCell ref="A40:D40"/>
    <mergeCell ref="A41:D41"/>
    <mergeCell ref="A42:D42"/>
    <mergeCell ref="A43:D43"/>
    <mergeCell ref="A44:D44"/>
    <mergeCell ref="A38:D38"/>
    <mergeCell ref="A39:D39"/>
    <mergeCell ref="E38:I38"/>
    <mergeCell ref="E39:I39"/>
    <mergeCell ref="E40:I40"/>
    <mergeCell ref="E41:I41"/>
    <mergeCell ref="A30:D30"/>
    <mergeCell ref="A31:D31"/>
    <mergeCell ref="A32:D32"/>
    <mergeCell ref="A33:D33"/>
    <mergeCell ref="A34:D34"/>
    <mergeCell ref="A26:D26"/>
    <mergeCell ref="A27:D27"/>
    <mergeCell ref="A10:D10"/>
    <mergeCell ref="A28:D28"/>
    <mergeCell ref="A29:D29"/>
    <mergeCell ref="A21:D21"/>
    <mergeCell ref="A22:D22"/>
    <mergeCell ref="A23:D23"/>
    <mergeCell ref="A24:D24"/>
    <mergeCell ref="A25:D25"/>
    <mergeCell ref="A16:D16"/>
    <mergeCell ref="A17:D17"/>
    <mergeCell ref="A18:D18"/>
    <mergeCell ref="A19:D19"/>
    <mergeCell ref="A20:D20"/>
    <mergeCell ref="A11:D11"/>
    <mergeCell ref="A12:D12"/>
    <mergeCell ref="A13:D13"/>
    <mergeCell ref="A14:D14"/>
    <mergeCell ref="A15:D15"/>
    <mergeCell ref="E2:I2"/>
    <mergeCell ref="E3:I3"/>
    <mergeCell ref="E1:I1"/>
    <mergeCell ref="E15:I15"/>
    <mergeCell ref="E4:I4"/>
    <mergeCell ref="E5:I5"/>
    <mergeCell ref="E6:I6"/>
    <mergeCell ref="E7:I7"/>
    <mergeCell ref="E10:I10"/>
    <mergeCell ref="E11:I11"/>
    <mergeCell ref="E12:I12"/>
    <mergeCell ref="E13:I13"/>
    <mergeCell ref="E14:I14"/>
    <mergeCell ref="E8:I8"/>
    <mergeCell ref="E9:I9"/>
    <mergeCell ref="E26:I26"/>
    <mergeCell ref="E27:I27"/>
    <mergeCell ref="E16:I16"/>
    <mergeCell ref="E17:I17"/>
    <mergeCell ref="E18:I18"/>
    <mergeCell ref="E19:I19"/>
    <mergeCell ref="E20:I20"/>
    <mergeCell ref="E21:I21"/>
    <mergeCell ref="E22:I22"/>
    <mergeCell ref="E23:I23"/>
    <mergeCell ref="E24:I24"/>
    <mergeCell ref="E25:I25"/>
    <mergeCell ref="E44:I44"/>
    <mergeCell ref="E45:I45"/>
    <mergeCell ref="E28:I28"/>
    <mergeCell ref="E29:I29"/>
    <mergeCell ref="E30:I30"/>
    <mergeCell ref="E31:I31"/>
    <mergeCell ref="E32:I32"/>
    <mergeCell ref="E34:I34"/>
    <mergeCell ref="E35:I35"/>
    <mergeCell ref="E33:I33"/>
    <mergeCell ref="E42:I42"/>
    <mergeCell ref="E43:I4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sheetPr>
    <tabColor theme="4" tint="-0.249977111117893"/>
  </sheetPr>
  <dimension ref="A1:P35"/>
  <sheetViews>
    <sheetView tabSelected="1" zoomScale="130" zoomScaleNormal="130" zoomScalePageLayoutView="58" workbookViewId="0">
      <selection activeCell="J9" sqref="J9"/>
    </sheetView>
  </sheetViews>
  <sheetFormatPr defaultRowHeight="11.5" x14ac:dyDescent="0.25"/>
  <cols>
    <col min="1" max="1" width="6.1640625" style="52" customWidth="1"/>
    <col min="2" max="2" width="5.6640625" style="53" customWidth="1"/>
    <col min="3" max="4" width="5.9140625" style="54" customWidth="1"/>
    <col min="5" max="5" width="5.25" style="55" customWidth="1"/>
    <col min="6" max="6" width="5.5" style="55" customWidth="1"/>
    <col min="7" max="7" width="7.33203125" style="55" customWidth="1"/>
    <col min="8" max="8" width="8.08203125" style="55" customWidth="1"/>
    <col min="9" max="9" width="8.6640625" style="55"/>
    <col min="10" max="10" width="9.08203125" style="56" customWidth="1"/>
    <col min="11" max="11" width="4.6640625" style="57" customWidth="1"/>
    <col min="12" max="14" width="4.6640625" style="58" customWidth="1"/>
    <col min="15" max="15" width="5.83203125" style="59" customWidth="1"/>
    <col min="16" max="16" width="25.25" style="60" customWidth="1"/>
    <col min="17" max="16384" width="8.6640625" style="51"/>
  </cols>
  <sheetData>
    <row r="1" spans="1:16" s="41" customFormat="1" ht="26.5" customHeight="1" x14ac:dyDescent="0.3">
      <c r="A1" s="40" t="s">
        <v>122</v>
      </c>
      <c r="B1" s="40" t="s">
        <v>136</v>
      </c>
      <c r="C1" s="40" t="s">
        <v>121</v>
      </c>
      <c r="D1" s="40" t="s">
        <v>133</v>
      </c>
      <c r="E1" s="40" t="s">
        <v>119</v>
      </c>
      <c r="F1" s="40" t="s">
        <v>134</v>
      </c>
      <c r="G1" s="40" t="s">
        <v>120</v>
      </c>
      <c r="H1" s="40" t="s">
        <v>126</v>
      </c>
      <c r="I1" s="40" t="s">
        <v>112</v>
      </c>
      <c r="J1" s="40" t="s">
        <v>135</v>
      </c>
      <c r="K1" s="40" t="s">
        <v>101</v>
      </c>
      <c r="L1" s="40" t="s">
        <v>102</v>
      </c>
      <c r="M1" s="40" t="s">
        <v>103</v>
      </c>
      <c r="N1" s="40" t="s">
        <v>104</v>
      </c>
      <c r="O1" s="40" t="s">
        <v>189</v>
      </c>
      <c r="P1" s="40" t="s">
        <v>65</v>
      </c>
    </row>
    <row r="2" spans="1:16" x14ac:dyDescent="0.25">
      <c r="A2" s="42" t="s">
        <v>113</v>
      </c>
      <c r="B2" s="43">
        <v>0</v>
      </c>
      <c r="C2" s="44">
        <v>346.7</v>
      </c>
      <c r="D2" s="44">
        <f>C2</f>
        <v>346.7</v>
      </c>
      <c r="E2" s="45"/>
      <c r="F2" s="45">
        <v>0</v>
      </c>
      <c r="G2" s="45"/>
      <c r="H2" s="45">
        <f t="shared" ref="H2:H9" si="0">C2+E2+G2</f>
        <v>346.7</v>
      </c>
      <c r="I2" s="45">
        <v>3484.91</v>
      </c>
      <c r="J2" s="46">
        <f t="shared" ref="J2:J9" si="1">I2+B2</f>
        <v>3484.91</v>
      </c>
      <c r="K2" s="47">
        <v>3</v>
      </c>
      <c r="L2" s="48">
        <f t="shared" ref="L2:L3" si="2">K2*5</f>
        <v>15</v>
      </c>
      <c r="M2" s="48">
        <v>66.5</v>
      </c>
      <c r="N2" s="48">
        <f t="shared" ref="N2:N3" si="3">M2*1.5</f>
        <v>99.75</v>
      </c>
      <c r="O2" s="49">
        <f>N2+L2+(1050+90)/2</f>
        <v>684.75</v>
      </c>
      <c r="P2" s="50"/>
    </row>
    <row r="3" spans="1:16" x14ac:dyDescent="0.25">
      <c r="A3" s="52" t="s">
        <v>114</v>
      </c>
      <c r="B3" s="53">
        <v>0</v>
      </c>
      <c r="C3" s="54">
        <v>346.7</v>
      </c>
      <c r="D3" s="54">
        <f>C3+D2</f>
        <v>693.4</v>
      </c>
      <c r="F3" s="55">
        <v>0</v>
      </c>
      <c r="G3" s="55">
        <v>195.33</v>
      </c>
      <c r="H3" s="55">
        <f t="shared" si="0"/>
        <v>542.03</v>
      </c>
      <c r="I3" s="55">
        <v>6307.97</v>
      </c>
      <c r="J3" s="56">
        <f t="shared" si="1"/>
        <v>6307.97</v>
      </c>
      <c r="K3" s="57">
        <v>1.5</v>
      </c>
      <c r="L3" s="58">
        <f t="shared" si="2"/>
        <v>7.5</v>
      </c>
      <c r="M3" s="58">
        <v>37.5</v>
      </c>
      <c r="N3" s="58">
        <f t="shared" si="3"/>
        <v>56.25</v>
      </c>
      <c r="O3" s="59">
        <f t="shared" ref="O3:O4" si="4">N3+L3+(1050+90)/2</f>
        <v>633.75</v>
      </c>
    </row>
    <row r="4" spans="1:16" x14ac:dyDescent="0.25">
      <c r="A4" s="52" t="s">
        <v>115</v>
      </c>
      <c r="B4" s="53">
        <v>0</v>
      </c>
      <c r="C4" s="54">
        <v>346.7</v>
      </c>
      <c r="D4" s="54">
        <f t="shared" ref="D4:D9" si="5">C4+D3</f>
        <v>1040.0999999999999</v>
      </c>
      <c r="F4" s="55">
        <v>0</v>
      </c>
      <c r="G4" s="55">
        <v>164.24</v>
      </c>
      <c r="H4" s="55">
        <f t="shared" si="0"/>
        <v>510.94</v>
      </c>
      <c r="I4" s="55">
        <v>6028.14</v>
      </c>
      <c r="J4" s="56">
        <f t="shared" si="1"/>
        <v>6028.14</v>
      </c>
      <c r="K4" s="57">
        <v>2</v>
      </c>
      <c r="L4" s="58">
        <f>K4*5</f>
        <v>10</v>
      </c>
      <c r="M4" s="58">
        <v>45</v>
      </c>
      <c r="N4" s="58">
        <f>M4*1.5</f>
        <v>67.5</v>
      </c>
      <c r="O4" s="59">
        <f t="shared" si="4"/>
        <v>647.5</v>
      </c>
      <c r="P4" s="60" t="s">
        <v>124</v>
      </c>
    </row>
    <row r="5" spans="1:16" x14ac:dyDescent="0.25">
      <c r="A5" s="52" t="s">
        <v>116</v>
      </c>
      <c r="B5" s="53">
        <v>0</v>
      </c>
      <c r="C5" s="54">
        <v>346.7</v>
      </c>
      <c r="D5" s="54">
        <f t="shared" si="5"/>
        <v>1386.8</v>
      </c>
      <c r="E5" s="55">
        <v>350</v>
      </c>
      <c r="F5" s="55">
        <f>E5*2+F4</f>
        <v>700</v>
      </c>
      <c r="G5" s="55">
        <v>148.33000000000001</v>
      </c>
      <c r="H5" s="55">
        <f t="shared" si="0"/>
        <v>845.03000000000009</v>
      </c>
      <c r="I5" s="55">
        <v>5884.97</v>
      </c>
      <c r="J5" s="56">
        <f t="shared" si="1"/>
        <v>5884.97</v>
      </c>
      <c r="K5" s="57">
        <v>1</v>
      </c>
      <c r="L5" s="58">
        <f>4*K5</f>
        <v>4</v>
      </c>
      <c r="M5" s="58">
        <v>20</v>
      </c>
      <c r="N5" s="58">
        <f>1.5*M5</f>
        <v>30</v>
      </c>
      <c r="O5" s="59">
        <f>800+L5+N5+656</f>
        <v>1490</v>
      </c>
    </row>
    <row r="6" spans="1:16" x14ac:dyDescent="0.25">
      <c r="A6" s="52" t="s">
        <v>117</v>
      </c>
      <c r="B6" s="53">
        <v>0</v>
      </c>
      <c r="C6" s="54">
        <v>346.7</v>
      </c>
      <c r="D6" s="54">
        <f t="shared" si="5"/>
        <v>1733.5</v>
      </c>
      <c r="E6" s="55">
        <v>350</v>
      </c>
      <c r="F6" s="55">
        <f t="shared" ref="F6:F9" si="6">E6*2+F5</f>
        <v>1400</v>
      </c>
      <c r="G6" s="55">
        <v>295.33</v>
      </c>
      <c r="H6" s="55">
        <f t="shared" si="0"/>
        <v>992.03</v>
      </c>
      <c r="I6" s="55">
        <v>7207.97</v>
      </c>
      <c r="J6" s="56">
        <f t="shared" si="1"/>
        <v>7207.97</v>
      </c>
      <c r="K6" s="57">
        <v>4</v>
      </c>
      <c r="L6" s="58">
        <f>4*K6</f>
        <v>16</v>
      </c>
      <c r="M6" s="58">
        <v>87</v>
      </c>
      <c r="N6" s="58">
        <f t="shared" ref="N6:N8" si="7">1.5*M6</f>
        <v>130.5</v>
      </c>
      <c r="O6" s="59">
        <f>800+L6+N6+706</f>
        <v>1652.5</v>
      </c>
      <c r="P6" s="60" t="s">
        <v>190</v>
      </c>
    </row>
    <row r="7" spans="1:16" x14ac:dyDescent="0.25">
      <c r="A7" s="52" t="s">
        <v>118</v>
      </c>
      <c r="B7" s="53">
        <v>0</v>
      </c>
      <c r="C7" s="54">
        <v>346.7</v>
      </c>
      <c r="D7" s="54">
        <f t="shared" si="5"/>
        <v>2080.1999999999998</v>
      </c>
      <c r="E7" s="55">
        <v>350</v>
      </c>
      <c r="F7" s="55">
        <f t="shared" si="6"/>
        <v>2100</v>
      </c>
      <c r="G7" s="55">
        <v>245.33</v>
      </c>
      <c r="H7" s="55">
        <f t="shared" si="0"/>
        <v>942.03000000000009</v>
      </c>
      <c r="I7" s="55">
        <v>6757.97</v>
      </c>
      <c r="J7" s="56">
        <f t="shared" si="1"/>
        <v>6757.97</v>
      </c>
      <c r="K7" s="57">
        <v>3</v>
      </c>
      <c r="L7" s="58">
        <f>4*K7</f>
        <v>12</v>
      </c>
      <c r="M7" s="58">
        <v>108</v>
      </c>
      <c r="N7" s="58">
        <f t="shared" si="7"/>
        <v>162</v>
      </c>
      <c r="O7" s="59">
        <f>800+L7+N7</f>
        <v>974</v>
      </c>
      <c r="P7" s="60" t="s">
        <v>125</v>
      </c>
    </row>
    <row r="8" spans="1:16" x14ac:dyDescent="0.25">
      <c r="A8" s="52" t="s">
        <v>107</v>
      </c>
      <c r="B8" s="53">
        <v>1000</v>
      </c>
      <c r="C8" s="55">
        <v>380.34</v>
      </c>
      <c r="D8" s="54">
        <f t="shared" si="5"/>
        <v>2460.54</v>
      </c>
      <c r="E8" s="55">
        <v>350</v>
      </c>
      <c r="F8" s="55">
        <f t="shared" si="6"/>
        <v>2800</v>
      </c>
      <c r="G8" s="55">
        <v>253.97</v>
      </c>
      <c r="H8" s="55">
        <f t="shared" si="0"/>
        <v>984.31</v>
      </c>
      <c r="I8" s="55">
        <v>6835.69</v>
      </c>
      <c r="J8" s="56">
        <f t="shared" si="1"/>
        <v>7835.69</v>
      </c>
      <c r="K8" s="57">
        <v>8</v>
      </c>
      <c r="L8" s="58">
        <f>4*K8</f>
        <v>32</v>
      </c>
      <c r="M8" s="58">
        <v>113</v>
      </c>
      <c r="N8" s="58">
        <f t="shared" si="7"/>
        <v>169.5</v>
      </c>
      <c r="O8" s="59">
        <f>800+L8+N8</f>
        <v>1001.5</v>
      </c>
      <c r="P8" s="60" t="s">
        <v>172</v>
      </c>
    </row>
    <row r="9" spans="1:16" x14ac:dyDescent="0.25">
      <c r="A9" s="52" t="s">
        <v>108</v>
      </c>
      <c r="B9" s="53">
        <f>3379.37+92.04</f>
        <v>3471.41</v>
      </c>
      <c r="C9" s="54">
        <v>380.34</v>
      </c>
      <c r="D9" s="54">
        <f t="shared" si="5"/>
        <v>2840.88</v>
      </c>
      <c r="E9" s="55">
        <v>350</v>
      </c>
      <c r="F9" s="55">
        <f t="shared" si="6"/>
        <v>3500</v>
      </c>
      <c r="G9" s="55">
        <v>303.97000000000003</v>
      </c>
      <c r="H9" s="55">
        <f t="shared" si="0"/>
        <v>1034.31</v>
      </c>
      <c r="I9" s="61">
        <v>7285.69</v>
      </c>
      <c r="J9" s="56">
        <f t="shared" si="1"/>
        <v>10757.099999999999</v>
      </c>
      <c r="P9" s="60" t="s">
        <v>201</v>
      </c>
    </row>
    <row r="10" spans="1:16" x14ac:dyDescent="0.25">
      <c r="A10" s="52" t="s">
        <v>109</v>
      </c>
      <c r="P10" s="60" t="s">
        <v>202</v>
      </c>
    </row>
    <row r="11" spans="1:16" x14ac:dyDescent="0.25">
      <c r="A11" s="52" t="s">
        <v>110</v>
      </c>
    </row>
    <row r="12" spans="1:16" x14ac:dyDescent="0.25">
      <c r="A12" s="52" t="s">
        <v>111</v>
      </c>
    </row>
    <row r="13" spans="1:16" s="63" customFormat="1" x14ac:dyDescent="0.25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</row>
    <row r="14" spans="1:16" s="64" customFormat="1" x14ac:dyDescent="0.25"/>
    <row r="15" spans="1:16" s="64" customFormat="1" x14ac:dyDescent="0.25"/>
    <row r="16" spans="1:16" s="64" customFormat="1" x14ac:dyDescent="0.25"/>
    <row r="17" s="64" customFormat="1" x14ac:dyDescent="0.25"/>
    <row r="18" s="64" customFormat="1" x14ac:dyDescent="0.25"/>
    <row r="19" s="64" customFormat="1" x14ac:dyDescent="0.25"/>
    <row r="20" s="64" customFormat="1" x14ac:dyDescent="0.25"/>
    <row r="21" s="64" customFormat="1" x14ac:dyDescent="0.25"/>
    <row r="22" s="64" customFormat="1" x14ac:dyDescent="0.25"/>
    <row r="23" s="64" customFormat="1" x14ac:dyDescent="0.25"/>
    <row r="24" s="64" customFormat="1" x14ac:dyDescent="0.25"/>
    <row r="25" s="64" customFormat="1" x14ac:dyDescent="0.25"/>
    <row r="26" s="64" customFormat="1" x14ac:dyDescent="0.25"/>
    <row r="27" s="64" customFormat="1" x14ac:dyDescent="0.25"/>
    <row r="28" s="64" customFormat="1" x14ac:dyDescent="0.25"/>
    <row r="29" s="64" customFormat="1" x14ac:dyDescent="0.25"/>
    <row r="30" s="64" customFormat="1" x14ac:dyDescent="0.25"/>
    <row r="31" s="64" customFormat="1" x14ac:dyDescent="0.25"/>
    <row r="32" s="64" customFormat="1" x14ac:dyDescent="0.25"/>
    <row r="33" spans="1:16" s="64" customFormat="1" x14ac:dyDescent="0.25"/>
    <row r="34" spans="1:16" s="64" customFormat="1" x14ac:dyDescent="0.25"/>
    <row r="35" spans="1:16" x14ac:dyDescent="0.25">
      <c r="A35" s="42"/>
      <c r="B35" s="43"/>
      <c r="C35" s="44"/>
      <c r="D35" s="44"/>
      <c r="E35" s="45"/>
      <c r="F35" s="45"/>
      <c r="G35" s="45"/>
      <c r="H35" s="45"/>
      <c r="I35" s="45"/>
      <c r="J35" s="46"/>
      <c r="K35" s="47"/>
      <c r="L35" s="48"/>
      <c r="M35" s="48"/>
      <c r="N35" s="48"/>
      <c r="O35" s="49"/>
      <c r="P35" s="50"/>
    </row>
  </sheetData>
  <phoneticPr fontId="1" type="noConversion"/>
  <conditionalFormatting sqref="I2:I9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{CC9DB1A0-0773-434B-A2C2-85ACAD9F3157}</x14:id>
        </ext>
      </extLst>
    </cfRule>
  </conditionalFormatting>
  <conditionalFormatting sqref="J2:J9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{830C8F1A-976B-458A-82A7-9ED226115A51}</x14:id>
        </ext>
      </extLst>
    </cfRule>
  </conditionalFormatting>
  <conditionalFormatting sqref="O2:O8">
    <cfRule type="dataBar" priority="21">
      <dataBar>
        <cfvo type="min"/>
        <cfvo type="max"/>
        <color theme="2" tint="-0.249977111117893"/>
      </dataBar>
      <extLst>
        <ext xmlns:x14="http://schemas.microsoft.com/office/spreadsheetml/2009/9/main" uri="{B025F937-C7B1-47D3-B67F-A62EFF666E3E}">
          <x14:id>{87CA306C-2551-44CB-B05E-C67C71AB4407}</x14:id>
        </ext>
      </extLst>
    </cfRule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{C167D2DE-8887-40D0-A80E-2495C6A1EC64}</x14:id>
        </ext>
      </extLst>
    </cfRule>
  </conditionalFormatting>
  <conditionalFormatting sqref="H2:H9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{51E5F634-D2E0-4240-8F6E-C4129F1AAB0C}</x14:id>
        </ext>
      </extLst>
    </cfRule>
  </conditionalFormatting>
  <conditionalFormatting sqref="G3:G9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{569D83C3-434E-4E1D-8F1D-40986916A096}</x14:id>
        </ext>
      </extLst>
    </cfRule>
  </conditionalFormatting>
  <conditionalFormatting sqref="C2:C9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{D9084AE5-7CE2-4D0E-B8D3-FE68CE01B715}</x14:id>
        </ext>
      </extLst>
    </cfRule>
  </conditionalFormatting>
  <conditionalFormatting sqref="E2:E9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{98E6F21A-B38C-4F03-BFC6-29E224F18867}</x14:id>
        </ext>
      </extLst>
    </cfRule>
  </conditionalFormatting>
  <conditionalFormatting sqref="B2:B9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{53690403-CC72-42D2-A6D9-8DA0385FB199}</x14:id>
        </ext>
      </extLst>
    </cfRule>
  </conditionalFormatting>
  <conditionalFormatting sqref="K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{5A25D4D1-CE52-48EA-BB8C-3D5C78E677B3}</x14:id>
        </ext>
      </extLst>
    </cfRule>
  </conditionalFormatting>
  <conditionalFormatting sqref="L2:L9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{20B59DD4-DA24-492F-93F3-30D357E5D246}</x14:id>
        </ext>
      </extLst>
    </cfRule>
  </conditionalFormatting>
  <conditionalFormatting sqref="N2:N8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{97640382-F756-4F49-A841-3ABA657349D0}</x14:id>
        </ext>
      </extLst>
    </cfRule>
  </conditionalFormatting>
  <conditionalFormatting sqref="D2:D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{29349E5C-1EC0-4FFE-93CD-493CBF70F6D9}</x14:id>
        </ext>
      </extLst>
    </cfRule>
  </conditionalFormatting>
  <conditionalFormatting sqref="F2:F9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{1BCD288D-F1F4-4C8A-B081-362B8BD3EAF8}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9DB1A0-0773-434B-A2C2-85ACAD9F31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I2:I9</xm:sqref>
        </x14:conditionalFormatting>
        <x14:conditionalFormatting xmlns:xm="http://schemas.microsoft.com/office/excel/2006/main">
          <x14:cfRule type="dataBar" id="{830C8F1A-976B-458A-82A7-9ED226115A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J2:J9</xm:sqref>
        </x14:conditionalFormatting>
        <x14:conditionalFormatting xmlns:xm="http://schemas.microsoft.com/office/excel/2006/main">
          <x14:cfRule type="dataBar" id="{87CA306C-2551-44CB-B05E-C67C71AB440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167D2DE-8887-40D0-A80E-2495C6A1E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O2:O8</xm:sqref>
        </x14:conditionalFormatting>
        <x14:conditionalFormatting xmlns:xm="http://schemas.microsoft.com/office/excel/2006/main">
          <x14:cfRule type="dataBar" id="{51E5F634-D2E0-4240-8F6E-C4129F1AAB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H2:H9</xm:sqref>
        </x14:conditionalFormatting>
        <x14:conditionalFormatting xmlns:xm="http://schemas.microsoft.com/office/excel/2006/main">
          <x14:cfRule type="dataBar" id="{569D83C3-434E-4E1D-8F1D-40986916A0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G3:G9</xm:sqref>
        </x14:conditionalFormatting>
        <x14:conditionalFormatting xmlns:xm="http://schemas.microsoft.com/office/excel/2006/main">
          <x14:cfRule type="dataBar" id="{D9084AE5-7CE2-4D0E-B8D3-FE68CE01B7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C2:C9</xm:sqref>
        </x14:conditionalFormatting>
        <x14:conditionalFormatting xmlns:xm="http://schemas.microsoft.com/office/excel/2006/main">
          <x14:cfRule type="dataBar" id="{98E6F21A-B38C-4F03-BFC6-29E224F188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E2:E9</xm:sqref>
        </x14:conditionalFormatting>
        <x14:conditionalFormatting xmlns:xm="http://schemas.microsoft.com/office/excel/2006/main">
          <x14:cfRule type="dataBar" id="{53690403-CC72-42D2-A6D9-8DA0385FB1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B2:B9</xm:sqref>
        </x14:conditionalFormatting>
        <x14:conditionalFormatting xmlns:xm="http://schemas.microsoft.com/office/excel/2006/main">
          <x14:cfRule type="dataBar" id="{5A25D4D1-CE52-48EA-BB8C-3D5C78E677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</xm:sqref>
        </x14:conditionalFormatting>
        <x14:conditionalFormatting xmlns:xm="http://schemas.microsoft.com/office/excel/2006/main">
          <x14:cfRule type="dataBar" id="{20B59DD4-DA24-492F-93F3-30D357E5D2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L2:L9</xm:sqref>
        </x14:conditionalFormatting>
        <x14:conditionalFormatting xmlns:xm="http://schemas.microsoft.com/office/excel/2006/main">
          <x14:cfRule type="dataBar" id="{97640382-F756-4F49-A841-3ABA657349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N2:N8</xm:sqref>
        </x14:conditionalFormatting>
        <x14:conditionalFormatting xmlns:xm="http://schemas.microsoft.com/office/excel/2006/main">
          <x14:cfRule type="dataBar" id="{29349E5C-1EC0-4FFE-93CD-493CBF70F6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D2:D9</xm:sqref>
        </x14:conditionalFormatting>
        <x14:conditionalFormatting xmlns:xm="http://schemas.microsoft.com/office/excel/2006/main">
          <x14:cfRule type="dataBar" id="{1BCD288D-F1F4-4C8A-B081-362B8BD3EA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  <pageSetUpPr fitToPage="1"/>
  </sheetPr>
  <dimension ref="B1:H17"/>
  <sheetViews>
    <sheetView showGridLines="0" zoomScaleNormal="100" workbookViewId="0">
      <selection activeCell="I8" sqref="I8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15" customHeight="1" x14ac:dyDescent="0.3">
      <c r="B1" s="11" t="s">
        <v>5</v>
      </c>
      <c r="C1" s="8"/>
      <c r="D1" s="8"/>
      <c r="E1" s="8"/>
      <c r="F1" s="8"/>
      <c r="G1" s="8"/>
      <c r="H1" s="8"/>
    </row>
    <row r="2" spans="2:8" ht="36" customHeight="1" x14ac:dyDescent="0.3">
      <c r="B2" s="10" t="s">
        <v>4</v>
      </c>
      <c r="C2" s="10">
        <f ca="1">YEAR(TODAY())</f>
        <v>2018</v>
      </c>
      <c r="D2" s="10" t="s">
        <v>3</v>
      </c>
      <c r="E2" s="10" t="s">
        <v>2</v>
      </c>
    </row>
    <row r="3" spans="2:8" ht="30" customHeight="1" x14ac:dyDescent="0.75">
      <c r="B3" s="9">
        <f ca="1">CalendarYear</f>
        <v>2018</v>
      </c>
      <c r="D3" s="7" t="s">
        <v>1</v>
      </c>
      <c r="E3" s="8"/>
      <c r="G3" s="7"/>
      <c r="H3" s="7"/>
    </row>
    <row r="4" spans="2:8" ht="45" customHeight="1" x14ac:dyDescent="0.3">
      <c r="B4" s="6" t="s">
        <v>0</v>
      </c>
      <c r="C4" s="6"/>
      <c r="D4" s="6"/>
      <c r="E4" s="6"/>
      <c r="F4" s="5"/>
    </row>
    <row r="5" spans="2:8" ht="18.75" customHeight="1" x14ac:dyDescent="0.3">
      <c r="B5" s="4" t="str">
        <f>周开始日期</f>
        <v>一</v>
      </c>
      <c r="C5" s="4" t="str">
        <f t="shared" ref="C5:H5" ca="1" si="0">LEFT(TEXT(C6,"aaa"),1)</f>
        <v>二</v>
      </c>
      <c r="D5" s="4" t="str">
        <f t="shared" ca="1" si="0"/>
        <v>三</v>
      </c>
      <c r="E5" s="4" t="str">
        <f t="shared" ca="1" si="0"/>
        <v>四</v>
      </c>
      <c r="F5" s="4" t="str">
        <f t="shared" ca="1" si="0"/>
        <v>五</v>
      </c>
      <c r="G5" s="4" t="str">
        <f t="shared" ca="1" si="0"/>
        <v>六</v>
      </c>
      <c r="H5" s="4" t="str">
        <f t="shared" ca="1" si="0"/>
        <v>日</v>
      </c>
    </row>
    <row r="6" spans="2:8" ht="16.5" customHeight="1" x14ac:dyDescent="0.45">
      <c r="B6" s="3">
        <f t="array" aca="1" ref="B6:H6" ca="1">星期日期和周+DATE(CalendarYear,1,1)-WEEKDAY(DATE(CalendarYear,1,1),(周开始日期="一")+1)+1</f>
        <v>43101</v>
      </c>
      <c r="C6" s="3">
        <f ca="1"/>
        <v>43102</v>
      </c>
      <c r="D6" s="3">
        <f ca="1"/>
        <v>43103</v>
      </c>
      <c r="E6" s="3">
        <f ca="1"/>
        <v>43104</v>
      </c>
      <c r="F6" s="3">
        <f ca="1"/>
        <v>43105</v>
      </c>
      <c r="G6" s="3">
        <f ca="1"/>
        <v>43106</v>
      </c>
      <c r="H6" s="3">
        <f ca="1"/>
        <v>43107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3">
        <f t="array" aca="1" ref="B8:H8" ca="1">星期日期和周+DATE(CalendarYear,1,1)-WEEKDAY(DATE(CalendarYear,1,1),(周开始日期="一")+1)+8</f>
        <v>43108</v>
      </c>
      <c r="C8" s="3">
        <f ca="1"/>
        <v>43109</v>
      </c>
      <c r="D8" s="3">
        <f ca="1"/>
        <v>43110</v>
      </c>
      <c r="E8" s="3">
        <f ca="1"/>
        <v>43111</v>
      </c>
      <c r="F8" s="3">
        <f ca="1"/>
        <v>43112</v>
      </c>
      <c r="G8" s="3">
        <f ca="1"/>
        <v>43113</v>
      </c>
      <c r="H8" s="3">
        <f ca="1"/>
        <v>43114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3">
        <f t="array" aca="1" ref="B10:H10" ca="1">星期日期和周+DATE(CalendarYear,1,1)-WEEKDAY(DATE(CalendarYear,1,1),(周开始日期="一")+1)+15</f>
        <v>43115</v>
      </c>
      <c r="C10" s="3">
        <f ca="1"/>
        <v>43116</v>
      </c>
      <c r="D10" s="3">
        <f ca="1"/>
        <v>43117</v>
      </c>
      <c r="E10" s="3">
        <f ca="1"/>
        <v>43118</v>
      </c>
      <c r="F10" s="3">
        <f ca="1"/>
        <v>43119</v>
      </c>
      <c r="G10" s="3">
        <f ca="1"/>
        <v>43120</v>
      </c>
      <c r="H10" s="3">
        <f ca="1"/>
        <v>43121</v>
      </c>
    </row>
    <row r="11" spans="2:8" ht="39.7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3">
        <f t="array" aca="1" ref="B12:H12" ca="1">星期日期和周+DATE(CalendarYear,1,1)-WEEKDAY(DATE(CalendarYear,1,1),(周开始日期="一")+1)+22</f>
        <v>43122</v>
      </c>
      <c r="C12" s="3">
        <f ca="1"/>
        <v>43123</v>
      </c>
      <c r="D12" s="3">
        <f ca="1"/>
        <v>43124</v>
      </c>
      <c r="E12" s="3">
        <f ca="1"/>
        <v>43125</v>
      </c>
      <c r="F12" s="3">
        <f ca="1"/>
        <v>43126</v>
      </c>
      <c r="G12" s="3">
        <f ca="1"/>
        <v>43127</v>
      </c>
      <c r="H12" s="3">
        <f ca="1"/>
        <v>43128</v>
      </c>
    </row>
    <row r="13" spans="2:8" ht="40.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3">
        <f t="array" aca="1" ref="B14:H14" ca="1">星期日期和周+DATE(CalendarYear,1,1)-WEEKDAY(DATE(CalendarYear,1,1),(周开始日期="一")+1)+29</f>
        <v>43129</v>
      </c>
      <c r="C14" s="3">
        <f ca="1"/>
        <v>43130</v>
      </c>
      <c r="D14" s="3">
        <f ca="1"/>
        <v>43131</v>
      </c>
      <c r="E14" s="3">
        <f ca="1"/>
        <v>43132</v>
      </c>
      <c r="F14" s="3">
        <f ca="1"/>
        <v>43133</v>
      </c>
      <c r="G14" s="3">
        <f ca="1"/>
        <v>43134</v>
      </c>
      <c r="H14" s="3">
        <f ca="1"/>
        <v>43135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  <row r="16" spans="2:8" ht="15" customHeight="1" x14ac:dyDescent="0.45">
      <c r="B16" s="3">
        <f t="array" aca="1" ref="B16:H16" ca="1">星期日期和周+DATE(CalendarYear,1,1)-WEEKDAY(DATE(CalendarYear,1,1),(周开始日期="一")+1)+36</f>
        <v>43136</v>
      </c>
      <c r="C16" s="3">
        <f ca="1"/>
        <v>43137</v>
      </c>
      <c r="D16" s="3">
        <f ca="1"/>
        <v>43138</v>
      </c>
      <c r="E16" s="3">
        <f ca="1"/>
        <v>43139</v>
      </c>
      <c r="F16" s="3">
        <f ca="1"/>
        <v>43140</v>
      </c>
      <c r="G16" s="3">
        <f ca="1"/>
        <v>43141</v>
      </c>
      <c r="H16" s="3">
        <f ca="1"/>
        <v>43142</v>
      </c>
    </row>
    <row r="17" spans="2:8" ht="39.75" customHeight="1" x14ac:dyDescent="0.3">
      <c r="B17" s="2"/>
      <c r="C17" s="2"/>
      <c r="D17" s="2"/>
      <c r="E17" s="2"/>
      <c r="F17" s="2"/>
      <c r="G17" s="2"/>
      <c r="H17" s="2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EE1F2"/>
    <pageSetUpPr fitToPage="1"/>
  </sheetPr>
  <dimension ref="B1:H15"/>
  <sheetViews>
    <sheetView showGridLines="0" zoomScaleNormal="100" workbookViewId="0">
      <selection activeCell="D12" sqref="D12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8</v>
      </c>
      <c r="D1" s="7" t="s">
        <v>7</v>
      </c>
      <c r="E1" s="8"/>
    </row>
    <row r="2" spans="2:8" ht="45" customHeight="1" x14ac:dyDescent="0.3">
      <c r="B2" s="6" t="s">
        <v>6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星期日期和周+DATE(CalendarYear,2,1)-WEEKDAY(DATE(CalendarYear,2,1),(周开始日期="一")+1)+1</f>
        <v>43129</v>
      </c>
      <c r="C4" s="12">
        <f ca="1"/>
        <v>43130</v>
      </c>
      <c r="D4" s="12">
        <f ca="1"/>
        <v>43131</v>
      </c>
      <c r="E4" s="12">
        <f ca="1"/>
        <v>43132</v>
      </c>
      <c r="F4" s="12">
        <f ca="1"/>
        <v>43133</v>
      </c>
      <c r="G4" s="12">
        <f ca="1"/>
        <v>43134</v>
      </c>
      <c r="H4" s="12">
        <f ca="1"/>
        <v>43135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星期日期和周+DATE(CalendarYear,2,1)-WEEKDAY(DATE(CalendarYear,2,1),(周开始日期="一")+1)+8</f>
        <v>43136</v>
      </c>
      <c r="C6" s="12">
        <f ca="1"/>
        <v>43137</v>
      </c>
      <c r="D6" s="12">
        <f ca="1"/>
        <v>43138</v>
      </c>
      <c r="E6" s="12">
        <f ca="1"/>
        <v>43139</v>
      </c>
      <c r="F6" s="12">
        <f ca="1"/>
        <v>43140</v>
      </c>
      <c r="G6" s="12">
        <f ca="1"/>
        <v>43141</v>
      </c>
      <c r="H6" s="12">
        <f ca="1"/>
        <v>43142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12">
        <f t="array" aca="1" ref="B8:H8" ca="1">星期日期和周+DATE(CalendarYear,2,1)-WEEKDAY(DATE(CalendarYear,2,1),(周开始日期="一")+1)+15</f>
        <v>43143</v>
      </c>
      <c r="C8" s="12">
        <f ca="1"/>
        <v>43144</v>
      </c>
      <c r="D8" s="12">
        <f ca="1"/>
        <v>43145</v>
      </c>
      <c r="E8" s="12">
        <f ca="1"/>
        <v>43146</v>
      </c>
      <c r="F8" s="12">
        <f ca="1"/>
        <v>43147</v>
      </c>
      <c r="G8" s="12">
        <f ca="1"/>
        <v>43148</v>
      </c>
      <c r="H8" s="12">
        <f ca="1"/>
        <v>43149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12">
        <f t="array" aca="1" ref="B10:H10" ca="1">星期日期和周+DATE(CalendarYear,2,1)-WEEKDAY(DATE(CalendarYear,2,1),(周开始日期="一")+1)+22</f>
        <v>43150</v>
      </c>
      <c r="C10" s="12">
        <f ca="1"/>
        <v>43151</v>
      </c>
      <c r="D10" s="12">
        <f ca="1"/>
        <v>43152</v>
      </c>
      <c r="E10" s="12">
        <f ca="1"/>
        <v>43153</v>
      </c>
      <c r="F10" s="12">
        <f ca="1"/>
        <v>43154</v>
      </c>
      <c r="G10" s="12">
        <f ca="1"/>
        <v>43155</v>
      </c>
      <c r="H10" s="12">
        <f ca="1"/>
        <v>43156</v>
      </c>
    </row>
    <row r="11" spans="2:8" ht="40.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12">
        <f t="array" aca="1" ref="B12:H12" ca="1">星期日期和周+DATE(CalendarYear,2,1)-WEEKDAY(DATE(CalendarYear,2,1),(周开始日期="一")+1)+29</f>
        <v>43157</v>
      </c>
      <c r="C12" s="12">
        <f ca="1"/>
        <v>43158</v>
      </c>
      <c r="D12" s="12">
        <f ca="1"/>
        <v>43159</v>
      </c>
      <c r="E12" s="12">
        <f ca="1"/>
        <v>43160</v>
      </c>
      <c r="F12" s="12">
        <f ca="1"/>
        <v>43161</v>
      </c>
      <c r="G12" s="12">
        <f ca="1"/>
        <v>43162</v>
      </c>
      <c r="H12" s="12">
        <f ca="1"/>
        <v>43163</v>
      </c>
    </row>
    <row r="13" spans="2:8" ht="39.7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12">
        <f t="array" aca="1" ref="B14:H14" ca="1">星期日期和周+DATE(CalendarYear,2,1)-WEEKDAY(DATE(CalendarYear,2,1),(周开始日期="一")+1)+36</f>
        <v>43164</v>
      </c>
      <c r="C14" s="12">
        <f ca="1"/>
        <v>43165</v>
      </c>
      <c r="D14" s="12">
        <f ca="1"/>
        <v>43166</v>
      </c>
      <c r="E14" s="12">
        <f ca="1"/>
        <v>43167</v>
      </c>
      <c r="F14" s="12">
        <f ca="1"/>
        <v>43168</v>
      </c>
      <c r="G14" s="12">
        <f ca="1"/>
        <v>43169</v>
      </c>
      <c r="H14" s="12">
        <f ca="1"/>
        <v>43170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BC2E5"/>
    <pageSetUpPr fitToPage="1"/>
  </sheetPr>
  <dimension ref="B1:H15"/>
  <sheetViews>
    <sheetView showGridLines="0" topLeftCell="A5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11</v>
      </c>
      <c r="D1" s="7" t="s">
        <v>10</v>
      </c>
      <c r="E1" s="8"/>
      <c r="F1" s="8"/>
      <c r="G1" s="8"/>
      <c r="H1" s="7"/>
    </row>
    <row r="2" spans="2:8" ht="45" customHeight="1" x14ac:dyDescent="0.3">
      <c r="B2" s="6" t="s">
        <v>9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星期日期和周+DATE(CalendarYear,3,1)-WEEKDAY(DATE(CalendarYear,3,1),(周开始日期="一")+1)+1</f>
        <v>43157</v>
      </c>
      <c r="C4" s="12">
        <f ca="1"/>
        <v>43158</v>
      </c>
      <c r="D4" s="12">
        <f ca="1"/>
        <v>43159</v>
      </c>
      <c r="E4" s="12">
        <f ca="1"/>
        <v>43160</v>
      </c>
      <c r="F4" s="12">
        <f ca="1"/>
        <v>43161</v>
      </c>
      <c r="G4" s="12">
        <f ca="1"/>
        <v>43162</v>
      </c>
      <c r="H4" s="12">
        <f ca="1"/>
        <v>43163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星期日期和周+DATE(CalendarYear,3,1)-WEEKDAY(DATE(CalendarYear,3,1),(周开始日期="一")+1)+8</f>
        <v>43164</v>
      </c>
      <c r="C6" s="12">
        <f ca="1"/>
        <v>43165</v>
      </c>
      <c r="D6" s="12">
        <f ca="1"/>
        <v>43166</v>
      </c>
      <c r="E6" s="12">
        <f ca="1"/>
        <v>43167</v>
      </c>
      <c r="F6" s="12">
        <f ca="1"/>
        <v>43168</v>
      </c>
      <c r="G6" s="12">
        <f ca="1"/>
        <v>43169</v>
      </c>
      <c r="H6" s="12">
        <f ca="1"/>
        <v>43170</v>
      </c>
    </row>
    <row r="7" spans="2:8" ht="39.75" customHeight="1" x14ac:dyDescent="0.3">
      <c r="B7" s="2"/>
      <c r="C7" s="2"/>
      <c r="D7" s="2"/>
      <c r="E7" s="2"/>
      <c r="F7" s="2"/>
      <c r="G7" s="2"/>
      <c r="H7" s="14" t="s">
        <v>39</v>
      </c>
    </row>
    <row r="8" spans="2:8" ht="15" customHeight="1" x14ac:dyDescent="0.45">
      <c r="B8" s="12">
        <f t="array" aca="1" ref="B8:H8" ca="1">星期日期和周+DATE(CalendarYear,3,1)-WEEKDAY(DATE(CalendarYear,3,1),(周开始日期="一")+1)+15</f>
        <v>43171</v>
      </c>
      <c r="C8" s="12">
        <f ca="1"/>
        <v>43172</v>
      </c>
      <c r="D8" s="12">
        <f ca="1"/>
        <v>43173</v>
      </c>
      <c r="E8" s="12">
        <f ca="1"/>
        <v>43174</v>
      </c>
      <c r="F8" s="12">
        <f ca="1"/>
        <v>43175</v>
      </c>
      <c r="G8" s="12">
        <f ca="1"/>
        <v>43176</v>
      </c>
      <c r="H8" s="12">
        <f ca="1"/>
        <v>43177</v>
      </c>
    </row>
    <row r="9" spans="2:8" ht="39.75" customHeight="1" x14ac:dyDescent="0.3">
      <c r="B9" s="14"/>
      <c r="C9" s="14"/>
      <c r="D9" s="14"/>
      <c r="E9" s="2"/>
      <c r="F9" s="14"/>
      <c r="G9" s="2"/>
      <c r="H9" s="14"/>
    </row>
    <row r="10" spans="2:8" ht="15" customHeight="1" x14ac:dyDescent="0.45">
      <c r="B10" s="12">
        <f t="array" aca="1" ref="B10:H10" ca="1">星期日期和周+DATE(CalendarYear,3,1)-WEEKDAY(DATE(CalendarYear,3,1),(周开始日期="一")+1)+22</f>
        <v>43178</v>
      </c>
      <c r="C10" s="12">
        <f ca="1"/>
        <v>43179</v>
      </c>
      <c r="D10" s="12">
        <f ca="1"/>
        <v>43180</v>
      </c>
      <c r="E10" s="12">
        <f ca="1"/>
        <v>43181</v>
      </c>
      <c r="F10" s="12">
        <f ca="1"/>
        <v>43182</v>
      </c>
      <c r="G10" s="12">
        <f ca="1"/>
        <v>43183</v>
      </c>
      <c r="H10" s="12">
        <f ca="1"/>
        <v>43184</v>
      </c>
    </row>
    <row r="11" spans="2:8" ht="40.5" customHeight="1" x14ac:dyDescent="0.3">
      <c r="B11" s="2"/>
      <c r="C11" s="14"/>
      <c r="D11" s="2"/>
      <c r="E11" s="14"/>
      <c r="F11" s="14" t="s">
        <v>40</v>
      </c>
      <c r="G11" s="2"/>
      <c r="H11" s="14"/>
    </row>
    <row r="12" spans="2:8" ht="15" customHeight="1" x14ac:dyDescent="0.45">
      <c r="B12" s="12">
        <f t="array" aca="1" ref="B12:H12" ca="1">星期日期和周+DATE(CalendarYear,3,1)-WEEKDAY(DATE(CalendarYear,3,1),(周开始日期="一")+1)+29</f>
        <v>43185</v>
      </c>
      <c r="C12" s="12">
        <f ca="1"/>
        <v>43186</v>
      </c>
      <c r="D12" s="12">
        <f ca="1"/>
        <v>43187</v>
      </c>
      <c r="E12" s="12">
        <f ca="1"/>
        <v>43188</v>
      </c>
      <c r="F12" s="12">
        <f ca="1"/>
        <v>43189</v>
      </c>
      <c r="G12" s="12">
        <f ca="1"/>
        <v>43190</v>
      </c>
      <c r="H12" s="12">
        <f ca="1"/>
        <v>43191</v>
      </c>
    </row>
    <row r="13" spans="2:8" ht="39.75" customHeight="1" x14ac:dyDescent="0.3">
      <c r="B13" s="14"/>
      <c r="C13" s="14"/>
      <c r="D13" s="14"/>
      <c r="E13" s="14"/>
      <c r="F13" s="2"/>
      <c r="G13" s="2"/>
      <c r="H13" s="14"/>
    </row>
    <row r="14" spans="2:8" ht="15" customHeight="1" x14ac:dyDescent="0.45">
      <c r="B14" s="12">
        <f t="array" aca="1" ref="B14:H14" ca="1">星期日期和周+DATE(CalendarYear,3,1)-WEEKDAY(DATE(CalendarYear,3,1),(周开始日期="一")+1)+36</f>
        <v>43192</v>
      </c>
      <c r="C14" s="12">
        <f ca="1"/>
        <v>43193</v>
      </c>
      <c r="D14" s="12">
        <f ca="1"/>
        <v>43194</v>
      </c>
      <c r="E14" s="12">
        <f ca="1"/>
        <v>43195</v>
      </c>
      <c r="F14" s="12">
        <f ca="1"/>
        <v>43196</v>
      </c>
      <c r="G14" s="12">
        <f ca="1"/>
        <v>43197</v>
      </c>
      <c r="H14" s="12">
        <f ca="1"/>
        <v>43198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8B6E0"/>
    <pageSetUpPr fitToPage="1"/>
  </sheetPr>
  <dimension ref="B1:M15"/>
  <sheetViews>
    <sheetView showGridLines="0" topLeftCell="B4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14</v>
      </c>
      <c r="D1" s="7" t="s">
        <v>13</v>
      </c>
      <c r="E1" s="8"/>
      <c r="F1" s="8"/>
      <c r="G1" s="8"/>
      <c r="H1" s="7"/>
    </row>
    <row r="2" spans="2:13" ht="45" customHeight="1" x14ac:dyDescent="0.3">
      <c r="B2" s="6" t="s">
        <v>12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1" t="s">
        <v>41</v>
      </c>
      <c r="K3" s="92"/>
      <c r="L3" s="92"/>
      <c r="M3" s="93"/>
    </row>
    <row r="4" spans="2:13" ht="16.5" customHeight="1" x14ac:dyDescent="0.45">
      <c r="B4" s="12">
        <f t="array" aca="1" ref="B4:H4" ca="1">星期日期和周+DATE(CalendarYear,4,1)-WEEKDAY(DATE(CalendarYear,4,1),(周开始日期="一")+1)+1</f>
        <v>43185</v>
      </c>
      <c r="C4" s="12">
        <f ca="1"/>
        <v>43186</v>
      </c>
      <c r="D4" s="12">
        <f ca="1"/>
        <v>43187</v>
      </c>
      <c r="E4" s="12">
        <f ca="1"/>
        <v>43188</v>
      </c>
      <c r="F4" s="12">
        <f ca="1"/>
        <v>43189</v>
      </c>
      <c r="G4" s="12">
        <f ca="1"/>
        <v>43190</v>
      </c>
      <c r="H4" s="12">
        <f ca="1"/>
        <v>43191</v>
      </c>
      <c r="J4" s="84"/>
      <c r="K4" s="85"/>
      <c r="L4" s="85"/>
      <c r="M4" s="86"/>
    </row>
    <row r="5" spans="2:13" ht="39.75" customHeight="1" x14ac:dyDescent="0.3">
      <c r="B5" s="14"/>
      <c r="C5" s="14"/>
      <c r="D5" s="14"/>
      <c r="E5" s="14"/>
      <c r="F5" s="2"/>
      <c r="G5" s="2"/>
      <c r="H5" s="14"/>
      <c r="J5" s="87"/>
      <c r="K5" s="88"/>
      <c r="L5" s="88"/>
      <c r="M5" s="89"/>
    </row>
    <row r="6" spans="2:13" ht="15" customHeight="1" x14ac:dyDescent="0.45">
      <c r="B6" s="12">
        <f t="array" aca="1" ref="B6:H6" ca="1">星期日期和周+DATE(CalendarYear,4,1)-WEEKDAY(DATE(CalendarYear,4,1),(周开始日期="一")+1)+8</f>
        <v>43192</v>
      </c>
      <c r="C6" s="12">
        <f ca="1"/>
        <v>43193</v>
      </c>
      <c r="D6" s="12">
        <f ca="1"/>
        <v>43194</v>
      </c>
      <c r="E6" s="12">
        <f ca="1"/>
        <v>43195</v>
      </c>
      <c r="F6" s="12">
        <f ca="1"/>
        <v>43196</v>
      </c>
      <c r="G6" s="12">
        <f ca="1"/>
        <v>43197</v>
      </c>
      <c r="H6" s="12">
        <f ca="1"/>
        <v>43198</v>
      </c>
      <c r="J6" s="84"/>
      <c r="K6" s="85"/>
      <c r="L6" s="85"/>
      <c r="M6" s="86"/>
    </row>
    <row r="7" spans="2:13" ht="39.75" customHeight="1" x14ac:dyDescent="0.3">
      <c r="B7" s="2"/>
      <c r="C7" s="14"/>
      <c r="D7" s="2"/>
      <c r="E7" s="2"/>
      <c r="F7" s="2"/>
      <c r="G7" s="2"/>
      <c r="H7" s="2"/>
      <c r="J7" s="87"/>
      <c r="K7" s="88"/>
      <c r="L7" s="88"/>
      <c r="M7" s="89"/>
    </row>
    <row r="8" spans="2:13" ht="15" customHeight="1" x14ac:dyDescent="0.45">
      <c r="B8" s="12">
        <f t="array" aca="1" ref="B8:H8" ca="1">星期日期和周+DATE(CalendarYear,4,1)-WEEKDAY(DATE(CalendarYear,4,1),(周开始日期="一")+1)+15</f>
        <v>43199</v>
      </c>
      <c r="C8" s="12">
        <f ca="1"/>
        <v>43200</v>
      </c>
      <c r="D8" s="12">
        <f ca="1"/>
        <v>43201</v>
      </c>
      <c r="E8" s="12">
        <f ca="1"/>
        <v>43202</v>
      </c>
      <c r="F8" s="12">
        <f ca="1"/>
        <v>43203</v>
      </c>
      <c r="G8" s="12">
        <f ca="1"/>
        <v>43204</v>
      </c>
      <c r="H8" s="12">
        <f ca="1"/>
        <v>43205</v>
      </c>
      <c r="J8" s="84"/>
      <c r="K8" s="85"/>
      <c r="L8" s="85"/>
      <c r="M8" s="86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87"/>
      <c r="K9" s="88"/>
      <c r="L9" s="88"/>
      <c r="M9" s="89"/>
    </row>
    <row r="10" spans="2:13" ht="15" customHeight="1" x14ac:dyDescent="0.45">
      <c r="B10" s="12">
        <f t="array" aca="1" ref="B10:H10" ca="1">星期日期和周+DATE(CalendarYear,4,1)-WEEKDAY(DATE(CalendarYear,4,1),(周开始日期="一")+1)+22</f>
        <v>43206</v>
      </c>
      <c r="C10" s="12">
        <f ca="1"/>
        <v>43207</v>
      </c>
      <c r="D10" s="12">
        <f ca="1"/>
        <v>43208</v>
      </c>
      <c r="E10" s="12">
        <f ca="1"/>
        <v>43209</v>
      </c>
      <c r="F10" s="12">
        <f ca="1"/>
        <v>43210</v>
      </c>
      <c r="G10" s="12">
        <f ca="1"/>
        <v>43211</v>
      </c>
      <c r="H10" s="12">
        <f ca="1"/>
        <v>43212</v>
      </c>
      <c r="J10" s="84" t="s">
        <v>42</v>
      </c>
      <c r="K10" s="85"/>
      <c r="L10" s="85"/>
      <c r="M10" s="86"/>
    </row>
    <row r="11" spans="2:13" ht="40.5" customHeight="1" x14ac:dyDescent="0.3">
      <c r="B11" s="14"/>
      <c r="C11" s="2"/>
      <c r="D11" s="14"/>
      <c r="E11" s="2"/>
      <c r="F11" s="2"/>
      <c r="G11" s="2"/>
      <c r="H11" s="2"/>
      <c r="J11" s="87"/>
      <c r="K11" s="88"/>
      <c r="L11" s="88"/>
      <c r="M11" s="89"/>
    </row>
    <row r="12" spans="2:13" ht="15" customHeight="1" x14ac:dyDescent="0.45">
      <c r="B12" s="12">
        <f t="array" aca="1" ref="B12:H12" ca="1">星期日期和周+DATE(CalendarYear,4,1)-WEEKDAY(DATE(CalendarYear,4,1),(周开始日期="一")+1)+29</f>
        <v>43213</v>
      </c>
      <c r="C12" s="12">
        <f ca="1"/>
        <v>43214</v>
      </c>
      <c r="D12" s="12">
        <f ca="1"/>
        <v>43215</v>
      </c>
      <c r="E12" s="12">
        <f ca="1"/>
        <v>43216</v>
      </c>
      <c r="F12" s="12">
        <f ca="1"/>
        <v>43217</v>
      </c>
      <c r="G12" s="12">
        <f ca="1"/>
        <v>43218</v>
      </c>
      <c r="H12" s="12">
        <f ca="1"/>
        <v>43219</v>
      </c>
      <c r="J12" s="84" t="s">
        <v>43</v>
      </c>
      <c r="K12" s="85"/>
      <c r="L12" s="85"/>
      <c r="M12" s="86"/>
    </row>
    <row r="13" spans="2:13" ht="39.75" customHeight="1" x14ac:dyDescent="0.3">
      <c r="B13" s="2"/>
      <c r="C13" s="2"/>
      <c r="D13" s="2"/>
      <c r="E13" s="2"/>
      <c r="F13" s="2"/>
      <c r="G13" s="2" t="s">
        <v>53</v>
      </c>
      <c r="H13" s="2"/>
      <c r="J13" s="87"/>
      <c r="K13" s="88"/>
      <c r="L13" s="88"/>
      <c r="M13" s="89"/>
    </row>
    <row r="14" spans="2:13" ht="15" customHeight="1" x14ac:dyDescent="0.45">
      <c r="B14" s="12">
        <f t="array" aca="1" ref="B14:H14" ca="1">星期日期和周+DATE(CalendarYear,4,1)-WEEKDAY(DATE(CalendarYear,4,1),(周开始日期="一")+1)+36</f>
        <v>43220</v>
      </c>
      <c r="C14" s="12">
        <f ca="1"/>
        <v>43221</v>
      </c>
      <c r="D14" s="12">
        <f ca="1"/>
        <v>43222</v>
      </c>
      <c r="E14" s="12">
        <f ca="1"/>
        <v>43223</v>
      </c>
      <c r="F14" s="12">
        <f ca="1"/>
        <v>43224</v>
      </c>
      <c r="G14" s="12">
        <f ca="1"/>
        <v>43225</v>
      </c>
      <c r="H14" s="12">
        <f ca="1"/>
        <v>43226</v>
      </c>
      <c r="J14" s="85"/>
      <c r="K14" s="85"/>
      <c r="L14" s="85"/>
      <c r="M14" s="85"/>
    </row>
    <row r="15" spans="2:13" ht="39.75" customHeight="1" x14ac:dyDescent="0.3">
      <c r="B15" s="2" t="s">
        <v>44</v>
      </c>
      <c r="C15" s="2"/>
      <c r="D15" s="2"/>
      <c r="E15" s="2"/>
      <c r="F15" s="2"/>
      <c r="G15" s="2"/>
      <c r="H15" s="2"/>
      <c r="J15" s="90"/>
      <c r="K15" s="90"/>
      <c r="L15" s="90"/>
      <c r="M15" s="90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6ABDC"/>
    <pageSetUpPr fitToPage="1"/>
  </sheetPr>
  <dimension ref="B1:M15"/>
  <sheetViews>
    <sheetView showGridLines="0" topLeftCell="A2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17</v>
      </c>
      <c r="D1" s="7" t="s">
        <v>16</v>
      </c>
      <c r="E1" s="8"/>
      <c r="F1" s="8"/>
      <c r="G1" s="8"/>
      <c r="H1" s="7"/>
    </row>
    <row r="2" spans="2:13" ht="45" customHeight="1" x14ac:dyDescent="0.3">
      <c r="B2" s="6" t="s">
        <v>15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1" t="s">
        <v>41</v>
      </c>
      <c r="K3" s="92"/>
      <c r="L3" s="92"/>
      <c r="M3" s="93"/>
    </row>
    <row r="4" spans="2:13" ht="16.5" customHeight="1" x14ac:dyDescent="0.45">
      <c r="B4" s="12">
        <f t="array" aca="1" ref="B4:H4" ca="1">星期日期和周+DATE(CalendarYear,5,1)-WEEKDAY(DATE(CalendarYear,5,1),(周开始日期="一")+1)+1</f>
        <v>43220</v>
      </c>
      <c r="C4" s="12">
        <f ca="1"/>
        <v>43221</v>
      </c>
      <c r="D4" s="12">
        <f ca="1"/>
        <v>43222</v>
      </c>
      <c r="E4" s="12">
        <f ca="1"/>
        <v>43223</v>
      </c>
      <c r="F4" s="12">
        <f ca="1"/>
        <v>43224</v>
      </c>
      <c r="G4" s="12">
        <f ca="1"/>
        <v>43225</v>
      </c>
      <c r="H4" s="12">
        <f ca="1"/>
        <v>43226</v>
      </c>
      <c r="J4" s="84" t="s">
        <v>45</v>
      </c>
      <c r="K4" s="85"/>
      <c r="L4" s="85"/>
      <c r="M4" s="86"/>
    </row>
    <row r="5" spans="2:13" ht="39.75" customHeight="1" x14ac:dyDescent="0.3">
      <c r="B5" s="2"/>
      <c r="C5" s="2"/>
      <c r="D5" s="2"/>
      <c r="E5" s="14"/>
      <c r="F5" s="2"/>
      <c r="G5" s="2"/>
      <c r="H5" s="2"/>
      <c r="J5" s="87"/>
      <c r="K5" s="88"/>
      <c r="L5" s="88"/>
      <c r="M5" s="89"/>
    </row>
    <row r="6" spans="2:13" ht="15" customHeight="1" x14ac:dyDescent="0.45">
      <c r="B6" s="12">
        <f t="array" aca="1" ref="B6:H6" ca="1">星期日期和周+DATE(CalendarYear,5,1)-WEEKDAY(DATE(CalendarYear,5,1),(周开始日期="一")+1)+8</f>
        <v>43227</v>
      </c>
      <c r="C6" s="12">
        <f ca="1"/>
        <v>43228</v>
      </c>
      <c r="D6" s="12">
        <f ca="1"/>
        <v>43229</v>
      </c>
      <c r="E6" s="12">
        <f ca="1"/>
        <v>43230</v>
      </c>
      <c r="F6" s="12">
        <f ca="1"/>
        <v>43231</v>
      </c>
      <c r="G6" s="12">
        <f ca="1"/>
        <v>43232</v>
      </c>
      <c r="H6" s="12">
        <f ca="1"/>
        <v>43233</v>
      </c>
      <c r="J6" s="84" t="s">
        <v>47</v>
      </c>
      <c r="K6" s="85"/>
      <c r="L6" s="85"/>
      <c r="M6" s="86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87"/>
      <c r="K7" s="88"/>
      <c r="L7" s="88"/>
      <c r="M7" s="89"/>
    </row>
    <row r="8" spans="2:13" ht="15" customHeight="1" x14ac:dyDescent="0.45">
      <c r="B8" s="12">
        <f t="array" aca="1" ref="B8:H8" ca="1">星期日期和周+DATE(CalendarYear,5,1)-WEEKDAY(DATE(CalendarYear,5,1),(周开始日期="一")+1)+15</f>
        <v>43234</v>
      </c>
      <c r="C8" s="12">
        <f ca="1"/>
        <v>43235</v>
      </c>
      <c r="D8" s="12">
        <f ca="1"/>
        <v>43236</v>
      </c>
      <c r="E8" s="12">
        <f ca="1"/>
        <v>43237</v>
      </c>
      <c r="F8" s="12">
        <f ca="1"/>
        <v>43238</v>
      </c>
      <c r="G8" s="12">
        <f ca="1"/>
        <v>43239</v>
      </c>
      <c r="H8" s="12">
        <f ca="1"/>
        <v>43240</v>
      </c>
      <c r="J8" s="84" t="s">
        <v>46</v>
      </c>
      <c r="K8" s="85"/>
      <c r="L8" s="85"/>
      <c r="M8" s="86"/>
    </row>
    <row r="9" spans="2:13" ht="39.75" customHeight="1" x14ac:dyDescent="0.3">
      <c r="B9" s="2"/>
      <c r="C9" s="2"/>
      <c r="D9" s="14"/>
      <c r="E9" s="2"/>
      <c r="F9" s="14"/>
      <c r="G9" s="2"/>
      <c r="H9" s="2"/>
      <c r="J9" s="87"/>
      <c r="K9" s="88"/>
      <c r="L9" s="88"/>
      <c r="M9" s="89"/>
    </row>
    <row r="10" spans="2:13" ht="15" customHeight="1" x14ac:dyDescent="0.45">
      <c r="B10" s="12">
        <f t="array" aca="1" ref="B10:H10" ca="1">星期日期和周+DATE(CalendarYear,5,1)-WEEKDAY(DATE(CalendarYear,5,1),(周开始日期="一")+1)+22</f>
        <v>43241</v>
      </c>
      <c r="C10" s="12">
        <f ca="1"/>
        <v>43242</v>
      </c>
      <c r="D10" s="12">
        <f ca="1"/>
        <v>43243</v>
      </c>
      <c r="E10" s="12">
        <f ca="1"/>
        <v>43244</v>
      </c>
      <c r="F10" s="12">
        <f ca="1"/>
        <v>43245</v>
      </c>
      <c r="G10" s="12">
        <f ca="1"/>
        <v>43246</v>
      </c>
      <c r="H10" s="12">
        <f ca="1"/>
        <v>43247</v>
      </c>
      <c r="J10" s="84" t="s">
        <v>48</v>
      </c>
      <c r="K10" s="85"/>
      <c r="L10" s="85"/>
      <c r="M10" s="86"/>
    </row>
    <row r="11" spans="2:13" ht="40.5" customHeight="1" x14ac:dyDescent="0.3">
      <c r="B11" s="14"/>
      <c r="C11" s="2"/>
      <c r="D11" s="14"/>
      <c r="E11" s="2"/>
      <c r="F11" s="2"/>
      <c r="G11" s="14"/>
      <c r="H11" s="2"/>
      <c r="J11" s="87"/>
      <c r="K11" s="88"/>
      <c r="L11" s="88"/>
      <c r="M11" s="89"/>
    </row>
    <row r="12" spans="2:13" ht="15" customHeight="1" x14ac:dyDescent="0.45">
      <c r="B12" s="12">
        <f t="array" aca="1" ref="B12:H12" ca="1">星期日期和周+DATE(CalendarYear,5,1)-WEEKDAY(DATE(CalendarYear,5,1),(周开始日期="一")+1)+29</f>
        <v>43248</v>
      </c>
      <c r="C12" s="12">
        <f ca="1"/>
        <v>43249</v>
      </c>
      <c r="D12" s="12">
        <f ca="1"/>
        <v>43250</v>
      </c>
      <c r="E12" s="12">
        <f ca="1"/>
        <v>43251</v>
      </c>
      <c r="F12" s="12">
        <f ca="1"/>
        <v>43252</v>
      </c>
      <c r="G12" s="12">
        <f ca="1"/>
        <v>43253</v>
      </c>
      <c r="H12" s="12">
        <f ca="1"/>
        <v>43254</v>
      </c>
      <c r="J12" s="84" t="s">
        <v>49</v>
      </c>
      <c r="K12" s="85"/>
      <c r="L12" s="85"/>
      <c r="M12" s="86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87"/>
      <c r="K13" s="88"/>
      <c r="L13" s="88"/>
      <c r="M13" s="89"/>
    </row>
    <row r="14" spans="2:13" ht="15" customHeight="1" x14ac:dyDescent="0.45">
      <c r="B14" s="12">
        <f t="array" aca="1" ref="B14:H14" ca="1">星期日期和周+DATE(CalendarYear,5,1)-WEEKDAY(DATE(CalendarYear,5,1),(周开始日期="一")+1)+36</f>
        <v>43255</v>
      </c>
      <c r="C14" s="12">
        <f ca="1"/>
        <v>43256</v>
      </c>
      <c r="D14" s="12">
        <f ca="1"/>
        <v>43257</v>
      </c>
      <c r="E14" s="12">
        <f ca="1"/>
        <v>43258</v>
      </c>
      <c r="F14" s="12">
        <f ca="1"/>
        <v>43259</v>
      </c>
      <c r="G14" s="12">
        <f ca="1"/>
        <v>43260</v>
      </c>
      <c r="H14" s="12">
        <f ca="1"/>
        <v>43261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3A0D7"/>
    <pageSetUpPr fitToPage="1"/>
  </sheetPr>
  <dimension ref="B1:M15"/>
  <sheetViews>
    <sheetView showGridLines="0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20</v>
      </c>
      <c r="D1" s="7" t="s">
        <v>19</v>
      </c>
      <c r="E1" s="8"/>
      <c r="F1" s="8"/>
      <c r="G1" s="8"/>
      <c r="H1" s="7"/>
    </row>
    <row r="2" spans="2:13" ht="45" customHeight="1" x14ac:dyDescent="0.3">
      <c r="B2" s="6" t="s">
        <v>18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1" t="s">
        <v>41</v>
      </c>
      <c r="K3" s="92"/>
      <c r="L3" s="92"/>
      <c r="M3" s="93"/>
    </row>
    <row r="4" spans="2:13" ht="16.5" customHeight="1" x14ac:dyDescent="0.45">
      <c r="B4" s="12">
        <f t="array" aca="1" ref="B4:H4" ca="1">星期日期和周+DATE(CalendarYear,6,1)-WEEKDAY(DATE(CalendarYear,6,1),(周开始日期="一")+1)+1</f>
        <v>43248</v>
      </c>
      <c r="C4" s="12">
        <f ca="1"/>
        <v>43249</v>
      </c>
      <c r="D4" s="12">
        <f ca="1"/>
        <v>43250</v>
      </c>
      <c r="E4" s="12">
        <f ca="1"/>
        <v>43251</v>
      </c>
      <c r="F4" s="12">
        <f ca="1"/>
        <v>43252</v>
      </c>
      <c r="G4" s="12">
        <f ca="1"/>
        <v>43253</v>
      </c>
      <c r="H4" s="12">
        <f ca="1"/>
        <v>43254</v>
      </c>
      <c r="J4" s="84" t="s">
        <v>50</v>
      </c>
      <c r="K4" s="85"/>
      <c r="L4" s="85"/>
      <c r="M4" s="86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87"/>
      <c r="K5" s="88"/>
      <c r="L5" s="88"/>
      <c r="M5" s="89"/>
    </row>
    <row r="6" spans="2:13" ht="15" customHeight="1" x14ac:dyDescent="0.45">
      <c r="B6" s="12">
        <f t="array" aca="1" ref="B6:H6" ca="1">星期日期和周+DATE(CalendarYear,6,1)-WEEKDAY(DATE(CalendarYear,6,1),(周开始日期="一")+1)+8</f>
        <v>43255</v>
      </c>
      <c r="C6" s="12">
        <f ca="1"/>
        <v>43256</v>
      </c>
      <c r="D6" s="12">
        <f ca="1"/>
        <v>43257</v>
      </c>
      <c r="E6" s="12">
        <f ca="1"/>
        <v>43258</v>
      </c>
      <c r="F6" s="12">
        <f ca="1"/>
        <v>43259</v>
      </c>
      <c r="G6" s="12">
        <f ca="1"/>
        <v>43260</v>
      </c>
      <c r="H6" s="12">
        <f ca="1"/>
        <v>43261</v>
      </c>
      <c r="J6" s="84" t="s">
        <v>51</v>
      </c>
      <c r="K6" s="85"/>
      <c r="L6" s="85"/>
      <c r="M6" s="86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87"/>
      <c r="K7" s="88"/>
      <c r="L7" s="88"/>
      <c r="M7" s="89"/>
    </row>
    <row r="8" spans="2:13" ht="15" customHeight="1" x14ac:dyDescent="0.45">
      <c r="B8" s="12">
        <f t="array" aca="1" ref="B8:H8" ca="1">星期日期和周+DATE(CalendarYear,6,1)-WEEKDAY(DATE(CalendarYear,6,1),(周开始日期="一")+1)+15</f>
        <v>43262</v>
      </c>
      <c r="C8" s="12">
        <f ca="1"/>
        <v>43263</v>
      </c>
      <c r="D8" s="12">
        <f ca="1"/>
        <v>43264</v>
      </c>
      <c r="E8" s="12">
        <f ca="1"/>
        <v>43265</v>
      </c>
      <c r="F8" s="12">
        <f ca="1"/>
        <v>43266</v>
      </c>
      <c r="G8" s="12">
        <f ca="1"/>
        <v>43267</v>
      </c>
      <c r="H8" s="12">
        <f ca="1"/>
        <v>43268</v>
      </c>
      <c r="J8" s="84" t="s">
        <v>52</v>
      </c>
      <c r="K8" s="85"/>
      <c r="L8" s="85"/>
      <c r="M8" s="86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87"/>
      <c r="K9" s="88"/>
      <c r="L9" s="88"/>
      <c r="M9" s="89"/>
    </row>
    <row r="10" spans="2:13" ht="15" customHeight="1" x14ac:dyDescent="0.45">
      <c r="B10" s="12">
        <f t="array" aca="1" ref="B10:H10" ca="1">星期日期和周+DATE(CalendarYear,6,1)-WEEKDAY(DATE(CalendarYear,6,1),(周开始日期="一")+1)+22</f>
        <v>43269</v>
      </c>
      <c r="C10" s="12">
        <f ca="1"/>
        <v>43270</v>
      </c>
      <c r="D10" s="12">
        <f ca="1"/>
        <v>43271</v>
      </c>
      <c r="E10" s="12">
        <f ca="1"/>
        <v>43272</v>
      </c>
      <c r="F10" s="12">
        <f ca="1"/>
        <v>43273</v>
      </c>
      <c r="G10" s="12">
        <f ca="1"/>
        <v>43274</v>
      </c>
      <c r="H10" s="12">
        <f ca="1"/>
        <v>43275</v>
      </c>
      <c r="J10" s="84" t="s">
        <v>54</v>
      </c>
      <c r="K10" s="85"/>
      <c r="L10" s="85"/>
      <c r="M10" s="86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87"/>
      <c r="K11" s="88"/>
      <c r="L11" s="88"/>
      <c r="M11" s="89"/>
    </row>
    <row r="12" spans="2:13" ht="15" customHeight="1" x14ac:dyDescent="0.45">
      <c r="B12" s="12">
        <f t="array" aca="1" ref="B12:H12" ca="1">星期日期和周+DATE(CalendarYear,6,1)-WEEKDAY(DATE(CalendarYear,6,1),(周开始日期="一")+1)+29</f>
        <v>43276</v>
      </c>
      <c r="C12" s="12">
        <f ca="1"/>
        <v>43277</v>
      </c>
      <c r="D12" s="12">
        <f ca="1"/>
        <v>43278</v>
      </c>
      <c r="E12" s="12">
        <f ca="1"/>
        <v>43279</v>
      </c>
      <c r="F12" s="12">
        <f ca="1"/>
        <v>43280</v>
      </c>
      <c r="G12" s="12">
        <f ca="1"/>
        <v>43281</v>
      </c>
      <c r="H12" s="12">
        <f ca="1"/>
        <v>43282</v>
      </c>
      <c r="J12" s="84" t="s">
        <v>55</v>
      </c>
      <c r="K12" s="85"/>
      <c r="L12" s="85"/>
      <c r="M12" s="86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87"/>
      <c r="K13" s="88"/>
      <c r="L13" s="88"/>
      <c r="M13" s="89"/>
    </row>
    <row r="14" spans="2:13" ht="15" customHeight="1" x14ac:dyDescent="0.45">
      <c r="B14" s="12">
        <f t="array" aca="1" ref="B14:H14" ca="1">星期日期和周+DATE(CalendarYear,6,1)-WEEKDAY(DATE(CalendarYear,6,1),(周开始日期="一")+1)+36</f>
        <v>43283</v>
      </c>
      <c r="C14" s="12">
        <f ca="1"/>
        <v>43284</v>
      </c>
      <c r="D14" s="12">
        <f ca="1"/>
        <v>43285</v>
      </c>
      <c r="E14" s="12">
        <f ca="1"/>
        <v>43286</v>
      </c>
      <c r="F14" s="12">
        <f ca="1"/>
        <v>43287</v>
      </c>
      <c r="G14" s="12">
        <f ca="1"/>
        <v>43288</v>
      </c>
      <c r="H14" s="12">
        <f ca="1"/>
        <v>43289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F89CD"/>
  </sheetPr>
  <dimension ref="A1:G32"/>
  <sheetViews>
    <sheetView zoomScale="145" zoomScaleNormal="145" workbookViewId="0">
      <pane ySplit="1" topLeftCell="A2" activePane="bottomLeft" state="frozen"/>
      <selection activeCell="E13" sqref="E13"/>
      <selection pane="bottomLeft" activeCell="F23" sqref="F23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3" t="s">
        <v>76</v>
      </c>
      <c r="B1" s="24" t="s">
        <v>74</v>
      </c>
      <c r="C1" s="24" t="s">
        <v>72</v>
      </c>
      <c r="D1" s="24" t="s">
        <v>70</v>
      </c>
      <c r="E1" s="24" t="s">
        <v>69</v>
      </c>
      <c r="F1" s="24" t="s">
        <v>94</v>
      </c>
      <c r="G1" s="24" t="s">
        <v>66</v>
      </c>
    </row>
    <row r="2" spans="1:7" ht="15" thickTop="1" thickBot="1" x14ac:dyDescent="0.35">
      <c r="A2" s="25">
        <v>43282</v>
      </c>
      <c r="B2" s="26" t="s">
        <v>57</v>
      </c>
      <c r="C2" s="27"/>
      <c r="D2" s="27"/>
      <c r="E2" s="27"/>
      <c r="F2" s="27"/>
      <c r="G2" s="28"/>
    </row>
    <row r="3" spans="1:7" ht="14.5" thickBot="1" x14ac:dyDescent="0.35">
      <c r="A3" s="29">
        <v>43283</v>
      </c>
      <c r="B3" s="30" t="s">
        <v>2</v>
      </c>
      <c r="C3" s="31" t="s">
        <v>64</v>
      </c>
      <c r="D3" s="31"/>
      <c r="E3" s="31"/>
      <c r="F3" s="31"/>
      <c r="G3" s="32"/>
    </row>
    <row r="4" spans="1:7" ht="14.5" thickBot="1" x14ac:dyDescent="0.35">
      <c r="A4" s="29">
        <v>43284</v>
      </c>
      <c r="B4" s="30" t="s">
        <v>56</v>
      </c>
      <c r="C4" s="31"/>
      <c r="D4" s="31"/>
      <c r="E4" s="31"/>
      <c r="F4" s="31"/>
      <c r="G4" s="32"/>
    </row>
    <row r="5" spans="1:7" ht="14.5" thickBot="1" x14ac:dyDescent="0.35">
      <c r="A5" s="29">
        <v>43285</v>
      </c>
      <c r="B5" s="30" t="s">
        <v>61</v>
      </c>
      <c r="C5" s="31"/>
      <c r="D5" s="31"/>
      <c r="E5" s="31"/>
      <c r="F5" s="31"/>
      <c r="G5" s="32"/>
    </row>
    <row r="6" spans="1:7" ht="14.5" thickBot="1" x14ac:dyDescent="0.35">
      <c r="A6" s="29">
        <v>43286</v>
      </c>
      <c r="B6" s="30" t="s">
        <v>60</v>
      </c>
      <c r="C6" s="31"/>
      <c r="D6" s="31"/>
      <c r="E6" s="31"/>
      <c r="F6" s="31"/>
      <c r="G6" s="32"/>
    </row>
    <row r="7" spans="1:7" ht="14.5" thickBot="1" x14ac:dyDescent="0.35">
      <c r="A7" s="29">
        <v>43287</v>
      </c>
      <c r="B7" s="30" t="s">
        <v>59</v>
      </c>
      <c r="C7" s="31"/>
      <c r="D7" s="31"/>
      <c r="E7" s="31"/>
      <c r="F7" s="31"/>
      <c r="G7" s="32"/>
    </row>
    <row r="8" spans="1:7" s="15" customFormat="1" ht="14.5" thickBot="1" x14ac:dyDescent="0.35">
      <c r="A8" s="25">
        <v>43288</v>
      </c>
      <c r="B8" s="26" t="s">
        <v>58</v>
      </c>
      <c r="C8" s="27"/>
      <c r="D8" s="27"/>
      <c r="E8" s="27"/>
      <c r="F8" s="27" t="s">
        <v>63</v>
      </c>
      <c r="G8" s="28"/>
    </row>
    <row r="9" spans="1:7" s="15" customFormat="1" ht="14.5" thickBot="1" x14ac:dyDescent="0.35">
      <c r="A9" s="25">
        <v>43289</v>
      </c>
      <c r="B9" s="26" t="s">
        <v>57</v>
      </c>
      <c r="C9" s="27" t="s">
        <v>62</v>
      </c>
      <c r="D9" s="27" t="s">
        <v>91</v>
      </c>
      <c r="E9" s="27"/>
      <c r="F9" s="27" t="s">
        <v>92</v>
      </c>
      <c r="G9" s="28"/>
    </row>
    <row r="10" spans="1:7" ht="14.5" thickBot="1" x14ac:dyDescent="0.35">
      <c r="A10" s="29">
        <v>43290</v>
      </c>
      <c r="B10" s="30" t="s">
        <v>2</v>
      </c>
      <c r="C10" s="31"/>
      <c r="D10" s="31"/>
      <c r="E10" s="31"/>
      <c r="F10" s="31" t="s">
        <v>92</v>
      </c>
      <c r="G10" s="32"/>
    </row>
    <row r="11" spans="1:7" ht="14.5" thickBot="1" x14ac:dyDescent="0.35">
      <c r="A11" s="29">
        <v>43291</v>
      </c>
      <c r="B11" s="30" t="s">
        <v>56</v>
      </c>
      <c r="C11" s="31"/>
      <c r="D11" s="31"/>
      <c r="E11" s="31"/>
      <c r="F11" s="31" t="s">
        <v>92</v>
      </c>
      <c r="G11" s="32"/>
    </row>
    <row r="12" spans="1:7" ht="14.5" thickBot="1" x14ac:dyDescent="0.35">
      <c r="A12" s="29">
        <v>43292</v>
      </c>
      <c r="B12" s="30" t="s">
        <v>61</v>
      </c>
      <c r="C12" s="31"/>
      <c r="D12" s="39" t="s">
        <v>93</v>
      </c>
      <c r="E12" s="31"/>
      <c r="F12" s="31" t="s">
        <v>63</v>
      </c>
      <c r="G12" s="32"/>
    </row>
    <row r="13" spans="1:7" ht="14.5" thickBot="1" x14ac:dyDescent="0.35">
      <c r="A13" s="29">
        <v>43293</v>
      </c>
      <c r="B13" s="30" t="s">
        <v>60</v>
      </c>
      <c r="C13" s="31" t="s">
        <v>98</v>
      </c>
      <c r="D13" s="31"/>
      <c r="E13" s="31"/>
      <c r="F13" s="31"/>
      <c r="G13" s="32"/>
    </row>
    <row r="14" spans="1:7" ht="14.5" thickBot="1" x14ac:dyDescent="0.35">
      <c r="A14" s="29">
        <v>43294</v>
      </c>
      <c r="B14" s="30" t="s">
        <v>59</v>
      </c>
      <c r="C14" s="31"/>
      <c r="D14" s="31"/>
      <c r="E14" s="31"/>
      <c r="F14" s="31"/>
      <c r="G14" s="32"/>
    </row>
    <row r="15" spans="1:7" s="15" customFormat="1" ht="14.5" thickBot="1" x14ac:dyDescent="0.35">
      <c r="A15" s="25">
        <v>43295</v>
      </c>
      <c r="B15" s="26" t="s">
        <v>58</v>
      </c>
      <c r="C15" s="27"/>
      <c r="D15" s="27"/>
      <c r="E15" s="27"/>
      <c r="F15" s="27"/>
      <c r="G15" s="28"/>
    </row>
    <row r="16" spans="1:7" s="15" customFormat="1" ht="14.5" thickBot="1" x14ac:dyDescent="0.35">
      <c r="A16" s="25">
        <v>43296</v>
      </c>
      <c r="B16" s="26" t="s">
        <v>57</v>
      </c>
      <c r="C16" s="27"/>
      <c r="D16" s="27"/>
      <c r="E16" s="27"/>
      <c r="F16" s="27"/>
      <c r="G16" s="28"/>
    </row>
    <row r="17" spans="1:7" ht="14.5" thickBot="1" x14ac:dyDescent="0.35">
      <c r="A17" s="29">
        <v>43297</v>
      </c>
      <c r="B17" s="30" t="s">
        <v>2</v>
      </c>
      <c r="C17" s="31"/>
      <c r="D17" s="31"/>
      <c r="E17" s="31"/>
      <c r="F17" s="31" t="s">
        <v>63</v>
      </c>
      <c r="G17" s="32"/>
    </row>
    <row r="18" spans="1:7" ht="14.5" thickBot="1" x14ac:dyDescent="0.35">
      <c r="A18" s="29">
        <v>43298</v>
      </c>
      <c r="B18" s="30" t="s">
        <v>56</v>
      </c>
      <c r="C18" s="31" t="s">
        <v>95</v>
      </c>
      <c r="D18" s="31" t="s">
        <v>96</v>
      </c>
      <c r="E18" s="31"/>
      <c r="F18" s="31" t="s">
        <v>63</v>
      </c>
      <c r="G18" s="32"/>
    </row>
    <row r="19" spans="1:7" ht="14.5" thickBot="1" x14ac:dyDescent="0.35">
      <c r="A19" s="29">
        <v>43299</v>
      </c>
      <c r="B19" s="30" t="s">
        <v>61</v>
      </c>
      <c r="C19" s="31" t="s">
        <v>97</v>
      </c>
      <c r="D19" s="31"/>
      <c r="E19" s="31"/>
      <c r="F19" s="31"/>
      <c r="G19" s="32"/>
    </row>
    <row r="20" spans="1:7" ht="14.5" thickBot="1" x14ac:dyDescent="0.35">
      <c r="A20" s="29">
        <v>43300</v>
      </c>
      <c r="B20" s="30" t="s">
        <v>60</v>
      </c>
      <c r="C20" s="31"/>
      <c r="D20" s="31"/>
      <c r="E20" s="31"/>
      <c r="F20" s="31"/>
      <c r="G20" s="32"/>
    </row>
    <row r="21" spans="1:7" ht="14.5" thickBot="1" x14ac:dyDescent="0.35">
      <c r="A21" s="29">
        <v>43301</v>
      </c>
      <c r="B21" s="30" t="s">
        <v>59</v>
      </c>
      <c r="C21" s="31"/>
      <c r="D21" s="31"/>
      <c r="E21" s="31"/>
      <c r="F21" s="31"/>
      <c r="G21" s="32"/>
    </row>
    <row r="22" spans="1:7" s="15" customFormat="1" ht="14.5" thickBot="1" x14ac:dyDescent="0.35">
      <c r="A22" s="25">
        <v>43302</v>
      </c>
      <c r="B22" s="26" t="s">
        <v>58</v>
      </c>
      <c r="C22" s="27"/>
      <c r="D22" s="27"/>
      <c r="E22" s="27"/>
      <c r="F22" s="27" t="s">
        <v>63</v>
      </c>
      <c r="G22" s="28"/>
    </row>
    <row r="23" spans="1:7" s="15" customFormat="1" ht="14.5" thickBot="1" x14ac:dyDescent="0.35">
      <c r="A23" s="25">
        <v>43303</v>
      </c>
      <c r="B23" s="26" t="s">
        <v>57</v>
      </c>
      <c r="C23" s="27" t="s">
        <v>99</v>
      </c>
      <c r="D23" s="27" t="s">
        <v>100</v>
      </c>
      <c r="E23" s="27"/>
      <c r="F23" s="27"/>
      <c r="G23" s="28"/>
    </row>
    <row r="24" spans="1:7" ht="14.5" thickBot="1" x14ac:dyDescent="0.35">
      <c r="A24" s="29">
        <v>43304</v>
      </c>
      <c r="B24" s="30" t="s">
        <v>2</v>
      </c>
      <c r="C24" s="31"/>
      <c r="D24" s="31"/>
      <c r="E24" s="31"/>
      <c r="F24" s="31"/>
      <c r="G24" s="32"/>
    </row>
    <row r="25" spans="1:7" ht="14.5" thickBot="1" x14ac:dyDescent="0.35">
      <c r="A25" s="29">
        <v>43305</v>
      </c>
      <c r="B25" s="30" t="s">
        <v>56</v>
      </c>
      <c r="C25" s="31"/>
      <c r="D25" s="31"/>
      <c r="E25" s="31"/>
      <c r="F25" s="31"/>
      <c r="G25" s="32"/>
    </row>
    <row r="26" spans="1:7" ht="14.5" thickBot="1" x14ac:dyDescent="0.35">
      <c r="A26" s="29">
        <v>43306</v>
      </c>
      <c r="B26" s="30" t="s">
        <v>61</v>
      </c>
      <c r="C26" s="31"/>
      <c r="D26" s="31"/>
      <c r="E26" s="31"/>
      <c r="F26" s="31"/>
      <c r="G26" s="32"/>
    </row>
    <row r="27" spans="1:7" ht="14.5" thickBot="1" x14ac:dyDescent="0.35">
      <c r="A27" s="29">
        <v>43307</v>
      </c>
      <c r="B27" s="30" t="s">
        <v>60</v>
      </c>
      <c r="C27" s="31"/>
      <c r="D27" s="31"/>
      <c r="E27" s="31"/>
      <c r="F27" s="31"/>
      <c r="G27" s="32"/>
    </row>
    <row r="28" spans="1:7" ht="14.5" thickBot="1" x14ac:dyDescent="0.35">
      <c r="A28" s="29">
        <v>43308</v>
      </c>
      <c r="B28" s="30" t="s">
        <v>59</v>
      </c>
      <c r="C28" s="31"/>
      <c r="D28" s="31"/>
      <c r="E28" s="31"/>
      <c r="F28" s="31"/>
      <c r="G28" s="32"/>
    </row>
    <row r="29" spans="1:7" s="15" customFormat="1" ht="14.5" thickBot="1" x14ac:dyDescent="0.35">
      <c r="A29" s="25">
        <v>43309</v>
      </c>
      <c r="B29" s="26" t="s">
        <v>58</v>
      </c>
      <c r="C29" s="27"/>
      <c r="D29" s="27"/>
      <c r="E29" s="27"/>
      <c r="F29" s="27"/>
      <c r="G29" s="28"/>
    </row>
    <row r="30" spans="1:7" s="15" customFormat="1" ht="14.5" thickBot="1" x14ac:dyDescent="0.35">
      <c r="A30" s="25">
        <v>43310</v>
      </c>
      <c r="B30" s="26" t="s">
        <v>57</v>
      </c>
      <c r="C30" s="27"/>
      <c r="D30" s="27"/>
      <c r="E30" s="27"/>
      <c r="F30" s="27"/>
      <c r="G30" s="28"/>
    </row>
    <row r="31" spans="1:7" ht="14.5" thickBot="1" x14ac:dyDescent="0.35">
      <c r="A31" s="29">
        <v>43311</v>
      </c>
      <c r="B31" s="30" t="s">
        <v>2</v>
      </c>
      <c r="C31" s="31" t="s">
        <v>105</v>
      </c>
      <c r="D31" s="31"/>
      <c r="E31" s="31"/>
      <c r="F31" s="31"/>
      <c r="G31" s="32"/>
    </row>
    <row r="32" spans="1:7" ht="14.5" thickBot="1" x14ac:dyDescent="0.35">
      <c r="A32" s="29">
        <v>43312</v>
      </c>
      <c r="B32" s="30" t="s">
        <v>56</v>
      </c>
      <c r="C32" s="31"/>
      <c r="D32" s="31"/>
      <c r="E32" s="31"/>
      <c r="F32" s="31"/>
      <c r="G32" s="32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3381C7"/>
  </sheetPr>
  <dimension ref="A1:G32"/>
  <sheetViews>
    <sheetView zoomScale="160" zoomScaleNormal="160" workbookViewId="0">
      <pane ySplit="1" topLeftCell="A24" activePane="bottomLeft" state="frozen"/>
      <selection activeCell="E13" sqref="E13"/>
      <selection pane="bottomLeft" activeCell="C31" sqref="C31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3" t="s">
        <v>82</v>
      </c>
      <c r="B1" s="24" t="s">
        <v>81</v>
      </c>
      <c r="C1" s="24" t="s">
        <v>163</v>
      </c>
      <c r="D1" s="24" t="s">
        <v>164</v>
      </c>
      <c r="E1" s="24" t="s">
        <v>79</v>
      </c>
      <c r="F1" s="24" t="s">
        <v>78</v>
      </c>
      <c r="G1" s="24" t="s">
        <v>77</v>
      </c>
    </row>
    <row r="2" spans="1:7" ht="15" thickTop="1" thickBot="1" x14ac:dyDescent="0.35">
      <c r="A2" s="29">
        <v>43313</v>
      </c>
      <c r="B2" s="30" t="s">
        <v>61</v>
      </c>
      <c r="C2" s="31" t="s">
        <v>106</v>
      </c>
      <c r="D2" s="31"/>
      <c r="E2" s="31"/>
      <c r="F2" s="31"/>
      <c r="G2" s="32"/>
    </row>
    <row r="3" spans="1:7" ht="14.5" thickBot="1" x14ac:dyDescent="0.35">
      <c r="A3" s="29">
        <v>43314</v>
      </c>
      <c r="B3" s="30" t="s">
        <v>60</v>
      </c>
      <c r="C3" s="31"/>
      <c r="D3" s="31"/>
      <c r="E3" s="31"/>
      <c r="F3" s="31"/>
      <c r="G3" s="32"/>
    </row>
    <row r="4" spans="1:7" ht="14.5" thickBot="1" x14ac:dyDescent="0.35">
      <c r="A4" s="29">
        <v>43315</v>
      </c>
      <c r="B4" s="30" t="s">
        <v>59</v>
      </c>
      <c r="C4" s="31"/>
      <c r="D4" s="31"/>
      <c r="E4" s="31"/>
      <c r="F4" s="31"/>
      <c r="G4" s="32"/>
    </row>
    <row r="5" spans="1:7" ht="14.5" thickBot="1" x14ac:dyDescent="0.35">
      <c r="A5" s="25">
        <v>43316</v>
      </c>
      <c r="B5" s="26" t="s">
        <v>58</v>
      </c>
      <c r="C5" s="27"/>
      <c r="D5" s="27"/>
      <c r="E5" s="27"/>
      <c r="F5" s="27"/>
      <c r="G5" s="28"/>
    </row>
    <row r="6" spans="1:7" ht="14.5" thickBot="1" x14ac:dyDescent="0.35">
      <c r="A6" s="25">
        <v>43317</v>
      </c>
      <c r="B6" s="26" t="s">
        <v>57</v>
      </c>
      <c r="C6" s="27"/>
      <c r="D6" s="27" t="s">
        <v>128</v>
      </c>
      <c r="E6" s="27"/>
      <c r="F6" s="27"/>
      <c r="G6" s="28"/>
    </row>
    <row r="7" spans="1:7" ht="14.5" thickBot="1" x14ac:dyDescent="0.35">
      <c r="A7" s="29">
        <v>43318</v>
      </c>
      <c r="B7" s="30" t="s">
        <v>2</v>
      </c>
      <c r="C7" s="31"/>
      <c r="D7" s="31" t="s">
        <v>127</v>
      </c>
      <c r="E7" s="31"/>
      <c r="F7" s="31"/>
      <c r="G7" s="32"/>
    </row>
    <row r="8" spans="1:7" ht="14.5" thickBot="1" x14ac:dyDescent="0.35">
      <c r="A8" s="29">
        <v>43319</v>
      </c>
      <c r="B8" s="30" t="s">
        <v>56</v>
      </c>
      <c r="C8" s="31"/>
      <c r="D8" s="31" t="s">
        <v>130</v>
      </c>
      <c r="E8" s="31"/>
      <c r="F8" s="31"/>
      <c r="G8" s="32"/>
    </row>
    <row r="9" spans="1:7" ht="14.5" thickBot="1" x14ac:dyDescent="0.35">
      <c r="A9" s="29">
        <v>43320</v>
      </c>
      <c r="B9" s="30" t="s">
        <v>61</v>
      </c>
      <c r="C9" s="31"/>
      <c r="D9" s="31" t="s">
        <v>129</v>
      </c>
      <c r="E9" s="31"/>
      <c r="F9" s="31" t="s">
        <v>63</v>
      </c>
      <c r="G9" s="32"/>
    </row>
    <row r="10" spans="1:7" ht="14.5" thickBot="1" x14ac:dyDescent="0.35">
      <c r="A10" s="29">
        <v>43321</v>
      </c>
      <c r="B10" s="30" t="s">
        <v>60</v>
      </c>
      <c r="C10" s="31" t="s">
        <v>131</v>
      </c>
      <c r="D10" s="31" t="s">
        <v>132</v>
      </c>
      <c r="E10" s="31"/>
      <c r="F10" s="31"/>
      <c r="G10" s="32"/>
    </row>
    <row r="11" spans="1:7" ht="14.5" thickBot="1" x14ac:dyDescent="0.35">
      <c r="A11" s="29">
        <v>43322</v>
      </c>
      <c r="B11" s="30" t="s">
        <v>59</v>
      </c>
      <c r="C11" s="31"/>
      <c r="D11" s="31"/>
      <c r="E11" s="31"/>
      <c r="F11" s="31"/>
      <c r="G11" s="32"/>
    </row>
    <row r="12" spans="1:7" ht="14.5" thickBot="1" x14ac:dyDescent="0.35">
      <c r="A12" s="25">
        <v>43323</v>
      </c>
      <c r="B12" s="26" t="s">
        <v>58</v>
      </c>
      <c r="C12" s="27"/>
      <c r="D12" s="27"/>
      <c r="E12" s="27"/>
      <c r="F12" s="27"/>
      <c r="G12" s="28"/>
    </row>
    <row r="13" spans="1:7" ht="14.5" thickBot="1" x14ac:dyDescent="0.35">
      <c r="A13" s="25">
        <v>43324</v>
      </c>
      <c r="B13" s="26" t="s">
        <v>57</v>
      </c>
      <c r="C13" s="27"/>
      <c r="D13" s="27"/>
      <c r="E13" s="27"/>
      <c r="F13" s="27"/>
      <c r="G13" s="28"/>
    </row>
    <row r="14" spans="1:7" ht="14.5" thickBot="1" x14ac:dyDescent="0.35">
      <c r="A14" s="29">
        <v>43325</v>
      </c>
      <c r="B14" s="30" t="s">
        <v>2</v>
      </c>
      <c r="C14" s="31"/>
      <c r="D14" s="31"/>
      <c r="E14" s="31"/>
      <c r="F14" s="31"/>
      <c r="G14" s="32"/>
    </row>
    <row r="15" spans="1:7" ht="14.5" thickBot="1" x14ac:dyDescent="0.35">
      <c r="A15" s="29">
        <v>43326</v>
      </c>
      <c r="B15" s="30" t="s">
        <v>56</v>
      </c>
      <c r="C15" s="31"/>
      <c r="D15" s="31"/>
      <c r="E15" s="31"/>
      <c r="F15" s="31"/>
      <c r="G15" s="32"/>
    </row>
    <row r="16" spans="1:7" ht="14.5" thickBot="1" x14ac:dyDescent="0.35">
      <c r="A16" s="29">
        <v>43327</v>
      </c>
      <c r="B16" s="30" t="s">
        <v>61</v>
      </c>
      <c r="C16" s="31"/>
      <c r="D16" s="31"/>
      <c r="E16" s="31"/>
      <c r="F16" s="31"/>
      <c r="G16" s="32"/>
    </row>
    <row r="17" spans="1:7" ht="14.5" thickBot="1" x14ac:dyDescent="0.35">
      <c r="A17" s="29">
        <v>43328</v>
      </c>
      <c r="B17" s="30" t="s">
        <v>60</v>
      </c>
      <c r="C17" s="31"/>
      <c r="D17" s="31"/>
      <c r="E17" s="31"/>
      <c r="F17" s="31"/>
      <c r="G17" s="32"/>
    </row>
    <row r="18" spans="1:7" ht="14.5" thickBot="1" x14ac:dyDescent="0.35">
      <c r="A18" s="29">
        <v>43329</v>
      </c>
      <c r="B18" s="30" t="s">
        <v>59</v>
      </c>
      <c r="C18" s="31"/>
      <c r="D18" s="31"/>
      <c r="E18" s="31"/>
      <c r="F18" s="31"/>
      <c r="G18" s="32"/>
    </row>
    <row r="19" spans="1:7" ht="14.5" thickBot="1" x14ac:dyDescent="0.35">
      <c r="A19" s="25">
        <v>43330</v>
      </c>
      <c r="B19" s="26" t="s">
        <v>58</v>
      </c>
      <c r="C19" s="27"/>
      <c r="D19" s="27"/>
      <c r="E19" s="27"/>
      <c r="F19" s="27"/>
      <c r="G19" s="28"/>
    </row>
    <row r="20" spans="1:7" ht="14.5" thickBot="1" x14ac:dyDescent="0.35">
      <c r="A20" s="25">
        <v>43331</v>
      </c>
      <c r="B20" s="26" t="s">
        <v>57</v>
      </c>
      <c r="C20" s="27" t="s">
        <v>161</v>
      </c>
      <c r="D20" s="27" t="s">
        <v>162</v>
      </c>
      <c r="E20" s="27"/>
      <c r="F20" s="27"/>
      <c r="G20" s="28"/>
    </row>
    <row r="21" spans="1:7" ht="14.5" thickBot="1" x14ac:dyDescent="0.35">
      <c r="A21" s="29">
        <v>43332</v>
      </c>
      <c r="B21" s="30" t="s">
        <v>2</v>
      </c>
      <c r="C21" s="31"/>
      <c r="D21" s="31"/>
      <c r="E21" s="31"/>
      <c r="F21" s="31"/>
      <c r="G21" s="32"/>
    </row>
    <row r="22" spans="1:7" ht="14.5" thickBot="1" x14ac:dyDescent="0.35">
      <c r="A22" s="29">
        <v>43333</v>
      </c>
      <c r="B22" s="30" t="s">
        <v>56</v>
      </c>
      <c r="C22" s="31"/>
      <c r="D22" s="31"/>
      <c r="E22" s="31"/>
      <c r="F22" s="31"/>
      <c r="G22" s="32"/>
    </row>
    <row r="23" spans="1:7" ht="14.5" thickBot="1" x14ac:dyDescent="0.35">
      <c r="A23" s="29">
        <v>43334</v>
      </c>
      <c r="B23" s="30" t="s">
        <v>61</v>
      </c>
      <c r="C23" s="31"/>
      <c r="D23" s="31"/>
      <c r="E23" s="31"/>
      <c r="F23" s="31"/>
      <c r="G23" s="32"/>
    </row>
    <row r="24" spans="1:7" ht="14.5" thickBot="1" x14ac:dyDescent="0.35">
      <c r="A24" s="29">
        <v>43335</v>
      </c>
      <c r="B24" s="30" t="s">
        <v>60</v>
      </c>
      <c r="C24" s="31"/>
      <c r="D24" s="31"/>
      <c r="E24" s="31"/>
      <c r="F24" s="31"/>
      <c r="G24" s="32"/>
    </row>
    <row r="25" spans="1:7" ht="14.5" thickBot="1" x14ac:dyDescent="0.35">
      <c r="A25" s="29">
        <v>43336</v>
      </c>
      <c r="B25" s="30" t="s">
        <v>59</v>
      </c>
      <c r="C25" s="31"/>
      <c r="D25" s="31"/>
      <c r="E25" s="31"/>
      <c r="F25" s="31"/>
      <c r="G25" s="32"/>
    </row>
    <row r="26" spans="1:7" ht="14.5" thickBot="1" x14ac:dyDescent="0.35">
      <c r="A26" s="25">
        <v>43337</v>
      </c>
      <c r="B26" s="26" t="s">
        <v>58</v>
      </c>
      <c r="C26" s="27"/>
      <c r="D26" s="27"/>
      <c r="E26" s="27"/>
      <c r="F26" s="27" t="s">
        <v>63</v>
      </c>
      <c r="G26" s="28"/>
    </row>
    <row r="27" spans="1:7" ht="14.5" thickBot="1" x14ac:dyDescent="0.35">
      <c r="A27" s="25">
        <v>43338</v>
      </c>
      <c r="B27" s="26" t="s">
        <v>57</v>
      </c>
      <c r="C27" s="27" t="s">
        <v>165</v>
      </c>
      <c r="D27" s="33" t="s">
        <v>169</v>
      </c>
      <c r="E27" s="27"/>
      <c r="F27" s="27" t="s">
        <v>63</v>
      </c>
      <c r="G27" s="28"/>
    </row>
    <row r="28" spans="1:7" ht="14.5" thickBot="1" x14ac:dyDescent="0.35">
      <c r="A28" s="29">
        <v>43339</v>
      </c>
      <c r="B28" s="30" t="s">
        <v>2</v>
      </c>
      <c r="C28" s="31"/>
      <c r="D28" s="31" t="s">
        <v>168</v>
      </c>
      <c r="E28" s="31"/>
      <c r="F28" s="31" t="s">
        <v>63</v>
      </c>
      <c r="G28" s="32"/>
    </row>
    <row r="29" spans="1:7" ht="14.5" thickBot="1" x14ac:dyDescent="0.35">
      <c r="A29" s="29">
        <v>43340</v>
      </c>
      <c r="B29" s="30" t="s">
        <v>56</v>
      </c>
      <c r="C29" s="31"/>
      <c r="D29" s="34">
        <v>6</v>
      </c>
      <c r="E29" s="31"/>
      <c r="F29" s="31" t="s">
        <v>63</v>
      </c>
      <c r="G29" s="32"/>
    </row>
    <row r="30" spans="1:7" ht="14.5" thickBot="1" x14ac:dyDescent="0.35">
      <c r="A30" s="29">
        <v>43341</v>
      </c>
      <c r="B30" s="30" t="s">
        <v>61</v>
      </c>
      <c r="C30" s="31" t="s">
        <v>193</v>
      </c>
      <c r="D30" s="31" t="s">
        <v>170</v>
      </c>
      <c r="E30" s="31"/>
      <c r="F30" s="31" t="s">
        <v>63</v>
      </c>
      <c r="G30" s="32"/>
    </row>
    <row r="31" spans="1:7" ht="14.5" thickBot="1" x14ac:dyDescent="0.35">
      <c r="A31" s="29">
        <v>43342</v>
      </c>
      <c r="B31" s="30" t="s">
        <v>60</v>
      </c>
      <c r="C31" s="31"/>
      <c r="D31" s="31"/>
      <c r="E31" s="31"/>
      <c r="F31" s="31"/>
      <c r="G31" s="32"/>
    </row>
    <row r="32" spans="1:7" ht="14.5" thickBot="1" x14ac:dyDescent="0.35">
      <c r="A32" s="29">
        <v>43343</v>
      </c>
      <c r="B32" s="30" t="s">
        <v>59</v>
      </c>
      <c r="C32" s="31"/>
      <c r="D32" s="31" t="s">
        <v>171</v>
      </c>
      <c r="E32" s="31"/>
      <c r="F32" s="31"/>
      <c r="G32" s="32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327CC0"/>
  </sheetPr>
  <dimension ref="A1:G31"/>
  <sheetViews>
    <sheetView zoomScale="160" zoomScaleNormal="160" workbookViewId="0">
      <pane ySplit="1" topLeftCell="A16" activePane="bottomLeft" state="frozen"/>
      <selection activeCell="E13" sqref="E13"/>
      <selection pane="bottomLeft" activeCell="E21" sqref="E21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3" t="s">
        <v>87</v>
      </c>
      <c r="B1" s="24" t="s">
        <v>86</v>
      </c>
      <c r="C1" s="24" t="s">
        <v>166</v>
      </c>
      <c r="D1" s="24" t="s">
        <v>167</v>
      </c>
      <c r="E1" s="24" t="s">
        <v>84</v>
      </c>
      <c r="F1" s="24" t="s">
        <v>94</v>
      </c>
      <c r="G1" s="24" t="s">
        <v>65</v>
      </c>
    </row>
    <row r="2" spans="1:7" ht="15" thickTop="1" thickBot="1" x14ac:dyDescent="0.35">
      <c r="A2" s="25">
        <v>43344</v>
      </c>
      <c r="B2" s="26" t="s">
        <v>58</v>
      </c>
      <c r="C2" s="27"/>
      <c r="D2" s="27"/>
      <c r="E2" s="27"/>
      <c r="F2" s="27"/>
      <c r="G2" s="28"/>
    </row>
    <row r="3" spans="1:7" ht="14.5" thickBot="1" x14ac:dyDescent="0.35">
      <c r="A3" s="25">
        <v>43345</v>
      </c>
      <c r="B3" s="26" t="s">
        <v>57</v>
      </c>
      <c r="C3" s="27"/>
      <c r="D3" s="27"/>
      <c r="E3" s="27"/>
      <c r="F3" s="27"/>
      <c r="G3" s="28"/>
    </row>
    <row r="4" spans="1:7" ht="14.5" thickBot="1" x14ac:dyDescent="0.35">
      <c r="A4" s="29">
        <v>43346</v>
      </c>
      <c r="B4" s="30" t="s">
        <v>2</v>
      </c>
      <c r="C4" s="31"/>
      <c r="D4" s="31"/>
      <c r="E4" s="31"/>
      <c r="F4" s="31"/>
      <c r="G4" s="32"/>
    </row>
    <row r="5" spans="1:7" ht="14.5" thickBot="1" x14ac:dyDescent="0.35">
      <c r="A5" s="29">
        <v>43347</v>
      </c>
      <c r="B5" s="30" t="s">
        <v>56</v>
      </c>
      <c r="C5" s="31"/>
      <c r="D5" s="31"/>
      <c r="E5" s="31"/>
      <c r="F5" s="31"/>
      <c r="G5" s="32"/>
    </row>
    <row r="6" spans="1:7" ht="14.5" thickBot="1" x14ac:dyDescent="0.35">
      <c r="A6" s="29">
        <v>43348</v>
      </c>
      <c r="B6" s="30" t="s">
        <v>61</v>
      </c>
      <c r="C6" s="31"/>
      <c r="D6" s="31"/>
      <c r="E6" s="31"/>
      <c r="F6" s="31"/>
      <c r="G6" s="32"/>
    </row>
    <row r="7" spans="1:7" ht="14.5" thickBot="1" x14ac:dyDescent="0.35">
      <c r="A7" s="29">
        <v>43349</v>
      </c>
      <c r="B7" s="30" t="s">
        <v>60</v>
      </c>
      <c r="C7" s="31"/>
      <c r="D7" s="31"/>
      <c r="E7" s="31"/>
      <c r="F7" s="31"/>
      <c r="G7" s="32"/>
    </row>
    <row r="8" spans="1:7" ht="14.5" thickBot="1" x14ac:dyDescent="0.35">
      <c r="A8" s="29">
        <v>43350</v>
      </c>
      <c r="B8" s="30" t="s">
        <v>59</v>
      </c>
      <c r="C8" s="31"/>
      <c r="D8" s="31" t="s">
        <v>182</v>
      </c>
      <c r="E8" s="31"/>
      <c r="F8" s="31"/>
      <c r="G8" s="32"/>
    </row>
    <row r="9" spans="1:7" ht="14.5" thickBot="1" x14ac:dyDescent="0.35">
      <c r="A9" s="25">
        <v>43351</v>
      </c>
      <c r="B9" s="26" t="s">
        <v>58</v>
      </c>
      <c r="C9" s="27"/>
      <c r="D9" s="27"/>
      <c r="E9" s="27"/>
      <c r="F9" s="27"/>
      <c r="G9" s="28"/>
    </row>
    <row r="10" spans="1:7" ht="14.5" thickBot="1" x14ac:dyDescent="0.35">
      <c r="A10" s="25">
        <v>43352</v>
      </c>
      <c r="B10" s="26" t="s">
        <v>57</v>
      </c>
      <c r="C10" s="27"/>
      <c r="D10" s="27"/>
      <c r="E10" s="27"/>
      <c r="F10" s="27"/>
      <c r="G10" s="28"/>
    </row>
    <row r="11" spans="1:7" ht="14.5" thickBot="1" x14ac:dyDescent="0.35">
      <c r="A11" s="29">
        <v>43353</v>
      </c>
      <c r="B11" s="30" t="s">
        <v>2</v>
      </c>
      <c r="C11" s="31"/>
      <c r="D11" s="31" t="s">
        <v>181</v>
      </c>
      <c r="E11" s="31"/>
      <c r="F11" s="31"/>
      <c r="G11" s="32"/>
    </row>
    <row r="12" spans="1:7" ht="14.5" thickBot="1" x14ac:dyDescent="0.35">
      <c r="A12" s="29">
        <v>43354</v>
      </c>
      <c r="B12" s="30" t="s">
        <v>56</v>
      </c>
      <c r="C12" s="31"/>
      <c r="D12" s="31"/>
      <c r="E12" s="31"/>
      <c r="F12" s="31"/>
      <c r="G12" s="32"/>
    </row>
    <row r="13" spans="1:7" ht="14.5" thickBot="1" x14ac:dyDescent="0.35">
      <c r="A13" s="29">
        <v>43355</v>
      </c>
      <c r="B13" s="30" t="s">
        <v>61</v>
      </c>
      <c r="C13" s="31"/>
      <c r="D13" s="31"/>
      <c r="E13" s="31"/>
      <c r="F13" s="31"/>
      <c r="G13" s="32"/>
    </row>
    <row r="14" spans="1:7" ht="14.5" thickBot="1" x14ac:dyDescent="0.35">
      <c r="A14" s="29">
        <v>43356</v>
      </c>
      <c r="B14" s="30" t="s">
        <v>60</v>
      </c>
      <c r="C14" s="31"/>
      <c r="D14" s="31" t="s">
        <v>195</v>
      </c>
      <c r="E14" s="31"/>
      <c r="F14" s="31"/>
      <c r="G14" s="32"/>
    </row>
    <row r="15" spans="1:7" ht="14.5" thickBot="1" x14ac:dyDescent="0.35">
      <c r="A15" s="29">
        <v>43357</v>
      </c>
      <c r="B15" s="30" t="s">
        <v>59</v>
      </c>
      <c r="C15" s="31"/>
      <c r="D15" s="31"/>
      <c r="E15" s="31"/>
      <c r="F15" s="31"/>
      <c r="G15" s="32"/>
    </row>
    <row r="16" spans="1:7" ht="14.5" thickBot="1" x14ac:dyDescent="0.35">
      <c r="A16" s="25">
        <v>43358</v>
      </c>
      <c r="B16" s="26" t="s">
        <v>58</v>
      </c>
      <c r="C16" s="27"/>
      <c r="D16" s="27"/>
      <c r="E16" s="27"/>
      <c r="F16" s="27"/>
      <c r="G16" s="28"/>
    </row>
    <row r="17" spans="1:7" ht="14.5" thickBot="1" x14ac:dyDescent="0.35">
      <c r="A17" s="25">
        <v>43359</v>
      </c>
      <c r="B17" s="26" t="s">
        <v>57</v>
      </c>
      <c r="C17" s="27"/>
      <c r="D17" s="27"/>
      <c r="E17" s="27"/>
      <c r="F17" s="27"/>
      <c r="G17" s="28"/>
    </row>
    <row r="18" spans="1:7" ht="14.5" thickBot="1" x14ac:dyDescent="0.35">
      <c r="A18" s="29">
        <v>43360</v>
      </c>
      <c r="B18" s="30" t="s">
        <v>2</v>
      </c>
      <c r="C18" s="31"/>
      <c r="D18" s="31" t="s">
        <v>192</v>
      </c>
      <c r="E18" s="31"/>
      <c r="F18" s="31"/>
      <c r="G18" s="32"/>
    </row>
    <row r="19" spans="1:7" ht="14.5" thickBot="1" x14ac:dyDescent="0.35">
      <c r="A19" s="29">
        <v>43361</v>
      </c>
      <c r="B19" s="30" t="s">
        <v>56</v>
      </c>
      <c r="C19" s="31"/>
      <c r="D19" s="31" t="s">
        <v>196</v>
      </c>
      <c r="E19" s="31"/>
      <c r="F19" s="31"/>
      <c r="G19" s="32"/>
    </row>
    <row r="20" spans="1:7" ht="14.5" thickBot="1" x14ac:dyDescent="0.35">
      <c r="A20" s="29">
        <v>43362</v>
      </c>
      <c r="B20" s="30" t="s">
        <v>61</v>
      </c>
      <c r="C20" s="31"/>
      <c r="D20" s="31" t="s">
        <v>194</v>
      </c>
      <c r="E20" s="31"/>
      <c r="F20" s="31"/>
      <c r="G20" s="32"/>
    </row>
    <row r="21" spans="1:7" ht="14.5" thickBot="1" x14ac:dyDescent="0.35">
      <c r="A21" s="29">
        <v>43363</v>
      </c>
      <c r="B21" s="30" t="s">
        <v>60</v>
      </c>
      <c r="C21" s="31"/>
      <c r="D21" s="31" t="s">
        <v>200</v>
      </c>
      <c r="E21" s="31"/>
      <c r="F21" s="31"/>
      <c r="G21" s="32"/>
    </row>
    <row r="22" spans="1:7" ht="14.5" thickBot="1" x14ac:dyDescent="0.35">
      <c r="A22" s="29">
        <v>43364</v>
      </c>
      <c r="B22" s="30" t="s">
        <v>59</v>
      </c>
      <c r="C22" s="31"/>
      <c r="D22" s="31"/>
      <c r="E22" s="31"/>
      <c r="F22" s="31"/>
      <c r="G22" s="32"/>
    </row>
    <row r="23" spans="1:7" ht="14.5" thickBot="1" x14ac:dyDescent="0.35">
      <c r="A23" s="25">
        <v>43365</v>
      </c>
      <c r="B23" s="26" t="s">
        <v>58</v>
      </c>
      <c r="C23" s="27"/>
      <c r="D23" s="27"/>
      <c r="E23" s="27"/>
      <c r="F23" s="27"/>
      <c r="G23" s="28"/>
    </row>
    <row r="24" spans="1:7" ht="14.5" thickBot="1" x14ac:dyDescent="0.35">
      <c r="A24" s="25">
        <v>43366</v>
      </c>
      <c r="B24" s="26" t="s">
        <v>57</v>
      </c>
      <c r="C24" s="27"/>
      <c r="D24" s="27"/>
      <c r="E24" s="27"/>
      <c r="F24" s="27"/>
      <c r="G24" s="28"/>
    </row>
    <row r="25" spans="1:7" ht="14.5" thickBot="1" x14ac:dyDescent="0.35">
      <c r="A25" s="29">
        <v>43367</v>
      </c>
      <c r="B25" s="30" t="s">
        <v>2</v>
      </c>
      <c r="C25" s="31"/>
      <c r="D25" s="31"/>
      <c r="E25" s="31"/>
      <c r="F25" s="31"/>
      <c r="G25" s="32"/>
    </row>
    <row r="26" spans="1:7" ht="14.5" thickBot="1" x14ac:dyDescent="0.35">
      <c r="A26" s="29">
        <v>43368</v>
      </c>
      <c r="B26" s="30" t="s">
        <v>56</v>
      </c>
      <c r="C26" s="31"/>
      <c r="D26" s="31"/>
      <c r="E26" s="31"/>
      <c r="F26" s="31"/>
      <c r="G26" s="32"/>
    </row>
    <row r="27" spans="1:7" ht="14.5" thickBot="1" x14ac:dyDescent="0.35">
      <c r="A27" s="29">
        <v>43369</v>
      </c>
      <c r="B27" s="30" t="s">
        <v>61</v>
      </c>
      <c r="C27" s="31"/>
      <c r="D27" s="31"/>
      <c r="E27" s="31"/>
      <c r="F27" s="31"/>
      <c r="G27" s="32"/>
    </row>
    <row r="28" spans="1:7" ht="14.5" thickBot="1" x14ac:dyDescent="0.35">
      <c r="A28" s="29">
        <v>43370</v>
      </c>
      <c r="B28" s="30" t="s">
        <v>60</v>
      </c>
      <c r="C28" s="31"/>
      <c r="D28" s="31"/>
      <c r="E28" s="31"/>
      <c r="F28" s="31"/>
      <c r="G28" s="32"/>
    </row>
    <row r="29" spans="1:7" ht="14.5" thickBot="1" x14ac:dyDescent="0.35">
      <c r="A29" s="29">
        <v>43371</v>
      </c>
      <c r="B29" s="30" t="s">
        <v>59</v>
      </c>
      <c r="C29" s="31"/>
      <c r="D29" s="31"/>
      <c r="E29" s="31"/>
      <c r="F29" s="31"/>
      <c r="G29" s="32"/>
    </row>
    <row r="30" spans="1:7" ht="14.5" thickBot="1" x14ac:dyDescent="0.35">
      <c r="A30" s="25">
        <v>43372</v>
      </c>
      <c r="B30" s="26" t="s">
        <v>58</v>
      </c>
      <c r="C30" s="27"/>
      <c r="D30" s="27"/>
      <c r="E30" s="27"/>
      <c r="F30" s="27"/>
      <c r="G30" s="28"/>
    </row>
    <row r="31" spans="1:7" ht="14.5" thickBot="1" x14ac:dyDescent="0.35">
      <c r="A31" s="25">
        <v>43373</v>
      </c>
      <c r="B31" s="26" t="s">
        <v>57</v>
      </c>
      <c r="C31" s="27"/>
      <c r="D31" s="27"/>
      <c r="E31" s="27"/>
      <c r="F31" s="27"/>
      <c r="G31" s="28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2C6EAA"/>
  </sheetPr>
  <dimension ref="A1:G32"/>
  <sheetViews>
    <sheetView topLeftCell="B1" zoomScale="160" zoomScaleNormal="160" workbookViewId="0">
      <pane ySplit="1" topLeftCell="A11" activePane="bottomLeft" state="frozen"/>
      <selection activeCell="E13" sqref="E13"/>
      <selection pane="bottomLeft" activeCell="G18" sqref="G18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3" t="s">
        <v>82</v>
      </c>
      <c r="B1" s="24" t="s">
        <v>86</v>
      </c>
      <c r="C1" s="24" t="s">
        <v>85</v>
      </c>
      <c r="D1" s="24" t="s">
        <v>89</v>
      </c>
      <c r="E1" s="24" t="s">
        <v>88</v>
      </c>
      <c r="F1" s="24" t="s">
        <v>83</v>
      </c>
      <c r="G1" s="24" t="s">
        <v>65</v>
      </c>
    </row>
    <row r="2" spans="1:7" ht="15" thickTop="1" thickBot="1" x14ac:dyDescent="0.35">
      <c r="A2" s="29">
        <v>43374</v>
      </c>
      <c r="B2" s="30" t="s">
        <v>2</v>
      </c>
      <c r="C2" s="31"/>
      <c r="D2" s="31"/>
      <c r="E2" s="31"/>
      <c r="F2" s="31"/>
      <c r="G2" s="32"/>
    </row>
    <row r="3" spans="1:7" ht="14.5" thickBot="1" x14ac:dyDescent="0.35">
      <c r="A3" s="29">
        <v>43375</v>
      </c>
      <c r="B3" s="30" t="s">
        <v>56</v>
      </c>
      <c r="C3" s="31"/>
      <c r="D3" s="31"/>
      <c r="E3" s="31"/>
      <c r="F3" s="31"/>
      <c r="G3" s="32"/>
    </row>
    <row r="4" spans="1:7" ht="14.5" thickBot="1" x14ac:dyDescent="0.35">
      <c r="A4" s="29">
        <v>43376</v>
      </c>
      <c r="B4" s="30" t="s">
        <v>61</v>
      </c>
      <c r="C4" s="31"/>
      <c r="D4" s="31"/>
      <c r="E4" s="31"/>
      <c r="F4" s="31"/>
      <c r="G4" s="32"/>
    </row>
    <row r="5" spans="1:7" ht="14.5" thickBot="1" x14ac:dyDescent="0.35">
      <c r="A5" s="29">
        <v>43377</v>
      </c>
      <c r="B5" s="30" t="s">
        <v>60</v>
      </c>
      <c r="C5" s="31"/>
      <c r="D5" s="31"/>
      <c r="E5" s="31"/>
      <c r="F5" s="31"/>
      <c r="G5" s="32"/>
    </row>
    <row r="6" spans="1:7" ht="14.5" thickBot="1" x14ac:dyDescent="0.35">
      <c r="A6" s="29">
        <v>43378</v>
      </c>
      <c r="B6" s="30" t="s">
        <v>59</v>
      </c>
      <c r="C6" s="31"/>
      <c r="D6" s="31"/>
      <c r="E6" s="31"/>
      <c r="F6" s="31"/>
      <c r="G6" s="32"/>
    </row>
    <row r="7" spans="1:7" ht="14.5" thickBot="1" x14ac:dyDescent="0.35">
      <c r="A7" s="25">
        <v>43379</v>
      </c>
      <c r="B7" s="26" t="s">
        <v>58</v>
      </c>
      <c r="C7" s="27"/>
      <c r="D7" s="27"/>
      <c r="E7" s="27"/>
      <c r="F7" s="27"/>
      <c r="G7" s="28"/>
    </row>
    <row r="8" spans="1:7" ht="14.5" thickBot="1" x14ac:dyDescent="0.35">
      <c r="A8" s="25">
        <v>43380</v>
      </c>
      <c r="B8" s="26" t="s">
        <v>57</v>
      </c>
      <c r="C8" s="27"/>
      <c r="D8" s="27"/>
      <c r="E8" s="27"/>
      <c r="F8" s="27"/>
      <c r="G8" s="28"/>
    </row>
    <row r="9" spans="1:7" ht="14.5" thickBot="1" x14ac:dyDescent="0.35">
      <c r="A9" s="29">
        <v>43381</v>
      </c>
      <c r="B9" s="30" t="s">
        <v>2</v>
      </c>
      <c r="C9" s="31"/>
      <c r="D9" s="31"/>
      <c r="E9" s="31"/>
      <c r="F9" s="31"/>
      <c r="G9" s="32"/>
    </row>
    <row r="10" spans="1:7" ht="14.5" thickBot="1" x14ac:dyDescent="0.35">
      <c r="A10" s="29">
        <v>43382</v>
      </c>
      <c r="B10" s="30" t="s">
        <v>56</v>
      </c>
      <c r="C10" s="31"/>
      <c r="D10" s="31"/>
      <c r="E10" s="31"/>
      <c r="F10" s="31"/>
      <c r="G10" s="32"/>
    </row>
    <row r="11" spans="1:7" ht="14.5" thickBot="1" x14ac:dyDescent="0.35">
      <c r="A11" s="29">
        <v>43383</v>
      </c>
      <c r="B11" s="30" t="s">
        <v>61</v>
      </c>
      <c r="C11" s="31" t="s">
        <v>180</v>
      </c>
      <c r="D11" s="31"/>
      <c r="E11" s="31"/>
      <c r="F11" s="31"/>
      <c r="G11" s="32"/>
    </row>
    <row r="12" spans="1:7" ht="14.5" thickBot="1" x14ac:dyDescent="0.35">
      <c r="A12" s="29">
        <v>43384</v>
      </c>
      <c r="B12" s="30" t="s">
        <v>60</v>
      </c>
      <c r="C12" s="31"/>
      <c r="D12" s="31"/>
      <c r="E12" s="31"/>
      <c r="F12" s="31"/>
      <c r="G12" s="32"/>
    </row>
    <row r="13" spans="1:7" ht="14.5" thickBot="1" x14ac:dyDescent="0.35">
      <c r="A13" s="29">
        <v>43385</v>
      </c>
      <c r="B13" s="30" t="s">
        <v>59</v>
      </c>
      <c r="C13" s="31"/>
      <c r="D13" s="31"/>
      <c r="E13" s="31"/>
      <c r="F13" s="31"/>
      <c r="G13" s="32"/>
    </row>
    <row r="14" spans="1:7" ht="14.5" thickBot="1" x14ac:dyDescent="0.35">
      <c r="A14" s="25">
        <v>43386</v>
      </c>
      <c r="B14" s="26" t="s">
        <v>58</v>
      </c>
      <c r="C14" s="27"/>
      <c r="D14" s="27"/>
      <c r="E14" s="27"/>
      <c r="F14" s="27"/>
      <c r="G14" s="28"/>
    </row>
    <row r="15" spans="1:7" ht="14.5" thickBot="1" x14ac:dyDescent="0.35">
      <c r="A15" s="25">
        <v>43387</v>
      </c>
      <c r="B15" s="26" t="s">
        <v>123</v>
      </c>
      <c r="C15" s="27"/>
      <c r="D15" s="27"/>
      <c r="E15" s="27"/>
      <c r="F15" s="27"/>
      <c r="G15" s="28"/>
    </row>
    <row r="16" spans="1:7" ht="14.5" thickBot="1" x14ac:dyDescent="0.35">
      <c r="A16" s="29">
        <v>43388</v>
      </c>
      <c r="B16" s="30" t="s">
        <v>2</v>
      </c>
      <c r="C16" s="31"/>
      <c r="D16" s="31"/>
      <c r="E16" s="31"/>
      <c r="F16" s="31"/>
      <c r="G16" s="32"/>
    </row>
    <row r="17" spans="1:7" ht="14.5" thickBot="1" x14ac:dyDescent="0.35">
      <c r="A17" s="29">
        <v>43389</v>
      </c>
      <c r="B17" s="30" t="s">
        <v>56</v>
      </c>
      <c r="C17" s="31"/>
      <c r="D17" s="31"/>
      <c r="E17" s="31"/>
      <c r="F17" s="31"/>
      <c r="G17" s="32" t="s">
        <v>191</v>
      </c>
    </row>
    <row r="18" spans="1:7" ht="14.5" thickBot="1" x14ac:dyDescent="0.35">
      <c r="A18" s="29">
        <v>43390</v>
      </c>
      <c r="B18" s="30" t="s">
        <v>61</v>
      </c>
      <c r="C18" s="31"/>
      <c r="D18" s="31"/>
      <c r="E18" s="31"/>
      <c r="F18" s="31"/>
      <c r="G18" s="32"/>
    </row>
    <row r="19" spans="1:7" ht="14.5" thickBot="1" x14ac:dyDescent="0.35">
      <c r="A19" s="29">
        <v>43391</v>
      </c>
      <c r="B19" s="30" t="s">
        <v>60</v>
      </c>
      <c r="C19" s="31"/>
      <c r="D19" s="31"/>
      <c r="E19" s="31"/>
      <c r="F19" s="31"/>
      <c r="G19" s="32"/>
    </row>
    <row r="20" spans="1:7" ht="14.5" thickBot="1" x14ac:dyDescent="0.35">
      <c r="A20" s="29">
        <v>43392</v>
      </c>
      <c r="B20" s="30" t="s">
        <v>59</v>
      </c>
      <c r="C20" s="31"/>
      <c r="D20" s="31"/>
      <c r="E20" s="31"/>
      <c r="F20" s="31"/>
      <c r="G20" s="32"/>
    </row>
    <row r="21" spans="1:7" ht="14.5" thickBot="1" x14ac:dyDescent="0.35">
      <c r="A21" s="25">
        <v>43393</v>
      </c>
      <c r="B21" s="26" t="s">
        <v>58</v>
      </c>
      <c r="C21" s="27"/>
      <c r="D21" s="27"/>
      <c r="E21" s="27"/>
      <c r="F21" s="27"/>
      <c r="G21" s="28"/>
    </row>
    <row r="22" spans="1:7" ht="14.5" thickBot="1" x14ac:dyDescent="0.35">
      <c r="A22" s="25">
        <v>43394</v>
      </c>
      <c r="B22" s="26" t="s">
        <v>57</v>
      </c>
      <c r="C22" s="27"/>
      <c r="D22" s="27"/>
      <c r="E22" s="27"/>
      <c r="F22" s="27"/>
      <c r="G22" s="28"/>
    </row>
    <row r="23" spans="1:7" ht="14.5" thickBot="1" x14ac:dyDescent="0.35">
      <c r="A23" s="29">
        <v>43395</v>
      </c>
      <c r="B23" s="30" t="s">
        <v>2</v>
      </c>
      <c r="C23" s="31"/>
      <c r="D23" s="31"/>
      <c r="E23" s="31"/>
      <c r="F23" s="31"/>
      <c r="G23" s="32"/>
    </row>
    <row r="24" spans="1:7" ht="14.5" thickBot="1" x14ac:dyDescent="0.35">
      <c r="A24" s="29">
        <v>43396</v>
      </c>
      <c r="B24" s="30" t="s">
        <v>56</v>
      </c>
      <c r="C24" s="31"/>
      <c r="D24" s="31"/>
      <c r="E24" s="31"/>
      <c r="F24" s="31"/>
      <c r="G24" s="32"/>
    </row>
    <row r="25" spans="1:7" ht="14.5" thickBot="1" x14ac:dyDescent="0.35">
      <c r="A25" s="29">
        <v>43397</v>
      </c>
      <c r="B25" s="30" t="s">
        <v>61</v>
      </c>
      <c r="C25" s="31"/>
      <c r="D25" s="31"/>
      <c r="E25" s="31"/>
      <c r="F25" s="31"/>
      <c r="G25" s="32"/>
    </row>
    <row r="26" spans="1:7" ht="14.5" thickBot="1" x14ac:dyDescent="0.35">
      <c r="A26" s="29">
        <v>43398</v>
      </c>
      <c r="B26" s="30" t="s">
        <v>60</v>
      </c>
      <c r="C26" s="31"/>
      <c r="D26" s="31"/>
      <c r="E26" s="31"/>
      <c r="F26" s="31"/>
      <c r="G26" s="32"/>
    </row>
    <row r="27" spans="1:7" ht="14.5" thickBot="1" x14ac:dyDescent="0.35">
      <c r="A27" s="29">
        <v>43399</v>
      </c>
      <c r="B27" s="30" t="s">
        <v>59</v>
      </c>
      <c r="C27" s="31"/>
      <c r="D27" s="31"/>
      <c r="E27" s="31"/>
      <c r="F27" s="31"/>
      <c r="G27" s="32"/>
    </row>
    <row r="28" spans="1:7" ht="14.5" thickBot="1" x14ac:dyDescent="0.35">
      <c r="A28" s="25">
        <v>43400</v>
      </c>
      <c r="B28" s="26" t="s">
        <v>58</v>
      </c>
      <c r="C28" s="27"/>
      <c r="D28" s="27"/>
      <c r="E28" s="27"/>
      <c r="F28" s="27"/>
      <c r="G28" s="28"/>
    </row>
    <row r="29" spans="1:7" ht="14.5" thickBot="1" x14ac:dyDescent="0.35">
      <c r="A29" s="25">
        <v>43401</v>
      </c>
      <c r="B29" s="26" t="s">
        <v>57</v>
      </c>
      <c r="C29" s="27"/>
      <c r="D29" s="27"/>
      <c r="E29" s="27"/>
      <c r="F29" s="27"/>
      <c r="G29" s="28"/>
    </row>
    <row r="30" spans="1:7" ht="14.5" thickBot="1" x14ac:dyDescent="0.35">
      <c r="A30" s="29">
        <v>43402</v>
      </c>
      <c r="B30" s="30" t="s">
        <v>2</v>
      </c>
      <c r="C30" s="31"/>
      <c r="D30" s="31"/>
      <c r="E30" s="31"/>
      <c r="F30" s="31"/>
      <c r="G30" s="32"/>
    </row>
    <row r="31" spans="1:7" ht="14.5" thickBot="1" x14ac:dyDescent="0.35">
      <c r="A31" s="29">
        <v>43403</v>
      </c>
      <c r="B31" s="30" t="s">
        <v>56</v>
      </c>
      <c r="C31" s="31"/>
      <c r="D31" s="31"/>
      <c r="E31" s="31"/>
      <c r="F31" s="31"/>
      <c r="G31" s="32"/>
    </row>
    <row r="32" spans="1:7" ht="14.5" thickBot="1" x14ac:dyDescent="0.35">
      <c r="A32" s="29">
        <v>43404</v>
      </c>
      <c r="B32" s="30" t="s">
        <v>61</v>
      </c>
      <c r="C32" s="31"/>
      <c r="D32" s="31"/>
      <c r="E32" s="31"/>
      <c r="F32" s="31"/>
      <c r="G32" s="32"/>
    </row>
  </sheetData>
  <phoneticPr fontId="1" type="noConversion"/>
  <dataValidations disablePrompts="1" count="1">
    <dataValidation type="list" allowBlank="1" showInputMessage="1" showErrorMessage="1" sqref="F2:F32" xr:uid="{00000000-0002-0000-0A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2A69A2"/>
  </sheetPr>
  <dimension ref="A1:G31"/>
  <sheetViews>
    <sheetView zoomScale="160" zoomScaleNormal="160" workbookViewId="0">
      <pane ySplit="1" topLeftCell="A20" activePane="bottomLeft" state="frozen"/>
      <selection activeCell="E13" sqref="E13"/>
      <selection pane="bottomLeft" activeCell="D33" sqref="D33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3" t="s">
        <v>75</v>
      </c>
      <c r="B1" s="24" t="s">
        <v>81</v>
      </c>
      <c r="C1" s="24" t="s">
        <v>71</v>
      </c>
      <c r="D1" s="24" t="s">
        <v>90</v>
      </c>
      <c r="E1" s="24" t="s">
        <v>68</v>
      </c>
      <c r="F1" s="24" t="s">
        <v>67</v>
      </c>
      <c r="G1" s="24" t="s">
        <v>65</v>
      </c>
    </row>
    <row r="2" spans="1:7" ht="15" thickTop="1" thickBot="1" x14ac:dyDescent="0.35">
      <c r="A2" s="29">
        <v>43405</v>
      </c>
      <c r="B2" s="30" t="s">
        <v>60</v>
      </c>
      <c r="C2" s="31"/>
      <c r="D2" s="31"/>
      <c r="E2" s="31"/>
      <c r="F2" s="31"/>
      <c r="G2" s="32"/>
    </row>
    <row r="3" spans="1:7" ht="14.5" thickBot="1" x14ac:dyDescent="0.35">
      <c r="A3" s="29">
        <v>43406</v>
      </c>
      <c r="B3" s="30" t="s">
        <v>59</v>
      </c>
      <c r="C3" s="31"/>
      <c r="D3" s="31"/>
      <c r="E3" s="31"/>
      <c r="F3" s="31"/>
      <c r="G3" s="32"/>
    </row>
    <row r="4" spans="1:7" ht="14.5" thickBot="1" x14ac:dyDescent="0.35">
      <c r="A4" s="25">
        <v>43407</v>
      </c>
      <c r="B4" s="26" t="s">
        <v>58</v>
      </c>
      <c r="C4" s="27"/>
      <c r="D4" s="27"/>
      <c r="E4" s="27"/>
      <c r="F4" s="27"/>
      <c r="G4" s="28"/>
    </row>
    <row r="5" spans="1:7" ht="14.5" thickBot="1" x14ac:dyDescent="0.35">
      <c r="A5" s="25">
        <v>43408</v>
      </c>
      <c r="B5" s="26" t="s">
        <v>57</v>
      </c>
      <c r="C5" s="27"/>
      <c r="D5" s="27"/>
      <c r="E5" s="27"/>
      <c r="F5" s="27"/>
      <c r="G5" s="28"/>
    </row>
    <row r="6" spans="1:7" ht="14.5" thickBot="1" x14ac:dyDescent="0.35">
      <c r="A6" s="29">
        <v>43409</v>
      </c>
      <c r="B6" s="30" t="s">
        <v>2</v>
      </c>
      <c r="C6" s="31"/>
      <c r="D6" s="31"/>
      <c r="E6" s="31"/>
      <c r="F6" s="31"/>
      <c r="G6" s="32"/>
    </row>
    <row r="7" spans="1:7" ht="14.5" thickBot="1" x14ac:dyDescent="0.35">
      <c r="A7" s="29">
        <v>43410</v>
      </c>
      <c r="B7" s="30" t="s">
        <v>56</v>
      </c>
      <c r="C7" s="31"/>
      <c r="D7" s="31"/>
      <c r="E7" s="31"/>
      <c r="F7" s="31"/>
      <c r="G7" s="32"/>
    </row>
    <row r="8" spans="1:7" ht="14.5" thickBot="1" x14ac:dyDescent="0.35">
      <c r="A8" s="29">
        <v>43411</v>
      </c>
      <c r="B8" s="30" t="s">
        <v>61</v>
      </c>
      <c r="C8" s="31"/>
      <c r="D8" s="31"/>
      <c r="E8" s="31"/>
      <c r="F8" s="31"/>
      <c r="G8" s="32"/>
    </row>
    <row r="9" spans="1:7" ht="14.5" thickBot="1" x14ac:dyDescent="0.35">
      <c r="A9" s="29">
        <v>43412</v>
      </c>
      <c r="B9" s="30" t="s">
        <v>60</v>
      </c>
      <c r="C9" s="31"/>
      <c r="D9" s="31"/>
      <c r="E9" s="31"/>
      <c r="F9" s="31"/>
      <c r="G9" s="32"/>
    </row>
    <row r="10" spans="1:7" ht="14.5" thickBot="1" x14ac:dyDescent="0.35">
      <c r="A10" s="29">
        <v>43413</v>
      </c>
      <c r="B10" s="30" t="s">
        <v>59</v>
      </c>
      <c r="C10" s="31"/>
      <c r="D10" s="31"/>
      <c r="E10" s="31"/>
      <c r="F10" s="31"/>
      <c r="G10" s="32"/>
    </row>
    <row r="11" spans="1:7" ht="14.5" thickBot="1" x14ac:dyDescent="0.35">
      <c r="A11" s="25">
        <v>43414</v>
      </c>
      <c r="B11" s="26" t="s">
        <v>58</v>
      </c>
      <c r="C11" s="27"/>
      <c r="D11" s="27"/>
      <c r="E11" s="27"/>
      <c r="F11" s="27"/>
      <c r="G11" s="28"/>
    </row>
    <row r="12" spans="1:7" ht="14.5" thickBot="1" x14ac:dyDescent="0.35">
      <c r="A12" s="25">
        <v>43415</v>
      </c>
      <c r="B12" s="26" t="s">
        <v>57</v>
      </c>
      <c r="C12" s="27"/>
      <c r="D12" s="27"/>
      <c r="E12" s="27"/>
      <c r="F12" s="27"/>
      <c r="G12" s="28"/>
    </row>
    <row r="13" spans="1:7" ht="14.5" thickBot="1" x14ac:dyDescent="0.35">
      <c r="A13" s="29">
        <v>43416</v>
      </c>
      <c r="B13" s="30" t="s">
        <v>2</v>
      </c>
      <c r="C13" s="31"/>
      <c r="D13" s="31"/>
      <c r="E13" s="31"/>
      <c r="F13" s="31"/>
      <c r="G13" s="32"/>
    </row>
    <row r="14" spans="1:7" ht="14.5" thickBot="1" x14ac:dyDescent="0.35">
      <c r="A14" s="29">
        <v>43417</v>
      </c>
      <c r="B14" s="30" t="s">
        <v>56</v>
      </c>
      <c r="C14" s="31"/>
      <c r="D14" s="31"/>
      <c r="E14" s="31"/>
      <c r="F14" s="31"/>
      <c r="G14" s="32"/>
    </row>
    <row r="15" spans="1:7" ht="14.5" thickBot="1" x14ac:dyDescent="0.35">
      <c r="A15" s="29">
        <v>43418</v>
      </c>
      <c r="B15" s="30" t="s">
        <v>123</v>
      </c>
      <c r="C15" s="31"/>
      <c r="D15" s="31"/>
      <c r="E15" s="31"/>
      <c r="F15" s="31"/>
      <c r="G15" s="32"/>
    </row>
    <row r="16" spans="1:7" ht="14.5" thickBot="1" x14ac:dyDescent="0.35">
      <c r="A16" s="29">
        <v>43419</v>
      </c>
      <c r="B16" s="30" t="s">
        <v>60</v>
      </c>
      <c r="C16" s="31"/>
      <c r="D16" s="31"/>
      <c r="E16" s="31"/>
      <c r="F16" s="31"/>
      <c r="G16" s="32"/>
    </row>
    <row r="17" spans="1:7" ht="14.5" thickBot="1" x14ac:dyDescent="0.35">
      <c r="A17" s="29">
        <v>43420</v>
      </c>
      <c r="B17" s="30" t="s">
        <v>59</v>
      </c>
      <c r="C17" s="31"/>
      <c r="D17" s="31"/>
      <c r="E17" s="31"/>
      <c r="F17" s="31"/>
      <c r="G17" s="32"/>
    </row>
    <row r="18" spans="1:7" ht="14.5" thickBot="1" x14ac:dyDescent="0.35">
      <c r="A18" s="25">
        <v>43421</v>
      </c>
      <c r="B18" s="26" t="s">
        <v>58</v>
      </c>
      <c r="C18" s="27"/>
      <c r="D18" s="27"/>
      <c r="E18" s="27"/>
      <c r="F18" s="27"/>
      <c r="G18" s="28"/>
    </row>
    <row r="19" spans="1:7" ht="14.5" thickBot="1" x14ac:dyDescent="0.35">
      <c r="A19" s="25">
        <v>43422</v>
      </c>
      <c r="B19" s="26" t="s">
        <v>57</v>
      </c>
      <c r="C19" s="27"/>
      <c r="D19" s="27"/>
      <c r="E19" s="27"/>
      <c r="F19" s="27"/>
      <c r="G19" s="28"/>
    </row>
    <row r="20" spans="1:7" ht="14.5" thickBot="1" x14ac:dyDescent="0.35">
      <c r="A20" s="29">
        <v>43423</v>
      </c>
      <c r="B20" s="30" t="s">
        <v>2</v>
      </c>
      <c r="C20" s="31"/>
      <c r="D20" s="31"/>
      <c r="E20" s="31"/>
      <c r="F20" s="31"/>
      <c r="G20" s="32"/>
    </row>
    <row r="21" spans="1:7" ht="14.5" thickBot="1" x14ac:dyDescent="0.35">
      <c r="A21" s="29">
        <v>43424</v>
      </c>
      <c r="B21" s="30" t="s">
        <v>56</v>
      </c>
      <c r="C21" s="31"/>
      <c r="D21" s="31"/>
      <c r="E21" s="31"/>
      <c r="F21" s="31"/>
      <c r="G21" s="32"/>
    </row>
    <row r="22" spans="1:7" ht="14.5" thickBot="1" x14ac:dyDescent="0.35">
      <c r="A22" s="29">
        <v>43425</v>
      </c>
      <c r="B22" s="30" t="s">
        <v>61</v>
      </c>
      <c r="C22" s="31"/>
      <c r="D22" s="31"/>
      <c r="E22" s="31"/>
      <c r="F22" s="31"/>
      <c r="G22" s="32"/>
    </row>
    <row r="23" spans="1:7" ht="14.5" thickBot="1" x14ac:dyDescent="0.35">
      <c r="A23" s="29">
        <v>43426</v>
      </c>
      <c r="B23" s="30" t="s">
        <v>60</v>
      </c>
      <c r="C23" s="31"/>
      <c r="D23" s="31"/>
      <c r="E23" s="31"/>
      <c r="F23" s="31"/>
      <c r="G23" s="32"/>
    </row>
    <row r="24" spans="1:7" ht="14.5" thickBot="1" x14ac:dyDescent="0.35">
      <c r="A24" s="29">
        <v>43427</v>
      </c>
      <c r="B24" s="30" t="s">
        <v>59</v>
      </c>
      <c r="C24" s="31"/>
      <c r="D24" s="31"/>
      <c r="E24" s="31"/>
      <c r="F24" s="31"/>
      <c r="G24" s="32"/>
    </row>
    <row r="25" spans="1:7" ht="14.5" thickBot="1" x14ac:dyDescent="0.35">
      <c r="A25" s="25">
        <v>43428</v>
      </c>
      <c r="B25" s="26" t="s">
        <v>58</v>
      </c>
      <c r="C25" s="27"/>
      <c r="D25" s="27"/>
      <c r="E25" s="27"/>
      <c r="F25" s="27"/>
      <c r="G25" s="28"/>
    </row>
    <row r="26" spans="1:7" ht="14.5" thickBot="1" x14ac:dyDescent="0.35">
      <c r="A26" s="25">
        <v>43429</v>
      </c>
      <c r="B26" s="26" t="s">
        <v>57</v>
      </c>
      <c r="C26" s="27"/>
      <c r="D26" s="27"/>
      <c r="E26" s="27"/>
      <c r="F26" s="27"/>
      <c r="G26" s="28"/>
    </row>
    <row r="27" spans="1:7" ht="14.5" thickBot="1" x14ac:dyDescent="0.35">
      <c r="A27" s="29">
        <v>43430</v>
      </c>
      <c r="B27" s="30" t="s">
        <v>2</v>
      </c>
      <c r="C27" s="31"/>
      <c r="D27" s="31"/>
      <c r="E27" s="31"/>
      <c r="F27" s="31"/>
      <c r="G27" s="32"/>
    </row>
    <row r="28" spans="1:7" ht="14.5" thickBot="1" x14ac:dyDescent="0.35">
      <c r="A28" s="29">
        <v>43431</v>
      </c>
      <c r="B28" s="30" t="s">
        <v>56</v>
      </c>
      <c r="C28" s="31"/>
      <c r="D28" s="31"/>
      <c r="E28" s="31"/>
      <c r="F28" s="31"/>
      <c r="G28" s="32"/>
    </row>
    <row r="29" spans="1:7" ht="14.5" thickBot="1" x14ac:dyDescent="0.35">
      <c r="A29" s="29">
        <v>43432</v>
      </c>
      <c r="B29" s="30" t="s">
        <v>61</v>
      </c>
      <c r="C29" s="31"/>
      <c r="D29" s="31"/>
      <c r="E29" s="31"/>
      <c r="F29" s="31"/>
      <c r="G29" s="32"/>
    </row>
    <row r="30" spans="1:7" ht="14.5" thickBot="1" x14ac:dyDescent="0.35">
      <c r="A30" s="29">
        <v>43433</v>
      </c>
      <c r="B30" s="30" t="s">
        <v>60</v>
      </c>
      <c r="C30" s="31"/>
      <c r="D30" s="31"/>
      <c r="E30" s="31"/>
      <c r="F30" s="31"/>
      <c r="G30" s="32"/>
    </row>
    <row r="31" spans="1:7" ht="14.5" thickBot="1" x14ac:dyDescent="0.35">
      <c r="A31" s="29">
        <v>43434</v>
      </c>
      <c r="B31" s="30" t="s">
        <v>59</v>
      </c>
      <c r="C31" s="31"/>
      <c r="D31" s="31"/>
      <c r="E31" s="31"/>
      <c r="F31" s="31"/>
      <c r="G31" s="32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-0.499984740745262"/>
  </sheetPr>
  <dimension ref="A1:G32"/>
  <sheetViews>
    <sheetView zoomScale="160" zoomScaleNormal="160" workbookViewId="0">
      <pane ySplit="1" topLeftCell="A2" activePane="bottomLeft" state="frozen"/>
      <selection activeCell="E13" sqref="E13"/>
      <selection pane="bottomLeft" activeCell="C2" sqref="C2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3" t="s">
        <v>82</v>
      </c>
      <c r="B1" s="24" t="s">
        <v>73</v>
      </c>
      <c r="C1" s="24" t="s">
        <v>80</v>
      </c>
      <c r="D1" s="24" t="s">
        <v>90</v>
      </c>
      <c r="E1" s="24" t="s">
        <v>68</v>
      </c>
      <c r="F1" s="24" t="s">
        <v>67</v>
      </c>
      <c r="G1" s="24" t="s">
        <v>65</v>
      </c>
    </row>
    <row r="2" spans="1:7" ht="15" thickTop="1" thickBot="1" x14ac:dyDescent="0.35">
      <c r="A2" s="25">
        <v>43435</v>
      </c>
      <c r="B2" s="26" t="s">
        <v>58</v>
      </c>
      <c r="C2" s="27"/>
      <c r="D2" s="27"/>
      <c r="E2" s="27"/>
      <c r="F2" s="27"/>
      <c r="G2" s="28"/>
    </row>
    <row r="3" spans="1:7" ht="14.5" thickBot="1" x14ac:dyDescent="0.35">
      <c r="A3" s="25">
        <v>43436</v>
      </c>
      <c r="B3" s="26" t="s">
        <v>57</v>
      </c>
      <c r="C3" s="27"/>
      <c r="D3" s="27"/>
      <c r="E3" s="27"/>
      <c r="F3" s="27"/>
      <c r="G3" s="28"/>
    </row>
    <row r="4" spans="1:7" ht="14.5" thickBot="1" x14ac:dyDescent="0.35">
      <c r="A4" s="29">
        <v>43437</v>
      </c>
      <c r="B4" s="30" t="s">
        <v>2</v>
      </c>
      <c r="C4" s="31"/>
      <c r="D4" s="31"/>
      <c r="E4" s="31"/>
      <c r="F4" s="31"/>
      <c r="G4" s="32"/>
    </row>
    <row r="5" spans="1:7" ht="14.5" thickBot="1" x14ac:dyDescent="0.35">
      <c r="A5" s="29">
        <v>43438</v>
      </c>
      <c r="B5" s="30" t="s">
        <v>56</v>
      </c>
      <c r="C5" s="31"/>
      <c r="D5" s="31"/>
      <c r="E5" s="31"/>
      <c r="F5" s="31"/>
      <c r="G5" s="32"/>
    </row>
    <row r="6" spans="1:7" ht="14.5" thickBot="1" x14ac:dyDescent="0.35">
      <c r="A6" s="29">
        <v>43439</v>
      </c>
      <c r="B6" s="30" t="s">
        <v>61</v>
      </c>
      <c r="C6" s="31"/>
      <c r="D6" s="31"/>
      <c r="E6" s="31"/>
      <c r="F6" s="31"/>
      <c r="G6" s="32"/>
    </row>
    <row r="7" spans="1:7" ht="14.5" thickBot="1" x14ac:dyDescent="0.35">
      <c r="A7" s="29">
        <v>43440</v>
      </c>
      <c r="B7" s="30" t="s">
        <v>60</v>
      </c>
      <c r="C7" s="31"/>
      <c r="D7" s="31"/>
      <c r="E7" s="31"/>
      <c r="F7" s="31"/>
      <c r="G7" s="32"/>
    </row>
    <row r="8" spans="1:7" ht="14.5" thickBot="1" x14ac:dyDescent="0.35">
      <c r="A8" s="29">
        <v>43441</v>
      </c>
      <c r="B8" s="30" t="s">
        <v>59</v>
      </c>
      <c r="C8" s="31"/>
      <c r="D8" s="31"/>
      <c r="E8" s="31"/>
      <c r="F8" s="31"/>
      <c r="G8" s="32"/>
    </row>
    <row r="9" spans="1:7" ht="14.5" thickBot="1" x14ac:dyDescent="0.35">
      <c r="A9" s="25">
        <v>43442</v>
      </c>
      <c r="B9" s="26" t="s">
        <v>58</v>
      </c>
      <c r="C9" s="27"/>
      <c r="D9" s="27"/>
      <c r="E9" s="27"/>
      <c r="F9" s="27"/>
      <c r="G9" s="28"/>
    </row>
    <row r="10" spans="1:7" ht="14.5" thickBot="1" x14ac:dyDescent="0.35">
      <c r="A10" s="25">
        <v>43443</v>
      </c>
      <c r="B10" s="26" t="s">
        <v>57</v>
      </c>
      <c r="C10" s="27"/>
      <c r="D10" s="27"/>
      <c r="E10" s="27"/>
      <c r="F10" s="27"/>
      <c r="G10" s="28"/>
    </row>
    <row r="11" spans="1:7" ht="14.5" thickBot="1" x14ac:dyDescent="0.35">
      <c r="A11" s="29">
        <v>43444</v>
      </c>
      <c r="B11" s="30" t="s">
        <v>2</v>
      </c>
      <c r="C11" s="31"/>
      <c r="D11" s="31"/>
      <c r="E11" s="31"/>
      <c r="F11" s="31"/>
      <c r="G11" s="32"/>
    </row>
    <row r="12" spans="1:7" ht="14.5" thickBot="1" x14ac:dyDescent="0.35">
      <c r="A12" s="29">
        <v>43445</v>
      </c>
      <c r="B12" s="30" t="s">
        <v>56</v>
      </c>
      <c r="C12" s="31"/>
      <c r="D12" s="31"/>
      <c r="E12" s="31"/>
      <c r="F12" s="31"/>
      <c r="G12" s="32"/>
    </row>
    <row r="13" spans="1:7" ht="14.5" thickBot="1" x14ac:dyDescent="0.35">
      <c r="A13" s="29">
        <v>43446</v>
      </c>
      <c r="B13" s="30" t="s">
        <v>61</v>
      </c>
      <c r="C13" s="31"/>
      <c r="D13" s="31"/>
      <c r="E13" s="31"/>
      <c r="F13" s="31"/>
      <c r="G13" s="32"/>
    </row>
    <row r="14" spans="1:7" ht="14.5" thickBot="1" x14ac:dyDescent="0.35">
      <c r="A14" s="29">
        <v>43447</v>
      </c>
      <c r="B14" s="30" t="s">
        <v>60</v>
      </c>
      <c r="C14" s="31"/>
      <c r="D14" s="31"/>
      <c r="E14" s="31"/>
      <c r="F14" s="31"/>
      <c r="G14" s="32"/>
    </row>
    <row r="15" spans="1:7" ht="14.5" thickBot="1" x14ac:dyDescent="0.35">
      <c r="A15" s="29">
        <v>43448</v>
      </c>
      <c r="B15" s="30" t="s">
        <v>123</v>
      </c>
      <c r="C15" s="31"/>
      <c r="D15" s="31"/>
      <c r="E15" s="31"/>
      <c r="F15" s="31"/>
      <c r="G15" s="32"/>
    </row>
    <row r="16" spans="1:7" ht="14.5" thickBot="1" x14ac:dyDescent="0.35">
      <c r="A16" s="25">
        <v>43449</v>
      </c>
      <c r="B16" s="26" t="s">
        <v>58</v>
      </c>
      <c r="C16" s="27"/>
      <c r="D16" s="27"/>
      <c r="E16" s="27"/>
      <c r="F16" s="27"/>
      <c r="G16" s="28"/>
    </row>
    <row r="17" spans="1:7" ht="14.5" thickBot="1" x14ac:dyDescent="0.35">
      <c r="A17" s="25">
        <v>43450</v>
      </c>
      <c r="B17" s="26" t="s">
        <v>57</v>
      </c>
      <c r="C17" s="27"/>
      <c r="D17" s="27"/>
      <c r="E17" s="27"/>
      <c r="F17" s="27"/>
      <c r="G17" s="28"/>
    </row>
    <row r="18" spans="1:7" ht="14.5" thickBot="1" x14ac:dyDescent="0.35">
      <c r="A18" s="29">
        <v>43451</v>
      </c>
      <c r="B18" s="30" t="s">
        <v>2</v>
      </c>
      <c r="C18" s="31"/>
      <c r="D18" s="31"/>
      <c r="E18" s="31"/>
      <c r="F18" s="31"/>
      <c r="G18" s="32"/>
    </row>
    <row r="19" spans="1:7" ht="14.5" thickBot="1" x14ac:dyDescent="0.35">
      <c r="A19" s="29">
        <v>43452</v>
      </c>
      <c r="B19" s="30" t="s">
        <v>56</v>
      </c>
      <c r="C19" s="31"/>
      <c r="D19" s="31"/>
      <c r="E19" s="31"/>
      <c r="F19" s="31"/>
      <c r="G19" s="32"/>
    </row>
    <row r="20" spans="1:7" ht="14.5" thickBot="1" x14ac:dyDescent="0.35">
      <c r="A20" s="29">
        <v>43453</v>
      </c>
      <c r="B20" s="30" t="s">
        <v>61</v>
      </c>
      <c r="C20" s="31"/>
      <c r="D20" s="31"/>
      <c r="E20" s="31"/>
      <c r="F20" s="31"/>
      <c r="G20" s="32"/>
    </row>
    <row r="21" spans="1:7" ht="14.5" thickBot="1" x14ac:dyDescent="0.35">
      <c r="A21" s="29">
        <v>43454</v>
      </c>
      <c r="B21" s="30" t="s">
        <v>60</v>
      </c>
      <c r="C21" s="31"/>
      <c r="D21" s="31"/>
      <c r="E21" s="31"/>
      <c r="F21" s="31"/>
      <c r="G21" s="32"/>
    </row>
    <row r="22" spans="1:7" ht="14.5" thickBot="1" x14ac:dyDescent="0.35">
      <c r="A22" s="29">
        <v>43455</v>
      </c>
      <c r="B22" s="30" t="s">
        <v>59</v>
      </c>
      <c r="C22" s="31"/>
      <c r="D22" s="31"/>
      <c r="E22" s="31"/>
      <c r="F22" s="31"/>
      <c r="G22" s="32"/>
    </row>
    <row r="23" spans="1:7" ht="14.5" thickBot="1" x14ac:dyDescent="0.35">
      <c r="A23" s="25">
        <v>43456</v>
      </c>
      <c r="B23" s="26" t="s">
        <v>58</v>
      </c>
      <c r="C23" s="27"/>
      <c r="D23" s="27"/>
      <c r="E23" s="27"/>
      <c r="F23" s="27"/>
      <c r="G23" s="28"/>
    </row>
    <row r="24" spans="1:7" ht="14.5" thickBot="1" x14ac:dyDescent="0.35">
      <c r="A24" s="25">
        <v>43457</v>
      </c>
      <c r="B24" s="26" t="s">
        <v>57</v>
      </c>
      <c r="C24" s="27"/>
      <c r="D24" s="27"/>
      <c r="E24" s="27"/>
      <c r="F24" s="27"/>
      <c r="G24" s="28"/>
    </row>
    <row r="25" spans="1:7" ht="14.5" thickBot="1" x14ac:dyDescent="0.35">
      <c r="A25" s="29">
        <v>43458</v>
      </c>
      <c r="B25" s="30" t="s">
        <v>2</v>
      </c>
      <c r="C25" s="31"/>
      <c r="D25" s="31"/>
      <c r="E25" s="31"/>
      <c r="F25" s="31"/>
      <c r="G25" s="32"/>
    </row>
    <row r="26" spans="1:7" ht="14.5" thickBot="1" x14ac:dyDescent="0.35">
      <c r="A26" s="29">
        <v>43459</v>
      </c>
      <c r="B26" s="30" t="s">
        <v>56</v>
      </c>
      <c r="C26" s="31"/>
      <c r="D26" s="31"/>
      <c r="E26" s="31"/>
      <c r="F26" s="31"/>
      <c r="G26" s="32"/>
    </row>
    <row r="27" spans="1:7" ht="14.5" thickBot="1" x14ac:dyDescent="0.35">
      <c r="A27" s="29">
        <v>43460</v>
      </c>
      <c r="B27" s="30" t="s">
        <v>61</v>
      </c>
      <c r="C27" s="31"/>
      <c r="D27" s="31"/>
      <c r="E27" s="31"/>
      <c r="F27" s="31"/>
      <c r="G27" s="32"/>
    </row>
    <row r="28" spans="1:7" ht="14.5" thickBot="1" x14ac:dyDescent="0.35">
      <c r="A28" s="29">
        <v>43461</v>
      </c>
      <c r="B28" s="30" t="s">
        <v>60</v>
      </c>
      <c r="C28" s="31"/>
      <c r="D28" s="31"/>
      <c r="E28" s="31"/>
      <c r="F28" s="31"/>
      <c r="G28" s="32"/>
    </row>
    <row r="29" spans="1:7" ht="14.5" thickBot="1" x14ac:dyDescent="0.35">
      <c r="A29" s="29">
        <v>43462</v>
      </c>
      <c r="B29" s="30" t="s">
        <v>59</v>
      </c>
      <c r="C29" s="31"/>
      <c r="D29" s="31"/>
      <c r="E29" s="31"/>
      <c r="F29" s="31"/>
      <c r="G29" s="32"/>
    </row>
    <row r="30" spans="1:7" ht="14.5" thickBot="1" x14ac:dyDescent="0.35">
      <c r="A30" s="25">
        <v>43463</v>
      </c>
      <c r="B30" s="26" t="s">
        <v>58</v>
      </c>
      <c r="C30" s="27"/>
      <c r="D30" s="27"/>
      <c r="E30" s="27"/>
      <c r="F30" s="27"/>
      <c r="G30" s="28"/>
    </row>
    <row r="31" spans="1:7" ht="14.5" thickBot="1" x14ac:dyDescent="0.35">
      <c r="A31" s="25">
        <v>43464</v>
      </c>
      <c r="B31" s="26" t="s">
        <v>57</v>
      </c>
      <c r="C31" s="27"/>
      <c r="D31" s="27"/>
      <c r="E31" s="27"/>
      <c r="F31" s="27"/>
      <c r="G31" s="28"/>
    </row>
    <row r="32" spans="1:7" ht="14.5" thickBot="1" x14ac:dyDescent="0.35">
      <c r="A32" s="29">
        <v>43465</v>
      </c>
      <c r="B32" s="30" t="s">
        <v>2</v>
      </c>
      <c r="C32" s="31"/>
      <c r="D32" s="31"/>
      <c r="E32" s="31"/>
      <c r="F32" s="31"/>
      <c r="G32" s="32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23</v>
      </c>
      <c r="D1" s="7" t="s">
        <v>22</v>
      </c>
      <c r="E1" s="8"/>
      <c r="F1" s="8"/>
      <c r="G1" s="8"/>
      <c r="H1" s="7"/>
    </row>
    <row r="2" spans="2:13" ht="45" customHeight="1" x14ac:dyDescent="0.3">
      <c r="B2" s="6" t="s">
        <v>21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1" t="s">
        <v>41</v>
      </c>
      <c r="K3" s="92"/>
      <c r="L3" s="92"/>
      <c r="M3" s="93"/>
    </row>
    <row r="4" spans="2:13" ht="16.5" customHeight="1" x14ac:dyDescent="0.45">
      <c r="B4" s="12">
        <f t="array" aca="1" ref="B4:H4" ca="1">星期日期和周+DATE(CalendarYear,7,1)-WEEKDAY(DATE(CalendarYear,7,1),(周开始日期="一")+1)+1</f>
        <v>43276</v>
      </c>
      <c r="C4" s="12">
        <f ca="1"/>
        <v>43277</v>
      </c>
      <c r="D4" s="12">
        <f ca="1"/>
        <v>43278</v>
      </c>
      <c r="E4" s="12">
        <f ca="1"/>
        <v>43279</v>
      </c>
      <c r="F4" s="12">
        <f ca="1"/>
        <v>43280</v>
      </c>
      <c r="G4" s="12">
        <f ca="1"/>
        <v>43281</v>
      </c>
      <c r="H4" s="12">
        <f ca="1"/>
        <v>43282</v>
      </c>
      <c r="J4" s="84"/>
      <c r="K4" s="85"/>
      <c r="L4" s="85"/>
      <c r="M4" s="86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87"/>
      <c r="K5" s="88"/>
      <c r="L5" s="88"/>
      <c r="M5" s="89"/>
    </row>
    <row r="6" spans="2:13" ht="15" customHeight="1" x14ac:dyDescent="0.45">
      <c r="B6" s="12">
        <f t="array" aca="1" ref="B6:H6" ca="1">星期日期和周+DATE(CalendarYear,7,1)-WEEKDAY(DATE(CalendarYear,7,1),(周开始日期="一")+1)+8</f>
        <v>43283</v>
      </c>
      <c r="C6" s="12">
        <f ca="1"/>
        <v>43284</v>
      </c>
      <c r="D6" s="12">
        <f ca="1"/>
        <v>43285</v>
      </c>
      <c r="E6" s="12">
        <f ca="1"/>
        <v>43286</v>
      </c>
      <c r="F6" s="12">
        <f ca="1"/>
        <v>43287</v>
      </c>
      <c r="G6" s="12">
        <f ca="1"/>
        <v>43288</v>
      </c>
      <c r="H6" s="12">
        <f ca="1"/>
        <v>43289</v>
      </c>
      <c r="J6" s="84"/>
      <c r="K6" s="85"/>
      <c r="L6" s="85"/>
      <c r="M6" s="86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87"/>
      <c r="K7" s="88"/>
      <c r="L7" s="88"/>
      <c r="M7" s="89"/>
    </row>
    <row r="8" spans="2:13" ht="15" customHeight="1" x14ac:dyDescent="0.45">
      <c r="B8" s="12">
        <f t="array" aca="1" ref="B8:H8" ca="1">星期日期和周+DATE(CalendarYear,7,1)-WEEKDAY(DATE(CalendarYear,7,1),(周开始日期="一")+1)+15</f>
        <v>43290</v>
      </c>
      <c r="C8" s="12">
        <f ca="1"/>
        <v>43291</v>
      </c>
      <c r="D8" s="12">
        <f ca="1"/>
        <v>43292</v>
      </c>
      <c r="E8" s="12">
        <f ca="1"/>
        <v>43293</v>
      </c>
      <c r="F8" s="12">
        <f ca="1"/>
        <v>43294</v>
      </c>
      <c r="G8" s="12">
        <f ca="1"/>
        <v>43295</v>
      </c>
      <c r="H8" s="12">
        <f ca="1"/>
        <v>43296</v>
      </c>
      <c r="J8" s="84"/>
      <c r="K8" s="85"/>
      <c r="L8" s="85"/>
      <c r="M8" s="86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87"/>
      <c r="K9" s="88"/>
      <c r="L9" s="88"/>
      <c r="M9" s="89"/>
    </row>
    <row r="10" spans="2:13" ht="15" customHeight="1" x14ac:dyDescent="0.45">
      <c r="B10" s="12">
        <f t="array" aca="1" ref="B10:H10" ca="1">星期日期和周+DATE(CalendarYear,7,1)-WEEKDAY(DATE(CalendarYear,7,1),(周开始日期="一")+1)+22</f>
        <v>43297</v>
      </c>
      <c r="C10" s="12">
        <f ca="1"/>
        <v>43298</v>
      </c>
      <c r="D10" s="12">
        <f ca="1"/>
        <v>43299</v>
      </c>
      <c r="E10" s="12">
        <f ca="1"/>
        <v>43300</v>
      </c>
      <c r="F10" s="12">
        <f ca="1"/>
        <v>43301</v>
      </c>
      <c r="G10" s="12">
        <f ca="1"/>
        <v>43302</v>
      </c>
      <c r="H10" s="12">
        <f ca="1"/>
        <v>43303</v>
      </c>
      <c r="J10" s="84"/>
      <c r="K10" s="85"/>
      <c r="L10" s="85"/>
      <c r="M10" s="86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87"/>
      <c r="K11" s="88"/>
      <c r="L11" s="88"/>
      <c r="M11" s="89"/>
    </row>
    <row r="12" spans="2:13" ht="15" customHeight="1" x14ac:dyDescent="0.45">
      <c r="B12" s="12">
        <f t="array" aca="1" ref="B12:H12" ca="1">星期日期和周+DATE(CalendarYear,7,1)-WEEKDAY(DATE(CalendarYear,7,1),(周开始日期="一")+1)+29</f>
        <v>43304</v>
      </c>
      <c r="C12" s="12">
        <f ca="1"/>
        <v>43305</v>
      </c>
      <c r="D12" s="12">
        <f ca="1"/>
        <v>43306</v>
      </c>
      <c r="E12" s="12">
        <f ca="1"/>
        <v>43307</v>
      </c>
      <c r="F12" s="12">
        <f ca="1"/>
        <v>43308</v>
      </c>
      <c r="G12" s="12">
        <f ca="1"/>
        <v>43309</v>
      </c>
      <c r="H12" s="12">
        <f ca="1"/>
        <v>43310</v>
      </c>
      <c r="J12" s="84"/>
      <c r="K12" s="85"/>
      <c r="L12" s="85"/>
      <c r="M12" s="86"/>
    </row>
    <row r="13" spans="2:13" ht="39.75" customHeight="1" x14ac:dyDescent="0.3">
      <c r="B13" s="2"/>
      <c r="C13" s="2"/>
      <c r="D13" s="2"/>
      <c r="E13" s="2"/>
      <c r="F13" s="2"/>
      <c r="G13" s="2"/>
      <c r="H13" s="13"/>
      <c r="J13" s="87"/>
      <c r="K13" s="88"/>
      <c r="L13" s="88"/>
      <c r="M13" s="89"/>
    </row>
    <row r="14" spans="2:13" ht="15" customHeight="1" x14ac:dyDescent="0.45">
      <c r="B14" s="12">
        <f t="array" aca="1" ref="B14:H14" ca="1">星期日期和周+DATE(CalendarYear,7,1)-WEEKDAY(DATE(CalendarYear,7,1),(周开始日期="一")+1)+36</f>
        <v>43311</v>
      </c>
      <c r="C14" s="12">
        <f ca="1"/>
        <v>43312</v>
      </c>
      <c r="D14" s="12">
        <f ca="1"/>
        <v>43313</v>
      </c>
      <c r="E14" s="12">
        <f ca="1"/>
        <v>43314</v>
      </c>
      <c r="F14" s="12">
        <f ca="1"/>
        <v>43315</v>
      </c>
      <c r="G14" s="12">
        <f ca="1"/>
        <v>43316</v>
      </c>
      <c r="H14" s="12">
        <f ca="1"/>
        <v>43317</v>
      </c>
      <c r="J14" s="84"/>
      <c r="K14" s="85"/>
      <c r="L14" s="85"/>
      <c r="M14" s="86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87"/>
      <c r="K15" s="88"/>
      <c r="L15" s="88"/>
      <c r="M15" s="89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26</v>
      </c>
      <c r="D1" s="7" t="s">
        <v>25</v>
      </c>
      <c r="E1" s="8"/>
      <c r="F1" s="8"/>
      <c r="G1" s="8"/>
      <c r="H1" s="7"/>
    </row>
    <row r="2" spans="2:13" ht="45" customHeight="1" x14ac:dyDescent="0.3">
      <c r="B2" s="6" t="s">
        <v>24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1" t="s">
        <v>41</v>
      </c>
      <c r="K3" s="92"/>
      <c r="L3" s="92"/>
      <c r="M3" s="93"/>
    </row>
    <row r="4" spans="2:13" ht="16.5" customHeight="1" x14ac:dyDescent="0.45">
      <c r="B4" s="12">
        <f t="array" aca="1" ref="B4:H4" ca="1">星期日期和周+DATE(CalendarYear,8,1)-WEEKDAY(DATE(CalendarYear,8,1),(周开始日期="一")+1)+1</f>
        <v>43311</v>
      </c>
      <c r="C4" s="12">
        <f ca="1"/>
        <v>43312</v>
      </c>
      <c r="D4" s="12">
        <f ca="1"/>
        <v>43313</v>
      </c>
      <c r="E4" s="12">
        <f ca="1"/>
        <v>43314</v>
      </c>
      <c r="F4" s="12">
        <f ca="1"/>
        <v>43315</v>
      </c>
      <c r="G4" s="12">
        <f ca="1"/>
        <v>43316</v>
      </c>
      <c r="H4" s="12">
        <f ca="1"/>
        <v>43317</v>
      </c>
      <c r="J4" s="84"/>
      <c r="K4" s="85"/>
      <c r="L4" s="85"/>
      <c r="M4" s="86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87"/>
      <c r="K5" s="88"/>
      <c r="L5" s="88"/>
      <c r="M5" s="89"/>
    </row>
    <row r="6" spans="2:13" ht="15" customHeight="1" x14ac:dyDescent="0.45">
      <c r="B6" s="12">
        <f t="array" aca="1" ref="B6:H6" ca="1">星期日期和周+DATE(CalendarYear,8,1)-WEEKDAY(DATE(CalendarYear,8,1),(周开始日期="一")+1)+8</f>
        <v>43318</v>
      </c>
      <c r="C6" s="12">
        <f ca="1"/>
        <v>43319</v>
      </c>
      <c r="D6" s="12">
        <f ca="1"/>
        <v>43320</v>
      </c>
      <c r="E6" s="12">
        <f ca="1"/>
        <v>43321</v>
      </c>
      <c r="F6" s="12">
        <f ca="1"/>
        <v>43322</v>
      </c>
      <c r="G6" s="12">
        <f ca="1"/>
        <v>43323</v>
      </c>
      <c r="H6" s="12">
        <f ca="1"/>
        <v>43324</v>
      </c>
      <c r="J6" s="84"/>
      <c r="K6" s="85"/>
      <c r="L6" s="85"/>
      <c r="M6" s="86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87"/>
      <c r="K7" s="88"/>
      <c r="L7" s="88"/>
      <c r="M7" s="89"/>
    </row>
    <row r="8" spans="2:13" ht="15" customHeight="1" x14ac:dyDescent="0.45">
      <c r="B8" s="12">
        <f t="array" aca="1" ref="B8:H8" ca="1">星期日期和周+DATE(CalendarYear,8,1)-WEEKDAY(DATE(CalendarYear,8,1),(周开始日期="一")+1)+15</f>
        <v>43325</v>
      </c>
      <c r="C8" s="12">
        <f ca="1"/>
        <v>43326</v>
      </c>
      <c r="D8" s="12">
        <f ca="1"/>
        <v>43327</v>
      </c>
      <c r="E8" s="12">
        <f ca="1"/>
        <v>43328</v>
      </c>
      <c r="F8" s="12">
        <f ca="1"/>
        <v>43329</v>
      </c>
      <c r="G8" s="12">
        <f ca="1"/>
        <v>43330</v>
      </c>
      <c r="H8" s="12">
        <f ca="1"/>
        <v>43331</v>
      </c>
      <c r="J8" s="84"/>
      <c r="K8" s="85"/>
      <c r="L8" s="85"/>
      <c r="M8" s="86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87"/>
      <c r="K9" s="88"/>
      <c r="L9" s="88"/>
      <c r="M9" s="89"/>
    </row>
    <row r="10" spans="2:13" ht="15" customHeight="1" x14ac:dyDescent="0.45">
      <c r="B10" s="12">
        <f t="array" aca="1" ref="B10:H10" ca="1">星期日期和周+DATE(CalendarYear,8,1)-WEEKDAY(DATE(CalendarYear,8,1),(周开始日期="一")+1)+22</f>
        <v>43332</v>
      </c>
      <c r="C10" s="12">
        <f ca="1"/>
        <v>43333</v>
      </c>
      <c r="D10" s="12">
        <f ca="1"/>
        <v>43334</v>
      </c>
      <c r="E10" s="12">
        <f ca="1"/>
        <v>43335</v>
      </c>
      <c r="F10" s="12">
        <f ca="1"/>
        <v>43336</v>
      </c>
      <c r="G10" s="12">
        <f ca="1"/>
        <v>43337</v>
      </c>
      <c r="H10" s="12">
        <f ca="1"/>
        <v>43338</v>
      </c>
      <c r="J10" s="84"/>
      <c r="K10" s="85"/>
      <c r="L10" s="85"/>
      <c r="M10" s="86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87"/>
      <c r="K11" s="88"/>
      <c r="L11" s="88"/>
      <c r="M11" s="89"/>
    </row>
    <row r="12" spans="2:13" ht="15" customHeight="1" x14ac:dyDescent="0.45">
      <c r="B12" s="12">
        <f t="array" aca="1" ref="B12:H12" ca="1">星期日期和周+DATE(CalendarYear,8,1)-WEEKDAY(DATE(CalendarYear,8,1),(周开始日期="一")+1)+29</f>
        <v>43339</v>
      </c>
      <c r="C12" s="12">
        <f ca="1"/>
        <v>43340</v>
      </c>
      <c r="D12" s="12">
        <f ca="1"/>
        <v>43341</v>
      </c>
      <c r="E12" s="12">
        <f ca="1"/>
        <v>43342</v>
      </c>
      <c r="F12" s="12">
        <f ca="1"/>
        <v>43343</v>
      </c>
      <c r="G12" s="12">
        <f ca="1"/>
        <v>43344</v>
      </c>
      <c r="H12" s="12">
        <f ca="1"/>
        <v>43345</v>
      </c>
      <c r="J12" s="84"/>
      <c r="K12" s="85"/>
      <c r="L12" s="85"/>
      <c r="M12" s="86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87"/>
      <c r="K13" s="88"/>
      <c r="L13" s="88"/>
      <c r="M13" s="89"/>
    </row>
    <row r="14" spans="2:13" ht="15" customHeight="1" x14ac:dyDescent="0.45">
      <c r="B14" s="12">
        <f t="array" aca="1" ref="B14:H14" ca="1">星期日期和周+DATE(CalendarYear,8,1)-WEEKDAY(DATE(CalendarYear,8,1),(周开始日期="一")+1)+36</f>
        <v>43346</v>
      </c>
      <c r="C14" s="12">
        <f ca="1"/>
        <v>43347</v>
      </c>
      <c r="D14" s="12">
        <f ca="1"/>
        <v>43348</v>
      </c>
      <c r="E14" s="12">
        <f ca="1"/>
        <v>43349</v>
      </c>
      <c r="F14" s="12">
        <f ca="1"/>
        <v>43350</v>
      </c>
      <c r="G14" s="12">
        <f ca="1"/>
        <v>43351</v>
      </c>
      <c r="H14" s="12">
        <f ca="1"/>
        <v>43352</v>
      </c>
      <c r="J14" s="84"/>
      <c r="K14" s="85"/>
      <c r="L14" s="85"/>
      <c r="M14" s="86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87"/>
      <c r="K15" s="88"/>
      <c r="L15" s="88"/>
      <c r="M15" s="89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29</v>
      </c>
      <c r="D1" s="7" t="s">
        <v>28</v>
      </c>
      <c r="E1" s="8"/>
      <c r="F1" s="8"/>
      <c r="G1" s="8"/>
      <c r="H1" s="7"/>
    </row>
    <row r="2" spans="2:13" ht="45" customHeight="1" x14ac:dyDescent="0.3">
      <c r="B2" s="6" t="s">
        <v>27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1" t="s">
        <v>41</v>
      </c>
      <c r="K3" s="92"/>
      <c r="L3" s="92"/>
      <c r="M3" s="93"/>
    </row>
    <row r="4" spans="2:13" ht="16.5" customHeight="1" x14ac:dyDescent="0.45">
      <c r="B4" s="12">
        <f t="array" aca="1" ref="B4:H4" ca="1">星期日期和周+DATE(CalendarYear,9,1)-WEEKDAY(DATE(CalendarYear,9,1),(周开始日期="一")+1)+1</f>
        <v>43339</v>
      </c>
      <c r="C4" s="12">
        <f ca="1"/>
        <v>43340</v>
      </c>
      <c r="D4" s="12">
        <f ca="1"/>
        <v>43341</v>
      </c>
      <c r="E4" s="12">
        <f ca="1"/>
        <v>43342</v>
      </c>
      <c r="F4" s="12">
        <f ca="1"/>
        <v>43343</v>
      </c>
      <c r="G4" s="12">
        <f ca="1"/>
        <v>43344</v>
      </c>
      <c r="H4" s="12">
        <f ca="1"/>
        <v>43345</v>
      </c>
      <c r="J4" s="84"/>
      <c r="K4" s="85"/>
      <c r="L4" s="85"/>
      <c r="M4" s="86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87"/>
      <c r="K5" s="88"/>
      <c r="L5" s="88"/>
      <c r="M5" s="89"/>
    </row>
    <row r="6" spans="2:13" ht="15" customHeight="1" x14ac:dyDescent="0.45">
      <c r="B6" s="12">
        <f t="array" aca="1" ref="B6:H6" ca="1">星期日期和周+DATE(CalendarYear,9,1)-WEEKDAY(DATE(CalendarYear,9,1),(周开始日期="一")+1)+8</f>
        <v>43346</v>
      </c>
      <c r="C6" s="12">
        <f ca="1"/>
        <v>43347</v>
      </c>
      <c r="D6" s="12">
        <f ca="1"/>
        <v>43348</v>
      </c>
      <c r="E6" s="12">
        <f ca="1"/>
        <v>43349</v>
      </c>
      <c r="F6" s="12">
        <f ca="1"/>
        <v>43350</v>
      </c>
      <c r="G6" s="12">
        <f ca="1"/>
        <v>43351</v>
      </c>
      <c r="H6" s="12">
        <f ca="1"/>
        <v>43352</v>
      </c>
      <c r="J6" s="84"/>
      <c r="K6" s="85"/>
      <c r="L6" s="85"/>
      <c r="M6" s="86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87"/>
      <c r="K7" s="88"/>
      <c r="L7" s="88"/>
      <c r="M7" s="89"/>
    </row>
    <row r="8" spans="2:13" ht="15" customHeight="1" x14ac:dyDescent="0.45">
      <c r="B8" s="12">
        <f t="array" aca="1" ref="B8:H8" ca="1">星期日期和周+DATE(CalendarYear,9,1)-WEEKDAY(DATE(CalendarYear,9,1),(周开始日期="一")+1)+15</f>
        <v>43353</v>
      </c>
      <c r="C8" s="12">
        <f ca="1"/>
        <v>43354</v>
      </c>
      <c r="D8" s="12">
        <f ca="1"/>
        <v>43355</v>
      </c>
      <c r="E8" s="12">
        <f ca="1"/>
        <v>43356</v>
      </c>
      <c r="F8" s="12">
        <f ca="1"/>
        <v>43357</v>
      </c>
      <c r="G8" s="12">
        <f ca="1"/>
        <v>43358</v>
      </c>
      <c r="H8" s="12">
        <f ca="1"/>
        <v>43359</v>
      </c>
      <c r="J8" s="84"/>
      <c r="K8" s="85"/>
      <c r="L8" s="85"/>
      <c r="M8" s="86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87"/>
      <c r="K9" s="88"/>
      <c r="L9" s="88"/>
      <c r="M9" s="89"/>
    </row>
    <row r="10" spans="2:13" ht="15" customHeight="1" x14ac:dyDescent="0.45">
      <c r="B10" s="12">
        <f t="array" aca="1" ref="B10:H10" ca="1">星期日期和周+DATE(CalendarYear,9,1)-WEEKDAY(DATE(CalendarYear,9,1),(周开始日期="一")+1)+22</f>
        <v>43360</v>
      </c>
      <c r="C10" s="12">
        <f ca="1"/>
        <v>43361</v>
      </c>
      <c r="D10" s="12">
        <f ca="1"/>
        <v>43362</v>
      </c>
      <c r="E10" s="12">
        <f ca="1"/>
        <v>43363</v>
      </c>
      <c r="F10" s="12">
        <f ca="1"/>
        <v>43364</v>
      </c>
      <c r="G10" s="12">
        <f ca="1"/>
        <v>43365</v>
      </c>
      <c r="H10" s="12">
        <f ca="1"/>
        <v>43366</v>
      </c>
      <c r="J10" s="84"/>
      <c r="K10" s="85"/>
      <c r="L10" s="85"/>
      <c r="M10" s="86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87"/>
      <c r="K11" s="88"/>
      <c r="L11" s="88"/>
      <c r="M11" s="89"/>
    </row>
    <row r="12" spans="2:13" ht="15" customHeight="1" x14ac:dyDescent="0.45">
      <c r="B12" s="12">
        <f t="array" aca="1" ref="B12:H12" ca="1">星期日期和周+DATE(CalendarYear,9,1)-WEEKDAY(DATE(CalendarYear,9,1),(周开始日期="一")+1)+29</f>
        <v>43367</v>
      </c>
      <c r="C12" s="12">
        <f ca="1"/>
        <v>43368</v>
      </c>
      <c r="D12" s="12">
        <f ca="1"/>
        <v>43369</v>
      </c>
      <c r="E12" s="12">
        <f ca="1"/>
        <v>43370</v>
      </c>
      <c r="F12" s="12">
        <f ca="1"/>
        <v>43371</v>
      </c>
      <c r="G12" s="12">
        <f ca="1"/>
        <v>43372</v>
      </c>
      <c r="H12" s="12">
        <f ca="1"/>
        <v>43373</v>
      </c>
      <c r="J12" s="84"/>
      <c r="K12" s="85"/>
      <c r="L12" s="85"/>
      <c r="M12" s="86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87"/>
      <c r="K13" s="88"/>
      <c r="L13" s="88"/>
      <c r="M13" s="89"/>
    </row>
    <row r="14" spans="2:13" ht="15" customHeight="1" x14ac:dyDescent="0.45">
      <c r="B14" s="12">
        <f t="array" aca="1" ref="B14:H14" ca="1">星期日期和周+DATE(CalendarYear,9,1)-WEEKDAY(DATE(CalendarYear,9,1),(周开始日期="一")+1)+36</f>
        <v>43374</v>
      </c>
      <c r="C14" s="12">
        <f ca="1"/>
        <v>43375</v>
      </c>
      <c r="D14" s="12">
        <f ca="1"/>
        <v>43376</v>
      </c>
      <c r="E14" s="12">
        <f ca="1"/>
        <v>43377</v>
      </c>
      <c r="F14" s="12">
        <f ca="1"/>
        <v>43378</v>
      </c>
      <c r="G14" s="12">
        <f ca="1"/>
        <v>43379</v>
      </c>
      <c r="H14" s="12">
        <f ca="1"/>
        <v>43380</v>
      </c>
      <c r="J14" s="84"/>
      <c r="K14" s="85"/>
      <c r="L14" s="85"/>
      <c r="M14" s="86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87"/>
      <c r="K15" s="88"/>
      <c r="L15" s="88"/>
      <c r="M15" s="89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32</v>
      </c>
      <c r="D1" s="7" t="s">
        <v>31</v>
      </c>
      <c r="E1" s="8"/>
      <c r="F1" s="8"/>
      <c r="G1" s="8"/>
      <c r="H1" s="7"/>
    </row>
    <row r="2" spans="2:13" ht="45" customHeight="1" x14ac:dyDescent="0.3">
      <c r="B2" s="6" t="s">
        <v>30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1" t="s">
        <v>41</v>
      </c>
      <c r="K3" s="92"/>
      <c r="L3" s="92"/>
      <c r="M3" s="93"/>
    </row>
    <row r="4" spans="2:13" ht="16.5" customHeight="1" x14ac:dyDescent="0.45">
      <c r="B4" s="12">
        <f t="array" aca="1" ref="B4:H4" ca="1">星期日期和周+DATE(CalendarYear,10,1)-WEEKDAY(DATE(CalendarYear,10,1),(周开始日期="一")+1)+1</f>
        <v>43374</v>
      </c>
      <c r="C4" s="12">
        <f ca="1"/>
        <v>43375</v>
      </c>
      <c r="D4" s="12">
        <f ca="1"/>
        <v>43376</v>
      </c>
      <c r="E4" s="12">
        <f ca="1"/>
        <v>43377</v>
      </c>
      <c r="F4" s="12">
        <f ca="1"/>
        <v>43378</v>
      </c>
      <c r="G4" s="12">
        <f ca="1"/>
        <v>43379</v>
      </c>
      <c r="H4" s="12">
        <f ca="1"/>
        <v>43380</v>
      </c>
      <c r="J4" s="84"/>
      <c r="K4" s="85"/>
      <c r="L4" s="85"/>
      <c r="M4" s="86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87"/>
      <c r="K5" s="88"/>
      <c r="L5" s="88"/>
      <c r="M5" s="89"/>
    </row>
    <row r="6" spans="2:13" ht="15" customHeight="1" x14ac:dyDescent="0.45">
      <c r="B6" s="12">
        <f t="array" aca="1" ref="B6:H6" ca="1">星期日期和周+DATE(CalendarYear,10,1)-WEEKDAY(DATE(CalendarYear,10,1),(周开始日期="一")+1)+8</f>
        <v>43381</v>
      </c>
      <c r="C6" s="12">
        <f ca="1"/>
        <v>43382</v>
      </c>
      <c r="D6" s="12">
        <f ca="1"/>
        <v>43383</v>
      </c>
      <c r="E6" s="12">
        <f ca="1"/>
        <v>43384</v>
      </c>
      <c r="F6" s="12">
        <f ca="1"/>
        <v>43385</v>
      </c>
      <c r="G6" s="12">
        <f ca="1"/>
        <v>43386</v>
      </c>
      <c r="H6" s="12">
        <f ca="1"/>
        <v>43387</v>
      </c>
      <c r="J6" s="84"/>
      <c r="K6" s="85"/>
      <c r="L6" s="85"/>
      <c r="M6" s="86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87"/>
      <c r="K7" s="88"/>
      <c r="L7" s="88"/>
      <c r="M7" s="89"/>
    </row>
    <row r="8" spans="2:13" ht="15" customHeight="1" x14ac:dyDescent="0.45">
      <c r="B8" s="12">
        <f t="array" aca="1" ref="B8:H8" ca="1">星期日期和周+DATE(CalendarYear,10,1)-WEEKDAY(DATE(CalendarYear,10,1),(周开始日期="一")+1)+15</f>
        <v>43388</v>
      </c>
      <c r="C8" s="12">
        <f ca="1"/>
        <v>43389</v>
      </c>
      <c r="D8" s="12">
        <f ca="1"/>
        <v>43390</v>
      </c>
      <c r="E8" s="12">
        <f ca="1"/>
        <v>43391</v>
      </c>
      <c r="F8" s="12">
        <f ca="1"/>
        <v>43392</v>
      </c>
      <c r="G8" s="12">
        <f ca="1"/>
        <v>43393</v>
      </c>
      <c r="H8" s="12">
        <f ca="1"/>
        <v>43394</v>
      </c>
      <c r="J8" s="84"/>
      <c r="K8" s="85"/>
      <c r="L8" s="85"/>
      <c r="M8" s="86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87"/>
      <c r="K9" s="88"/>
      <c r="L9" s="88"/>
      <c r="M9" s="89"/>
    </row>
    <row r="10" spans="2:13" ht="15" customHeight="1" x14ac:dyDescent="0.45">
      <c r="B10" s="12">
        <f t="array" aca="1" ref="B10:H10" ca="1">星期日期和周+DATE(CalendarYear,10,1)-WEEKDAY(DATE(CalendarYear,10,1),(周开始日期="一")+1)+22</f>
        <v>43395</v>
      </c>
      <c r="C10" s="12">
        <f ca="1"/>
        <v>43396</v>
      </c>
      <c r="D10" s="12">
        <f ca="1"/>
        <v>43397</v>
      </c>
      <c r="E10" s="12">
        <f ca="1"/>
        <v>43398</v>
      </c>
      <c r="F10" s="12">
        <f ca="1"/>
        <v>43399</v>
      </c>
      <c r="G10" s="12">
        <f ca="1"/>
        <v>43400</v>
      </c>
      <c r="H10" s="12">
        <f ca="1"/>
        <v>43401</v>
      </c>
      <c r="J10" s="84"/>
      <c r="K10" s="85"/>
      <c r="L10" s="85"/>
      <c r="M10" s="86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87"/>
      <c r="K11" s="88"/>
      <c r="L11" s="88"/>
      <c r="M11" s="89"/>
    </row>
    <row r="12" spans="2:13" ht="15" customHeight="1" x14ac:dyDescent="0.45">
      <c r="B12" s="12">
        <f t="array" aca="1" ref="B12:H12" ca="1">星期日期和周+DATE(CalendarYear,10,1)-WEEKDAY(DATE(CalendarYear,10,1),(周开始日期="一")+1)+29</f>
        <v>43402</v>
      </c>
      <c r="C12" s="12">
        <f ca="1"/>
        <v>43403</v>
      </c>
      <c r="D12" s="12">
        <f ca="1"/>
        <v>43404</v>
      </c>
      <c r="E12" s="12">
        <f ca="1"/>
        <v>43405</v>
      </c>
      <c r="F12" s="12">
        <f ca="1"/>
        <v>43406</v>
      </c>
      <c r="G12" s="12">
        <f ca="1"/>
        <v>43407</v>
      </c>
      <c r="H12" s="12">
        <f ca="1"/>
        <v>43408</v>
      </c>
      <c r="J12" s="84"/>
      <c r="K12" s="85"/>
      <c r="L12" s="85"/>
      <c r="M12" s="86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87"/>
      <c r="K13" s="88"/>
      <c r="L13" s="88"/>
      <c r="M13" s="89"/>
    </row>
    <row r="14" spans="2:13" ht="15" customHeight="1" x14ac:dyDescent="0.45">
      <c r="B14" s="12">
        <f t="array" aca="1" ref="B14:H14" ca="1">星期日期和周+DATE(CalendarYear,10,1)-WEEKDAY(DATE(CalendarYear,10,1),(周开始日期="一")+1)+36</f>
        <v>43409</v>
      </c>
      <c r="C14" s="12">
        <f ca="1"/>
        <v>43410</v>
      </c>
      <c r="D14" s="12">
        <f ca="1"/>
        <v>43411</v>
      </c>
      <c r="E14" s="12">
        <f ca="1"/>
        <v>43412</v>
      </c>
      <c r="F14" s="12">
        <f ca="1"/>
        <v>43413</v>
      </c>
      <c r="G14" s="12">
        <f ca="1"/>
        <v>43414</v>
      </c>
      <c r="H14" s="12">
        <f ca="1"/>
        <v>43415</v>
      </c>
      <c r="J14" s="84"/>
      <c r="K14" s="85"/>
      <c r="L14" s="85"/>
      <c r="M14" s="86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87"/>
      <c r="K15" s="88"/>
      <c r="L15" s="88"/>
      <c r="M15" s="89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35</v>
      </c>
      <c r="D1" s="7" t="s">
        <v>34</v>
      </c>
      <c r="E1" s="8"/>
      <c r="F1" s="8"/>
      <c r="G1" s="8"/>
      <c r="H1" s="7"/>
    </row>
    <row r="2" spans="2:13" ht="45" customHeight="1" x14ac:dyDescent="0.3">
      <c r="B2" s="6" t="s">
        <v>33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1" t="s">
        <v>41</v>
      </c>
      <c r="K3" s="92"/>
      <c r="L3" s="92"/>
      <c r="M3" s="93"/>
    </row>
    <row r="4" spans="2:13" ht="16.5" customHeight="1" x14ac:dyDescent="0.45">
      <c r="B4" s="12">
        <f t="array" aca="1" ref="B4:H4" ca="1">星期日期和周+DATE(CalendarYear,11,1)-WEEKDAY(DATE(CalendarYear,11,1),(周开始日期="一")+1)+1</f>
        <v>43402</v>
      </c>
      <c r="C4" s="12">
        <f ca="1"/>
        <v>43403</v>
      </c>
      <c r="D4" s="12">
        <f ca="1"/>
        <v>43404</v>
      </c>
      <c r="E4" s="12">
        <f ca="1"/>
        <v>43405</v>
      </c>
      <c r="F4" s="12">
        <f ca="1"/>
        <v>43406</v>
      </c>
      <c r="G4" s="12">
        <f ca="1"/>
        <v>43407</v>
      </c>
      <c r="H4" s="12">
        <f ca="1"/>
        <v>43408</v>
      </c>
      <c r="J4" s="84"/>
      <c r="K4" s="85"/>
      <c r="L4" s="85"/>
      <c r="M4" s="86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87"/>
      <c r="K5" s="88"/>
      <c r="L5" s="88"/>
      <c r="M5" s="89"/>
    </row>
    <row r="6" spans="2:13" ht="15" customHeight="1" x14ac:dyDescent="0.45">
      <c r="B6" s="12">
        <f t="array" aca="1" ref="B6:H6" ca="1">星期日期和周+DATE(CalendarYear,11,1)-WEEKDAY(DATE(CalendarYear,11,1),(周开始日期="一")+1)+8</f>
        <v>43409</v>
      </c>
      <c r="C6" s="12">
        <f ca="1"/>
        <v>43410</v>
      </c>
      <c r="D6" s="12">
        <f ca="1"/>
        <v>43411</v>
      </c>
      <c r="E6" s="12">
        <f ca="1"/>
        <v>43412</v>
      </c>
      <c r="F6" s="12">
        <f ca="1"/>
        <v>43413</v>
      </c>
      <c r="G6" s="12">
        <f ca="1"/>
        <v>43414</v>
      </c>
      <c r="H6" s="12">
        <f ca="1"/>
        <v>43415</v>
      </c>
      <c r="J6" s="84"/>
      <c r="K6" s="85"/>
      <c r="L6" s="85"/>
      <c r="M6" s="86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87"/>
      <c r="K7" s="88"/>
      <c r="L7" s="88"/>
      <c r="M7" s="89"/>
    </row>
    <row r="8" spans="2:13" ht="15" customHeight="1" x14ac:dyDescent="0.45">
      <c r="B8" s="12">
        <f t="array" aca="1" ref="B8:H8" ca="1">星期日期和周+DATE(CalendarYear,11,1)-WEEKDAY(DATE(CalendarYear,11,1),(周开始日期="一")+1)+15</f>
        <v>43416</v>
      </c>
      <c r="C8" s="12">
        <f ca="1"/>
        <v>43417</v>
      </c>
      <c r="D8" s="12">
        <f ca="1"/>
        <v>43418</v>
      </c>
      <c r="E8" s="12">
        <f ca="1"/>
        <v>43419</v>
      </c>
      <c r="F8" s="12">
        <f ca="1"/>
        <v>43420</v>
      </c>
      <c r="G8" s="12">
        <f ca="1"/>
        <v>43421</v>
      </c>
      <c r="H8" s="12">
        <f ca="1"/>
        <v>43422</v>
      </c>
      <c r="J8" s="84"/>
      <c r="K8" s="85"/>
      <c r="L8" s="85"/>
      <c r="M8" s="86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87"/>
      <c r="K9" s="88"/>
      <c r="L9" s="88"/>
      <c r="M9" s="89"/>
    </row>
    <row r="10" spans="2:13" ht="15" customHeight="1" x14ac:dyDescent="0.45">
      <c r="B10" s="12">
        <f t="array" aca="1" ref="B10:H10" ca="1">星期日期和周+DATE(CalendarYear,11,1)-WEEKDAY(DATE(CalendarYear,11,1),(周开始日期="一")+1)+22</f>
        <v>43423</v>
      </c>
      <c r="C10" s="12">
        <f ca="1"/>
        <v>43424</v>
      </c>
      <c r="D10" s="12">
        <f ca="1"/>
        <v>43425</v>
      </c>
      <c r="E10" s="12">
        <f ca="1"/>
        <v>43426</v>
      </c>
      <c r="F10" s="12">
        <f ca="1"/>
        <v>43427</v>
      </c>
      <c r="G10" s="12">
        <f ca="1"/>
        <v>43428</v>
      </c>
      <c r="H10" s="12">
        <f ca="1"/>
        <v>43429</v>
      </c>
      <c r="J10" s="84"/>
      <c r="K10" s="85"/>
      <c r="L10" s="85"/>
      <c r="M10" s="86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87"/>
      <c r="K11" s="88"/>
      <c r="L11" s="88"/>
      <c r="M11" s="89"/>
    </row>
    <row r="12" spans="2:13" ht="15" customHeight="1" x14ac:dyDescent="0.45">
      <c r="B12" s="12">
        <f t="array" aca="1" ref="B12:H12" ca="1">星期日期和周+DATE(CalendarYear,11,1)-WEEKDAY(DATE(CalendarYear,11,1),(周开始日期="一")+1)+29</f>
        <v>43430</v>
      </c>
      <c r="C12" s="12">
        <f ca="1"/>
        <v>43431</v>
      </c>
      <c r="D12" s="12">
        <f ca="1"/>
        <v>43432</v>
      </c>
      <c r="E12" s="12">
        <f ca="1"/>
        <v>43433</v>
      </c>
      <c r="F12" s="12">
        <f ca="1"/>
        <v>43434</v>
      </c>
      <c r="G12" s="12">
        <f ca="1"/>
        <v>43435</v>
      </c>
      <c r="H12" s="12">
        <f ca="1"/>
        <v>43436</v>
      </c>
      <c r="J12" s="84"/>
      <c r="K12" s="85"/>
      <c r="L12" s="85"/>
      <c r="M12" s="86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87"/>
      <c r="K13" s="88"/>
      <c r="L13" s="88"/>
      <c r="M13" s="89"/>
    </row>
    <row r="14" spans="2:13" ht="15" customHeight="1" x14ac:dyDescent="0.45">
      <c r="B14" s="12">
        <f t="array" aca="1" ref="B14:H14" ca="1">星期日期和周+DATE(CalendarYear,11,1)-WEEKDAY(DATE(CalendarYear,11,1),(周开始日期="一")+1)+36</f>
        <v>43437</v>
      </c>
      <c r="C14" s="12">
        <f ca="1"/>
        <v>43438</v>
      </c>
      <c r="D14" s="12">
        <f ca="1"/>
        <v>43439</v>
      </c>
      <c r="E14" s="12">
        <f ca="1"/>
        <v>43440</v>
      </c>
      <c r="F14" s="12">
        <f ca="1"/>
        <v>43441</v>
      </c>
      <c r="G14" s="12">
        <f ca="1"/>
        <v>43442</v>
      </c>
      <c r="H14" s="12">
        <f ca="1"/>
        <v>43443</v>
      </c>
      <c r="J14" s="84"/>
      <c r="K14" s="85"/>
      <c r="L14" s="85"/>
      <c r="M14" s="86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87"/>
      <c r="K15" s="88"/>
      <c r="L15" s="88"/>
      <c r="M15" s="89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38</v>
      </c>
      <c r="D1" s="7" t="s">
        <v>37</v>
      </c>
      <c r="E1" s="8"/>
      <c r="F1" s="8"/>
      <c r="G1" s="8"/>
      <c r="H1" s="7"/>
    </row>
    <row r="2" spans="2:13" ht="45" customHeight="1" x14ac:dyDescent="0.3">
      <c r="B2" s="6" t="s">
        <v>36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1" t="s">
        <v>41</v>
      </c>
      <c r="K3" s="92"/>
      <c r="L3" s="92"/>
      <c r="M3" s="93"/>
    </row>
    <row r="4" spans="2:13" ht="16.5" customHeight="1" x14ac:dyDescent="0.45">
      <c r="B4" s="12">
        <f t="array" aca="1" ref="B4:H4" ca="1">星期日期和周+DATE(CalendarYear,12,1)-WEEKDAY(DATE(CalendarYear,12,1),(周开始日期="一")+1)+1</f>
        <v>43430</v>
      </c>
      <c r="C4" s="12">
        <f ca="1"/>
        <v>43431</v>
      </c>
      <c r="D4" s="12">
        <f ca="1"/>
        <v>43432</v>
      </c>
      <c r="E4" s="12">
        <f ca="1"/>
        <v>43433</v>
      </c>
      <c r="F4" s="12">
        <f ca="1"/>
        <v>43434</v>
      </c>
      <c r="G4" s="12">
        <f ca="1"/>
        <v>43435</v>
      </c>
      <c r="H4" s="12">
        <f ca="1"/>
        <v>43436</v>
      </c>
      <c r="J4" s="84"/>
      <c r="K4" s="85"/>
      <c r="L4" s="85"/>
      <c r="M4" s="86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87"/>
      <c r="K5" s="88"/>
      <c r="L5" s="88"/>
      <c r="M5" s="89"/>
    </row>
    <row r="6" spans="2:13" ht="15" customHeight="1" x14ac:dyDescent="0.45">
      <c r="B6" s="12">
        <f t="array" aca="1" ref="B6:H6" ca="1">星期日期和周+DATE(CalendarYear,12,1)-WEEKDAY(DATE(CalendarYear,12,1),(周开始日期="一")+1)+8</f>
        <v>43437</v>
      </c>
      <c r="C6" s="12">
        <f ca="1"/>
        <v>43438</v>
      </c>
      <c r="D6" s="12">
        <f ca="1"/>
        <v>43439</v>
      </c>
      <c r="E6" s="12">
        <f ca="1"/>
        <v>43440</v>
      </c>
      <c r="F6" s="12">
        <f ca="1"/>
        <v>43441</v>
      </c>
      <c r="G6" s="12">
        <f ca="1"/>
        <v>43442</v>
      </c>
      <c r="H6" s="12">
        <f ca="1"/>
        <v>43443</v>
      </c>
      <c r="J6" s="84"/>
      <c r="K6" s="85"/>
      <c r="L6" s="85"/>
      <c r="M6" s="86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87"/>
      <c r="K7" s="88"/>
      <c r="L7" s="88"/>
      <c r="M7" s="89"/>
    </row>
    <row r="8" spans="2:13" ht="15" customHeight="1" x14ac:dyDescent="0.45">
      <c r="B8" s="12">
        <f t="array" aca="1" ref="B8:H8" ca="1">星期日期和周+DATE(CalendarYear,12,1)-WEEKDAY(DATE(CalendarYear,12,1),(周开始日期="一")+1)+15</f>
        <v>43444</v>
      </c>
      <c r="C8" s="12">
        <f ca="1"/>
        <v>43445</v>
      </c>
      <c r="D8" s="12">
        <f ca="1"/>
        <v>43446</v>
      </c>
      <c r="E8" s="12">
        <f ca="1"/>
        <v>43447</v>
      </c>
      <c r="F8" s="12">
        <f ca="1"/>
        <v>43448</v>
      </c>
      <c r="G8" s="12">
        <f ca="1"/>
        <v>43449</v>
      </c>
      <c r="H8" s="12">
        <f ca="1"/>
        <v>43450</v>
      </c>
      <c r="J8" s="84"/>
      <c r="K8" s="85"/>
      <c r="L8" s="85"/>
      <c r="M8" s="86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87"/>
      <c r="K9" s="88"/>
      <c r="L9" s="88"/>
      <c r="M9" s="89"/>
    </row>
    <row r="10" spans="2:13" ht="15" customHeight="1" x14ac:dyDescent="0.45">
      <c r="B10" s="12">
        <f t="array" aca="1" ref="B10:H10" ca="1">星期日期和周+DATE(CalendarYear,12,1)-WEEKDAY(DATE(CalendarYear,12,1),(周开始日期="一")+1)+22</f>
        <v>43451</v>
      </c>
      <c r="C10" s="12">
        <f ca="1"/>
        <v>43452</v>
      </c>
      <c r="D10" s="12">
        <f ca="1"/>
        <v>43453</v>
      </c>
      <c r="E10" s="12">
        <f ca="1"/>
        <v>43454</v>
      </c>
      <c r="F10" s="12">
        <f ca="1"/>
        <v>43455</v>
      </c>
      <c r="G10" s="12">
        <f ca="1"/>
        <v>43456</v>
      </c>
      <c r="H10" s="12">
        <f ca="1"/>
        <v>43457</v>
      </c>
      <c r="J10" s="84"/>
      <c r="K10" s="85"/>
      <c r="L10" s="85"/>
      <c r="M10" s="86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87"/>
      <c r="K11" s="88"/>
      <c r="L11" s="88"/>
      <c r="M11" s="89"/>
    </row>
    <row r="12" spans="2:13" ht="15" customHeight="1" x14ac:dyDescent="0.45">
      <c r="B12" s="12">
        <f t="array" aca="1" ref="B12:H12" ca="1">星期日期和周+DATE(CalendarYear,12,1)-WEEKDAY(DATE(CalendarYear,12,1),(周开始日期="一")+1)+29</f>
        <v>43458</v>
      </c>
      <c r="C12" s="12">
        <f ca="1"/>
        <v>43459</v>
      </c>
      <c r="D12" s="12">
        <f ca="1"/>
        <v>43460</v>
      </c>
      <c r="E12" s="12">
        <f ca="1"/>
        <v>43461</v>
      </c>
      <c r="F12" s="12">
        <f ca="1"/>
        <v>43462</v>
      </c>
      <c r="G12" s="12">
        <f ca="1"/>
        <v>43463</v>
      </c>
      <c r="H12" s="12">
        <f ca="1"/>
        <v>43464</v>
      </c>
      <c r="J12" s="84"/>
      <c r="K12" s="85"/>
      <c r="L12" s="85"/>
      <c r="M12" s="86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87"/>
      <c r="K13" s="88"/>
      <c r="L13" s="88"/>
      <c r="M13" s="89"/>
    </row>
    <row r="14" spans="2:13" ht="15" customHeight="1" x14ac:dyDescent="0.45">
      <c r="B14" s="12">
        <f t="array" aca="1" ref="B14:H14" ca="1">星期日期和周+DATE(CalendarYear,12,1)-WEEKDAY(DATE(CalendarYear,12,1),(周开始日期="一")+1)+36</f>
        <v>43465</v>
      </c>
      <c r="C14" s="12">
        <f ca="1"/>
        <v>43466</v>
      </c>
      <c r="D14" s="12">
        <f ca="1"/>
        <v>43467</v>
      </c>
      <c r="E14" s="12">
        <f ca="1"/>
        <v>43468</v>
      </c>
      <c r="F14" s="12">
        <f ca="1"/>
        <v>43469</v>
      </c>
      <c r="G14" s="12">
        <f ca="1"/>
        <v>43470</v>
      </c>
      <c r="H14" s="12">
        <f ca="1"/>
        <v>43471</v>
      </c>
      <c r="J14" s="84"/>
      <c r="K14" s="85"/>
      <c r="L14" s="85"/>
      <c r="M14" s="86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87"/>
      <c r="K15" s="88"/>
      <c r="L15" s="88"/>
      <c r="M15" s="89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3</vt:i4>
      </vt:variant>
    </vt:vector>
  </HeadingPairs>
  <TitlesOfParts>
    <vt:vector size="23" baseType="lpstr">
      <vt:lpstr>总计划</vt:lpstr>
      <vt:lpstr>资金流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2018-09-20T02:13:09Z</dcterms:modified>
</cp:coreProperties>
</file>