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4622973-F5B9-449A-B7BD-191AD564881C}" xr6:coauthVersionLast="37" xr6:coauthVersionMax="37" xr10:uidLastSave="{00000000-0000-0000-0000-000000000000}"/>
  <bookViews>
    <workbookView xWindow="10230" yWindow="0" windowWidth="22260" windowHeight="12650" tabRatio="848" activeTab="2" xr2:uid="{00000000-000D-0000-FFFF-FFFF00000000}"/>
  </bookViews>
  <sheets>
    <sheet name="年度计划" sheetId="29" r:id="rId1"/>
    <sheet name="财报2.0" sheetId="30" r:id="rId2"/>
    <sheet name="财报3.0" sheetId="27" r:id="rId3"/>
    <sheet name="1月" sheetId="6" r:id="rId4"/>
    <sheet name="2月" sheetId="7" r:id="rId5"/>
    <sheet name="3月" sheetId="8" r:id="rId6"/>
    <sheet name="4月" sheetId="9" r:id="rId7"/>
    <sheet name="5月" sheetId="10" r:id="rId8"/>
    <sheet name="6月" sheetId="11" r:id="rId9"/>
    <sheet name="7月 " sheetId="19" r:id="rId10"/>
    <sheet name="8月" sheetId="20" r:id="rId11"/>
    <sheet name="9月" sheetId="21" r:id="rId12"/>
    <sheet name="10月 " sheetId="22" r:id="rId13"/>
    <sheet name="11月" sheetId="23" r:id="rId14"/>
    <sheet name="12月 " sheetId="24" r:id="rId15"/>
    <sheet name="七月" sheetId="12" state="hidden" r:id="rId16"/>
    <sheet name="八月" sheetId="13" state="hidden" r:id="rId17"/>
    <sheet name="九月" sheetId="14" state="hidden" r:id="rId18"/>
    <sheet name="十月" sheetId="15" state="hidden" r:id="rId19"/>
    <sheet name="十一月" sheetId="16" state="hidden" r:id="rId20"/>
    <sheet name="十二月" sheetId="17" state="hidden" r:id="rId21"/>
  </sheets>
  <definedNames>
    <definedName name="CalendarYear">'1月'!$C$2</definedName>
    <definedName name="_xlnm.Print_Area">'1月'!$A$3:$H$17</definedName>
    <definedName name="星期日期和周">{0,1,2,3,4,5,6} + {0;1;2;3;4;5}*7</definedName>
    <definedName name="周开始日期">'1月'!$E$2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2" i="30" l="1"/>
  <c r="R42" i="27"/>
  <c r="Q38" i="27"/>
  <c r="K38" i="27"/>
  <c r="K37" i="27"/>
  <c r="K36" i="27"/>
  <c r="R43" i="27"/>
  <c r="V35" i="27"/>
  <c r="V32" i="27"/>
  <c r="W32" i="27"/>
  <c r="B42" i="27"/>
  <c r="C42" i="27"/>
  <c r="D42" i="27"/>
  <c r="E42" i="27"/>
  <c r="F42" i="27"/>
  <c r="J42" i="27"/>
  <c r="K35" i="27"/>
  <c r="G31" i="27"/>
  <c r="Q31" i="27"/>
  <c r="K31" i="27"/>
  <c r="K32" i="27"/>
  <c r="K34" i="27"/>
  <c r="K33" i="27"/>
  <c r="K42" i="27"/>
  <c r="L42" i="27"/>
  <c r="M42" i="27"/>
  <c r="P42" i="27"/>
  <c r="I42" i="27"/>
  <c r="U38" i="27"/>
  <c r="U35" i="27"/>
  <c r="U31" i="27"/>
  <c r="U32" i="27"/>
  <c r="U34" i="27"/>
  <c r="U36" i="27"/>
  <c r="U37" i="27"/>
  <c r="U33" i="27"/>
  <c r="U42" i="27"/>
  <c r="Q42" i="27"/>
  <c r="P43" i="27"/>
  <c r="O43" i="27"/>
  <c r="N43" i="27"/>
  <c r="M43" i="27"/>
  <c r="L43" i="27"/>
  <c r="K43" i="27"/>
  <c r="Q43" i="27"/>
  <c r="W35" i="27"/>
  <c r="J43" i="27"/>
  <c r="I43" i="27"/>
  <c r="H42" i="27"/>
  <c r="H43" i="27"/>
  <c r="F43" i="27"/>
  <c r="E31" i="27"/>
  <c r="E32" i="27"/>
  <c r="E33" i="27"/>
  <c r="E34" i="27"/>
  <c r="E35" i="27"/>
  <c r="E36" i="27"/>
  <c r="E37" i="27"/>
  <c r="E38" i="27"/>
  <c r="E43" i="27"/>
  <c r="D43" i="27"/>
  <c r="C43" i="27"/>
  <c r="B43" i="27"/>
  <c r="R38" i="27"/>
  <c r="G38" i="27"/>
  <c r="G36" i="27"/>
  <c r="Q36" i="27"/>
  <c r="G37" i="27"/>
  <c r="Q37" i="27"/>
  <c r="V38" i="27"/>
  <c r="G32" i="27"/>
  <c r="Q32" i="27"/>
  <c r="G33" i="27"/>
  <c r="Q33" i="27"/>
  <c r="G34" i="27"/>
  <c r="Q34" i="27"/>
  <c r="G35" i="27"/>
  <c r="Q35" i="27"/>
  <c r="J36" i="27"/>
  <c r="G42" i="27"/>
  <c r="T33" i="27"/>
  <c r="T34" i="27"/>
  <c r="T35" i="27"/>
  <c r="T36" i="27"/>
  <c r="T37" i="27"/>
  <c r="T38" i="27"/>
  <c r="T42" i="27"/>
  <c r="S38" i="27"/>
  <c r="S35" i="27"/>
  <c r="S36" i="27"/>
  <c r="S37" i="27"/>
  <c r="S34" i="27"/>
  <c r="S33" i="27"/>
  <c r="F52" i="30"/>
  <c r="F53" i="30"/>
  <c r="F54" i="30"/>
  <c r="F55" i="30"/>
  <c r="F56" i="30"/>
  <c r="F62" i="30"/>
  <c r="V62" i="30"/>
  <c r="J49" i="30"/>
  <c r="T49" i="30"/>
  <c r="M49" i="30"/>
  <c r="P49" i="30"/>
  <c r="U49" i="30"/>
  <c r="J50" i="30"/>
  <c r="T50" i="30"/>
  <c r="M50" i="30"/>
  <c r="P50" i="30"/>
  <c r="U50" i="30"/>
  <c r="J51" i="30"/>
  <c r="T51" i="30"/>
  <c r="M51" i="30"/>
  <c r="P51" i="30"/>
  <c r="U51" i="30"/>
  <c r="J52" i="30"/>
  <c r="T52" i="30"/>
  <c r="M52" i="30"/>
  <c r="P52" i="30"/>
  <c r="U52" i="30"/>
  <c r="J53" i="30"/>
  <c r="T53" i="30"/>
  <c r="M53" i="30"/>
  <c r="P53" i="30"/>
  <c r="U53" i="30"/>
  <c r="J54" i="30"/>
  <c r="T54" i="30"/>
  <c r="O54" i="30"/>
  <c r="M54" i="30"/>
  <c r="P54" i="30"/>
  <c r="U54" i="30"/>
  <c r="J55" i="30"/>
  <c r="B56" i="30"/>
  <c r="T55" i="30"/>
  <c r="M55" i="30"/>
  <c r="P55" i="30"/>
  <c r="U55" i="30"/>
  <c r="U62" i="30"/>
  <c r="T62" i="30"/>
  <c r="S57" i="30"/>
  <c r="S62" i="30"/>
  <c r="R57" i="30"/>
  <c r="R62" i="30"/>
  <c r="Q62" i="30"/>
  <c r="P62" i="30"/>
  <c r="O56" i="30"/>
  <c r="O62" i="30"/>
  <c r="N62" i="30"/>
  <c r="M56" i="30"/>
  <c r="M62" i="30"/>
  <c r="I62" i="30"/>
  <c r="D49" i="30"/>
  <c r="D50" i="30"/>
  <c r="D51" i="30"/>
  <c r="D52" i="30"/>
  <c r="D53" i="30"/>
  <c r="D54" i="30"/>
  <c r="D55" i="30"/>
  <c r="D56" i="30"/>
  <c r="D62" i="30"/>
  <c r="J56" i="30"/>
  <c r="H56" i="30"/>
  <c r="H55" i="30"/>
  <c r="H54" i="30"/>
  <c r="H53" i="30"/>
  <c r="H52" i="30"/>
  <c r="H51" i="30"/>
  <c r="H50" i="30"/>
  <c r="H49" i="30"/>
  <c r="P39" i="27"/>
  <c r="M39" i="27"/>
  <c r="J38" i="27"/>
  <c r="B3" i="17"/>
  <c r="B3" i="16"/>
  <c r="B3" i="15"/>
  <c r="B3" i="14"/>
  <c r="B3" i="13"/>
  <c r="B3" i="12"/>
  <c r="B3" i="11"/>
  <c r="B3" i="10"/>
  <c r="B3" i="9"/>
  <c r="B3" i="8"/>
  <c r="B3" i="7"/>
  <c r="C2" i="6"/>
  <c r="B3" i="6"/>
  <c r="B5" i="6"/>
  <c r="B4" i="8" a="1"/>
  <c r="B10" i="8" a="1"/>
  <c r="B8" i="8" a="1"/>
  <c r="B14" i="8" a="1"/>
  <c r="B6" i="8" a="1"/>
  <c r="B12" i="8" a="1"/>
  <c r="B14" i="17" a="1"/>
  <c r="B12" i="17" a="1"/>
  <c r="B10" i="17" a="1"/>
  <c r="B8" i="17" a="1"/>
  <c r="B6" i="17" a="1"/>
  <c r="B4" i="17" a="1"/>
  <c r="B1" i="17"/>
  <c r="B14" i="16" a="1"/>
  <c r="B12" i="16" a="1"/>
  <c r="B10" i="16" a="1"/>
  <c r="B8" i="16" a="1"/>
  <c r="B6" i="16" a="1"/>
  <c r="B4" i="16" a="1"/>
  <c r="B1" i="16"/>
  <c r="B14" i="15" a="1"/>
  <c r="B12" i="15" a="1"/>
  <c r="B10" i="15" a="1"/>
  <c r="B8" i="15" a="1"/>
  <c r="B6" i="15" a="1"/>
  <c r="B4" i="15" a="1"/>
  <c r="B1" i="15"/>
  <c r="B14" i="14" a="1"/>
  <c r="B14" i="12" a="1"/>
  <c r="B14" i="12"/>
  <c r="B12" i="14" a="1"/>
  <c r="B10" i="14" a="1"/>
  <c r="B8" i="14" a="1"/>
  <c r="B6" i="14" a="1"/>
  <c r="B4" i="14" a="1"/>
  <c r="B1" i="14"/>
  <c r="B12" i="12" a="1"/>
  <c r="E12" i="12"/>
  <c r="B10" i="12" a="1"/>
  <c r="B10" i="12"/>
  <c r="B14" i="13" a="1"/>
  <c r="B12" i="13" a="1"/>
  <c r="B10" i="13" a="1"/>
  <c r="B8" i="13" a="1"/>
  <c r="B6" i="13" a="1"/>
  <c r="B4" i="13" a="1"/>
  <c r="B1" i="13"/>
  <c r="B8" i="12" a="1"/>
  <c r="B6" i="12" a="1"/>
  <c r="B4" i="12" a="1"/>
  <c r="B1" i="12"/>
  <c r="B12" i="11" a="1"/>
  <c r="B14" i="11" a="1"/>
  <c r="B10" i="11" a="1"/>
  <c r="B8" i="11" a="1"/>
  <c r="B6" i="11" a="1"/>
  <c r="B4" i="11" a="1"/>
  <c r="B1" i="11"/>
  <c r="B8" i="9" a="1"/>
  <c r="B8" i="9"/>
  <c r="B14" i="10" a="1"/>
  <c r="B12" i="10" a="1"/>
  <c r="B10" i="10" a="1"/>
  <c r="B8" i="10" a="1"/>
  <c r="B6" i="10" a="1"/>
  <c r="B4" i="10" a="1"/>
  <c r="B1" i="10"/>
  <c r="B14" i="9" a="1"/>
  <c r="B12" i="9" a="1"/>
  <c r="B10" i="9" a="1"/>
  <c r="B6" i="9" a="1"/>
  <c r="B4" i="9" a="1"/>
  <c r="B1" i="9"/>
  <c r="B1" i="8"/>
  <c r="B16" i="6" a="1"/>
  <c r="D16" i="6"/>
  <c r="B10" i="6" a="1"/>
  <c r="D10" i="6"/>
  <c r="B14" i="7" a="1"/>
  <c r="B10" i="7" a="1"/>
  <c r="B6" i="7" a="1"/>
  <c r="B4" i="7" a="1"/>
  <c r="B8" i="6" a="1"/>
  <c r="D8" i="6"/>
  <c r="B6" i="6" a="1"/>
  <c r="D6" i="6"/>
  <c r="D5" i="6"/>
  <c r="B12" i="7" a="1"/>
  <c r="B8" i="7" a="1"/>
  <c r="B14" i="6" a="1"/>
  <c r="C14" i="6"/>
  <c r="B12" i="6" a="1"/>
  <c r="D12" i="6"/>
  <c r="B1" i="7"/>
  <c r="G14" i="12"/>
  <c r="G10" i="6"/>
  <c r="F14" i="12"/>
  <c r="H14" i="12"/>
  <c r="E14" i="12"/>
  <c r="E8" i="9"/>
  <c r="F12" i="12"/>
  <c r="H14" i="8"/>
  <c r="D14" i="8"/>
  <c r="G14" i="8"/>
  <c r="C14" i="8"/>
  <c r="F14" i="8"/>
  <c r="B14" i="8"/>
  <c r="E14" i="8"/>
  <c r="H8" i="8"/>
  <c r="D8" i="8"/>
  <c r="G8" i="8"/>
  <c r="C8" i="8"/>
  <c r="E8" i="8"/>
  <c r="F8" i="8"/>
  <c r="B8" i="8"/>
  <c r="H12" i="8"/>
  <c r="D12" i="8"/>
  <c r="G12" i="8"/>
  <c r="C12" i="8"/>
  <c r="F12" i="8"/>
  <c r="B12" i="8"/>
  <c r="E12" i="8"/>
  <c r="H10" i="8"/>
  <c r="D10" i="8"/>
  <c r="G10" i="8"/>
  <c r="C10" i="8"/>
  <c r="F10" i="8"/>
  <c r="B10" i="8"/>
  <c r="E10" i="8"/>
  <c r="H6" i="8"/>
  <c r="D6" i="8"/>
  <c r="G6" i="8"/>
  <c r="C6" i="8"/>
  <c r="E6" i="8"/>
  <c r="F6" i="8"/>
  <c r="B6" i="8"/>
  <c r="H4" i="8"/>
  <c r="H3" i="8"/>
  <c r="D4" i="8"/>
  <c r="D3" i="8"/>
  <c r="G4" i="8"/>
  <c r="G3" i="8"/>
  <c r="C4" i="8"/>
  <c r="C3" i="8"/>
  <c r="F4" i="8"/>
  <c r="F3" i="8"/>
  <c r="B4" i="8"/>
  <c r="E4" i="8"/>
  <c r="C14" i="12"/>
  <c r="G10" i="12"/>
  <c r="D10" i="12"/>
  <c r="F10" i="12"/>
  <c r="C12" i="12"/>
  <c r="D14" i="12"/>
  <c r="B10" i="6"/>
  <c r="G8" i="6"/>
  <c r="H8" i="6"/>
  <c r="E8" i="17"/>
  <c r="B8" i="17"/>
  <c r="F8" i="17"/>
  <c r="D8" i="17"/>
  <c r="H8" i="17"/>
  <c r="C8" i="17"/>
  <c r="G8" i="17"/>
  <c r="E10" i="17"/>
  <c r="B10" i="17"/>
  <c r="F10" i="17"/>
  <c r="D10" i="17"/>
  <c r="H10" i="17"/>
  <c r="C10" i="17"/>
  <c r="G10" i="17"/>
  <c r="E4" i="17"/>
  <c r="E3" i="17"/>
  <c r="B4" i="17"/>
  <c r="F4" i="17"/>
  <c r="F3" i="17"/>
  <c r="D4" i="17"/>
  <c r="D3" i="17"/>
  <c r="H4" i="17"/>
  <c r="H3" i="17"/>
  <c r="C4" i="17"/>
  <c r="C3" i="17"/>
  <c r="G4" i="17"/>
  <c r="G3" i="17"/>
  <c r="E12" i="17"/>
  <c r="B12" i="17"/>
  <c r="F12" i="17"/>
  <c r="D12" i="17"/>
  <c r="H12" i="17"/>
  <c r="C12" i="17"/>
  <c r="G12" i="17"/>
  <c r="E6" i="17"/>
  <c r="B6" i="17"/>
  <c r="F6" i="17"/>
  <c r="D6" i="17"/>
  <c r="H6" i="17"/>
  <c r="C6" i="17"/>
  <c r="G6" i="17"/>
  <c r="E14" i="17"/>
  <c r="B14" i="17"/>
  <c r="F14" i="17"/>
  <c r="D14" i="17"/>
  <c r="H14" i="17"/>
  <c r="C14" i="17"/>
  <c r="G14" i="17"/>
  <c r="E8" i="16"/>
  <c r="B8" i="16"/>
  <c r="F8" i="16"/>
  <c r="D8" i="16"/>
  <c r="C8" i="16"/>
  <c r="G8" i="16"/>
  <c r="H8" i="16"/>
  <c r="G8" i="9"/>
  <c r="E10" i="16"/>
  <c r="B10" i="16"/>
  <c r="F10" i="16"/>
  <c r="D10" i="16"/>
  <c r="C10" i="16"/>
  <c r="G10" i="16"/>
  <c r="H10" i="16"/>
  <c r="E4" i="16"/>
  <c r="E3" i="16"/>
  <c r="B4" i="16"/>
  <c r="F4" i="16"/>
  <c r="F3" i="16"/>
  <c r="C4" i="16"/>
  <c r="C3" i="16"/>
  <c r="G4" i="16"/>
  <c r="G3" i="16"/>
  <c r="D4" i="16"/>
  <c r="D3" i="16"/>
  <c r="H4" i="16"/>
  <c r="H3" i="16"/>
  <c r="E12" i="16"/>
  <c r="F12" i="16"/>
  <c r="B12" i="16"/>
  <c r="D12" i="16"/>
  <c r="C12" i="16"/>
  <c r="G12" i="16"/>
  <c r="H12" i="16"/>
  <c r="F8" i="9"/>
  <c r="C10" i="12"/>
  <c r="E10" i="12"/>
  <c r="E6" i="16"/>
  <c r="B6" i="16"/>
  <c r="F6" i="16"/>
  <c r="D6" i="16"/>
  <c r="C6" i="16"/>
  <c r="G6" i="16"/>
  <c r="H6" i="16"/>
  <c r="E14" i="16"/>
  <c r="B14" i="16"/>
  <c r="F14" i="16"/>
  <c r="D14" i="16"/>
  <c r="C14" i="16"/>
  <c r="G14" i="16"/>
  <c r="H14" i="16"/>
  <c r="E8" i="15"/>
  <c r="B8" i="15"/>
  <c r="F8" i="15"/>
  <c r="C8" i="15"/>
  <c r="G8" i="15"/>
  <c r="D8" i="15"/>
  <c r="H8" i="15"/>
  <c r="F10" i="6"/>
  <c r="G12" i="12"/>
  <c r="H10" i="12"/>
  <c r="E10" i="15"/>
  <c r="B10" i="15"/>
  <c r="F10" i="15"/>
  <c r="C10" i="15"/>
  <c r="G10" i="15"/>
  <c r="D10" i="15"/>
  <c r="H10" i="15"/>
  <c r="H10" i="6"/>
  <c r="D12" i="12"/>
  <c r="E4" i="15"/>
  <c r="E3" i="15"/>
  <c r="B4" i="15"/>
  <c r="F4" i="15"/>
  <c r="F3" i="15"/>
  <c r="C4" i="15"/>
  <c r="C3" i="15"/>
  <c r="G4" i="15"/>
  <c r="G3" i="15"/>
  <c r="D4" i="15"/>
  <c r="D3" i="15"/>
  <c r="H4" i="15"/>
  <c r="H3" i="15"/>
  <c r="B12" i="15"/>
  <c r="F12" i="15"/>
  <c r="C12" i="15"/>
  <c r="G12" i="15"/>
  <c r="D12" i="15"/>
  <c r="E12" i="15"/>
  <c r="H12" i="15"/>
  <c r="E10" i="6"/>
  <c r="C10" i="6"/>
  <c r="B12" i="12"/>
  <c r="H12" i="12"/>
  <c r="E6" i="15"/>
  <c r="B6" i="15"/>
  <c r="F6" i="15"/>
  <c r="C6" i="15"/>
  <c r="G6" i="15"/>
  <c r="D6" i="15"/>
  <c r="H6" i="15"/>
  <c r="B14" i="15"/>
  <c r="F14" i="15"/>
  <c r="C14" i="15"/>
  <c r="G14" i="15"/>
  <c r="D14" i="15"/>
  <c r="E14" i="15"/>
  <c r="H14" i="15"/>
  <c r="E10" i="14"/>
  <c r="B10" i="14"/>
  <c r="F10" i="14"/>
  <c r="C10" i="14"/>
  <c r="G10" i="14"/>
  <c r="D10" i="14"/>
  <c r="H10" i="14"/>
  <c r="E4" i="14"/>
  <c r="E3" i="14"/>
  <c r="B4" i="14"/>
  <c r="F4" i="14"/>
  <c r="F3" i="14"/>
  <c r="C4" i="14"/>
  <c r="C3" i="14"/>
  <c r="G4" i="14"/>
  <c r="G3" i="14"/>
  <c r="D4" i="14"/>
  <c r="D3" i="14"/>
  <c r="H4" i="14"/>
  <c r="H3" i="14"/>
  <c r="B12" i="14"/>
  <c r="F12" i="14"/>
  <c r="C12" i="14"/>
  <c r="G12" i="14"/>
  <c r="D12" i="14"/>
  <c r="H12" i="14"/>
  <c r="E12" i="14"/>
  <c r="C12" i="6"/>
  <c r="E6" i="14"/>
  <c r="B6" i="14"/>
  <c r="F6" i="14"/>
  <c r="C6" i="14"/>
  <c r="G6" i="14"/>
  <c r="D6" i="14"/>
  <c r="H6" i="14"/>
  <c r="E8" i="14"/>
  <c r="B8" i="14"/>
  <c r="F8" i="14"/>
  <c r="C8" i="14"/>
  <c r="G8" i="14"/>
  <c r="D8" i="14"/>
  <c r="H8" i="14"/>
  <c r="E14" i="14"/>
  <c r="B14" i="14"/>
  <c r="F14" i="14"/>
  <c r="C14" i="14"/>
  <c r="G14" i="14"/>
  <c r="D14" i="14"/>
  <c r="H14" i="14"/>
  <c r="E14" i="13"/>
  <c r="B14" i="13"/>
  <c r="F14" i="13"/>
  <c r="C14" i="13"/>
  <c r="G14" i="13"/>
  <c r="D14" i="13"/>
  <c r="H14" i="13"/>
  <c r="E8" i="13"/>
  <c r="B8" i="13"/>
  <c r="F8" i="13"/>
  <c r="C8" i="13"/>
  <c r="G8" i="13"/>
  <c r="D8" i="13"/>
  <c r="H8" i="13"/>
  <c r="E8" i="6"/>
  <c r="D8" i="9"/>
  <c r="E10" i="13"/>
  <c r="B10" i="13"/>
  <c r="F10" i="13"/>
  <c r="C10" i="13"/>
  <c r="G10" i="13"/>
  <c r="D10" i="13"/>
  <c r="H10" i="13"/>
  <c r="E6" i="13"/>
  <c r="B6" i="13"/>
  <c r="F6" i="13"/>
  <c r="C6" i="13"/>
  <c r="G6" i="13"/>
  <c r="D6" i="13"/>
  <c r="H6" i="13"/>
  <c r="G14" i="6"/>
  <c r="C8" i="9"/>
  <c r="H8" i="9"/>
  <c r="E4" i="13"/>
  <c r="E3" i="13"/>
  <c r="B4" i="13"/>
  <c r="F4" i="13"/>
  <c r="F3" i="13"/>
  <c r="C4" i="13"/>
  <c r="C3" i="13"/>
  <c r="G4" i="13"/>
  <c r="G3" i="13"/>
  <c r="D4" i="13"/>
  <c r="D3" i="13"/>
  <c r="H4" i="13"/>
  <c r="H3" i="13"/>
  <c r="E12" i="13"/>
  <c r="B12" i="13"/>
  <c r="F12" i="13"/>
  <c r="C12" i="13"/>
  <c r="G12" i="13"/>
  <c r="D12" i="13"/>
  <c r="H12" i="13"/>
  <c r="H6" i="6"/>
  <c r="H5" i="6"/>
  <c r="E4" i="12"/>
  <c r="E3" i="12"/>
  <c r="B4" i="12"/>
  <c r="F4" i="12"/>
  <c r="F3" i="12"/>
  <c r="C4" i="12"/>
  <c r="C3" i="12"/>
  <c r="G4" i="12"/>
  <c r="G3" i="12"/>
  <c r="D4" i="12"/>
  <c r="D3" i="12"/>
  <c r="H4" i="12"/>
  <c r="H3" i="12"/>
  <c r="E6" i="12"/>
  <c r="B6" i="12"/>
  <c r="F6" i="12"/>
  <c r="C6" i="12"/>
  <c r="G6" i="12"/>
  <c r="D6" i="12"/>
  <c r="H6" i="12"/>
  <c r="B16" i="6"/>
  <c r="E8" i="12"/>
  <c r="B8" i="12"/>
  <c r="F8" i="12"/>
  <c r="C8" i="12"/>
  <c r="G8" i="12"/>
  <c r="D8" i="12"/>
  <c r="H8" i="12"/>
  <c r="E8" i="11"/>
  <c r="B8" i="11"/>
  <c r="F8" i="11"/>
  <c r="C8" i="11"/>
  <c r="G8" i="11"/>
  <c r="D8" i="11"/>
  <c r="H8" i="11"/>
  <c r="B8" i="6"/>
  <c r="C8" i="6"/>
  <c r="E10" i="11"/>
  <c r="B10" i="11"/>
  <c r="F10" i="11"/>
  <c r="C10" i="11"/>
  <c r="G10" i="11"/>
  <c r="D10" i="11"/>
  <c r="H10" i="11"/>
  <c r="E4" i="11"/>
  <c r="E3" i="11"/>
  <c r="B4" i="11"/>
  <c r="F4" i="11"/>
  <c r="F3" i="11"/>
  <c r="C4" i="11"/>
  <c r="C3" i="11"/>
  <c r="G4" i="11"/>
  <c r="G3" i="11"/>
  <c r="D4" i="11"/>
  <c r="D3" i="11"/>
  <c r="H4" i="11"/>
  <c r="H3" i="11"/>
  <c r="E14" i="11"/>
  <c r="B14" i="11"/>
  <c r="F14" i="11"/>
  <c r="C14" i="11"/>
  <c r="G14" i="11"/>
  <c r="D14" i="11"/>
  <c r="H14" i="11"/>
  <c r="E6" i="11"/>
  <c r="B6" i="11"/>
  <c r="F6" i="11"/>
  <c r="C6" i="11"/>
  <c r="G6" i="11"/>
  <c r="D6" i="11"/>
  <c r="H6" i="11"/>
  <c r="E12" i="11"/>
  <c r="B12" i="11"/>
  <c r="F12" i="11"/>
  <c r="C12" i="11"/>
  <c r="G12" i="11"/>
  <c r="D12" i="11"/>
  <c r="H12" i="11"/>
  <c r="E10" i="10"/>
  <c r="B10" i="10"/>
  <c r="F10" i="10"/>
  <c r="C10" i="10"/>
  <c r="G10" i="10"/>
  <c r="D10" i="10"/>
  <c r="H10" i="10"/>
  <c r="B14" i="6"/>
  <c r="E4" i="10"/>
  <c r="E3" i="10"/>
  <c r="B4" i="10"/>
  <c r="F4" i="10"/>
  <c r="F3" i="10"/>
  <c r="C4" i="10"/>
  <c r="C3" i="10"/>
  <c r="G4" i="10"/>
  <c r="G3" i="10"/>
  <c r="D4" i="10"/>
  <c r="D3" i="10"/>
  <c r="H4" i="10"/>
  <c r="H3" i="10"/>
  <c r="E12" i="10"/>
  <c r="B12" i="10"/>
  <c r="F12" i="10"/>
  <c r="C12" i="10"/>
  <c r="G12" i="10"/>
  <c r="D12" i="10"/>
  <c r="H12" i="10"/>
  <c r="F8" i="6"/>
  <c r="E6" i="10"/>
  <c r="B6" i="10"/>
  <c r="F6" i="10"/>
  <c r="C6" i="10"/>
  <c r="G6" i="10"/>
  <c r="D6" i="10"/>
  <c r="H6" i="10"/>
  <c r="E14" i="10"/>
  <c r="B14" i="10"/>
  <c r="F14" i="10"/>
  <c r="C14" i="10"/>
  <c r="G14" i="10"/>
  <c r="D14" i="10"/>
  <c r="H14" i="10"/>
  <c r="H14" i="6"/>
  <c r="E8" i="10"/>
  <c r="B8" i="10"/>
  <c r="F8" i="10"/>
  <c r="C8" i="10"/>
  <c r="G8" i="10"/>
  <c r="D8" i="10"/>
  <c r="H8" i="10"/>
  <c r="B10" i="9"/>
  <c r="F10" i="9"/>
  <c r="C10" i="9"/>
  <c r="G10" i="9"/>
  <c r="D10" i="9"/>
  <c r="H10" i="9"/>
  <c r="E10" i="9"/>
  <c r="E16" i="6"/>
  <c r="E4" i="9"/>
  <c r="E3" i="9"/>
  <c r="B4" i="9"/>
  <c r="F4" i="9"/>
  <c r="F3" i="9"/>
  <c r="C4" i="9"/>
  <c r="C3" i="9"/>
  <c r="G4" i="9"/>
  <c r="G3" i="9"/>
  <c r="D4" i="9"/>
  <c r="D3" i="9"/>
  <c r="H4" i="9"/>
  <c r="H3" i="9"/>
  <c r="B12" i="9"/>
  <c r="F12" i="9"/>
  <c r="C12" i="9"/>
  <c r="G12" i="9"/>
  <c r="D12" i="9"/>
  <c r="H12" i="9"/>
  <c r="E12" i="9"/>
  <c r="B12" i="6"/>
  <c r="E6" i="9"/>
  <c r="B6" i="9"/>
  <c r="F6" i="9"/>
  <c r="C6" i="9"/>
  <c r="G6" i="9"/>
  <c r="D6" i="9"/>
  <c r="H6" i="9"/>
  <c r="B14" i="9"/>
  <c r="F14" i="9"/>
  <c r="C14" i="9"/>
  <c r="G14" i="9"/>
  <c r="D14" i="9"/>
  <c r="H14" i="9"/>
  <c r="E14" i="9"/>
  <c r="H16" i="6"/>
  <c r="F16" i="6"/>
  <c r="C16" i="6"/>
  <c r="G16" i="6"/>
  <c r="E3" i="8"/>
  <c r="E12" i="6"/>
  <c r="F14" i="6"/>
  <c r="B10" i="7"/>
  <c r="F10" i="7"/>
  <c r="E10" i="7"/>
  <c r="C10" i="7"/>
  <c r="G10" i="7"/>
  <c r="D10" i="7"/>
  <c r="H10" i="7"/>
  <c r="F12" i="6"/>
  <c r="G12" i="6"/>
  <c r="D14" i="6"/>
  <c r="E14" i="6"/>
  <c r="B14" i="7"/>
  <c r="F14" i="7"/>
  <c r="E14" i="7"/>
  <c r="C14" i="7"/>
  <c r="G14" i="7"/>
  <c r="D14" i="7"/>
  <c r="H14" i="7"/>
  <c r="E6" i="6"/>
  <c r="E5" i="6"/>
  <c r="B6" i="6"/>
  <c r="C6" i="6"/>
  <c r="C5" i="6"/>
  <c r="B8" i="7"/>
  <c r="F8" i="7"/>
  <c r="C8" i="7"/>
  <c r="G8" i="7"/>
  <c r="D8" i="7"/>
  <c r="H8" i="7"/>
  <c r="E8" i="7"/>
  <c r="B4" i="7"/>
  <c r="F4" i="7"/>
  <c r="F3" i="7"/>
  <c r="C4" i="7"/>
  <c r="C3" i="7"/>
  <c r="G4" i="7"/>
  <c r="G3" i="7"/>
  <c r="D4" i="7"/>
  <c r="D3" i="7"/>
  <c r="H4" i="7"/>
  <c r="H3" i="7"/>
  <c r="E4" i="7"/>
  <c r="E3" i="7"/>
  <c r="H12" i="6"/>
  <c r="F6" i="6"/>
  <c r="F5" i="6"/>
  <c r="G6" i="6"/>
  <c r="G5" i="6"/>
  <c r="B12" i="7"/>
  <c r="F12" i="7"/>
  <c r="C12" i="7"/>
  <c r="G12" i="7"/>
  <c r="D12" i="7"/>
  <c r="H12" i="7"/>
  <c r="E12" i="7"/>
  <c r="B6" i="7"/>
  <c r="F6" i="7"/>
  <c r="E6" i="7"/>
  <c r="C6" i="7"/>
  <c r="G6" i="7"/>
  <c r="D6" i="7"/>
  <c r="H6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48" authorId="0" shapeId="0" xr:uid="{90B19B2D-D46C-49B6-82D0-CA9E12784C3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每月15号（发工资）前剩下的资金</t>
        </r>
      </text>
    </comment>
    <comment ref="H48" authorId="0" shapeId="0" xr:uid="{B8F86BA2-C5B9-42FE-A229-29B575E62D1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扣除的社保、公积金、个税</t>
        </r>
      </text>
    </comment>
    <comment ref="I48" authorId="0" shapeId="0" xr:uid="{FB4E6A4F-BD11-4E7A-9954-A52EEDCFDC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每月15号发工资</t>
        </r>
      </text>
    </comment>
    <comment ref="J48" authorId="0" shapeId="0" xr:uid="{A3C365BF-3BC6-443C-89DE-381FFC7A47C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每月存款+到手工资</t>
        </r>
      </text>
    </comment>
    <comment ref="M48" authorId="0" shapeId="0" xr:uid="{EB479792-D277-48D3-9D9F-86A9AC8D71F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每月月底缴纳房租</t>
        </r>
      </text>
    </comment>
    <comment ref="P48" authorId="0" shapeId="0" xr:uid="{0FF8490F-6CF0-45AE-B932-CB7979922F6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前几个月账目不明，全归结到【吃】类目</t>
        </r>
      </text>
    </comment>
    <comment ref="Q48" authorId="0" shapeId="0" xr:uid="{D7ACB761-D1B0-4DE9-9424-BEAE2FB1A7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that one</t>
        </r>
      </text>
    </comment>
    <comment ref="S48" authorId="0" shapeId="0" xr:uid="{0B9EB6BC-6554-4E62-BBBE-1F4C6A0B020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电影、理发、买书...</t>
        </r>
      </text>
    </comment>
    <comment ref="T48" authorId="0" shapeId="0" xr:uid="{5ABE2040-B8AF-40B3-820C-2C5C3D6CFB4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上月月初-本月存款</t>
        </r>
      </text>
    </comment>
    <comment ref="R51" authorId="0" shapeId="0" xr:uid="{1E25CAB3-6452-4F0B-8995-6FBCF2550F7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239：鞋子</t>
        </r>
      </text>
    </comment>
    <comment ref="R52" authorId="0" shapeId="0" xr:uid="{EB192466-BC83-4DB4-B682-E201BFFDD0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238：鞋子</t>
        </r>
      </text>
    </comment>
    <comment ref="O54" authorId="0" shapeId="0" xr:uid="{2FDC21C1-D188-4791-8E12-A629988C010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小米笔记本</t>
        </r>
      </text>
    </comment>
    <comment ref="Q54" authorId="0" shapeId="0" xr:uid="{F5DE8ABD-55E2-422F-A1A6-42B7E7CABCC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498：客村
</t>
        </r>
      </text>
    </comment>
    <comment ref="R54" authorId="0" shapeId="0" xr:uid="{8C21837C-4A09-4EDA-AF9E-23537497A24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300：以纯</t>
        </r>
      </text>
    </comment>
    <comment ref="O55" authorId="0" shapeId="0" xr:uid="{E3A8543F-2ED0-4216-832F-B0104357BEA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台电平板</t>
        </r>
      </text>
    </comment>
    <comment ref="Q55" authorId="0" shapeId="0" xr:uid="{2CE564B0-5A3E-4180-8BF2-EB39A684A36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128：南雄</t>
        </r>
      </text>
    </comment>
    <comment ref="O56" authorId="0" shapeId="0" xr:uid="{D58C33C6-AC59-4B29-82A3-EC70F700E59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魅族16X</t>
        </r>
      </text>
    </comment>
    <comment ref="R56" authorId="0" shapeId="0" xr:uid="{B5EFB60F-54D7-4F35-BB36-5C2E428E29D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72：鞋子</t>
        </r>
      </text>
    </comment>
    <comment ref="Q57" authorId="0" shapeId="0" xr:uid="{049F6CE9-0896-4A93-8292-BD776AAA7641}">
      <text>
        <r>
          <rPr>
            <b/>
            <sz val="9"/>
            <color indexed="81"/>
            <rFont val="宋体"/>
            <family val="3"/>
            <charset val="134"/>
          </rPr>
          <t>Joker:</t>
        </r>
        <r>
          <rPr>
            <sz val="9"/>
            <color indexed="81"/>
            <rFont val="宋体"/>
            <family val="3"/>
            <charset val="134"/>
          </rPr>
          <t xml:space="preserve">
436：乐昌</t>
        </r>
      </text>
    </comment>
    <comment ref="R57" authorId="0" shapeId="0" xr:uid="{44A2DA62-2D77-4FA6-BAC2-E55DDD8D59A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269：鞋子
149：小米双肩背包</t>
        </r>
      </text>
    </comment>
    <comment ref="S57" authorId="0" shapeId="0" xr:uid="{2F53CCDA-BF42-411F-AF2D-C2BA9AB8862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128：理发+肯德基
15.5：VGA/HDMI转接线
10：洗衣粉
9：小包纸巾
17：大包纸巾
100：羊城通充值
8.8：葡萄</t>
        </r>
      </text>
    </comment>
    <comment ref="B62" authorId="0" shapeId="0" xr:uid="{1C5607D4-C75C-4A21-BBAC-E73FCF6C2A67}">
      <text>
        <r>
          <rPr>
            <b/>
            <sz val="9"/>
            <color indexed="81"/>
            <rFont val="宋体"/>
            <family val="3"/>
            <charset val="134"/>
          </rPr>
          <t>作者:
本年度存款，暂时</t>
        </r>
      </text>
    </comment>
    <comment ref="D62" authorId="0" shapeId="0" xr:uid="{27AB9F62-FF3E-4B84-8ED9-72AFC56B2E1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年度社保累积</t>
        </r>
      </text>
    </comment>
    <comment ref="F62" authorId="0" shapeId="0" xr:uid="{F99B12CF-9CFF-4E6F-8E99-0F0F0C02F17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年度公积金累积</t>
        </r>
      </text>
    </comment>
    <comment ref="I62" authorId="0" shapeId="0" xr:uid="{E876FDB8-A932-4909-93E6-81B658A5935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年度到手工资总额</t>
        </r>
      </text>
    </comment>
    <comment ref="M62" authorId="0" shapeId="0" xr:uid="{44A66C71-0BD0-48C3-8EEA-C2ED96C65D0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年度房租总额</t>
        </r>
      </text>
    </comment>
    <comment ref="T62" authorId="0" shapeId="0" xr:uid="{F3AB554B-4B47-4EE3-A5ED-FBDE7A138FC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年度消费总额</t>
        </r>
      </text>
    </comment>
    <comment ref="U62" authorId="0" shapeId="0" xr:uid="{F13091CC-8140-4D9B-A86C-3A9B243CC72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恩格尔系数均值</t>
        </r>
      </text>
    </comment>
    <comment ref="V62" authorId="0" shapeId="0" xr:uid="{771C12B9-2138-4B36-B89C-9EB361AA069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买一套100㎡、均价3w所需年限，存300w所需年限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0" authorId="0" shapeId="0" xr:uid="{247E9DDA-8850-4E04-B7C7-0300C87D42D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扣除的社保、公积金、个税</t>
        </r>
      </text>
    </comment>
    <comment ref="F30" authorId="0" shapeId="0" xr:uid="{CF1DABB1-56EC-4B7C-8F6A-403D30544D1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每月15号发工资</t>
        </r>
      </text>
    </comment>
    <comment ref="G30" authorId="0" shapeId="0" xr:uid="{14FC679D-07E9-4A8D-AE24-2EEDE6698C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当前存款+到手工资</t>
        </r>
      </text>
    </comment>
    <comment ref="H30" authorId="0" shapeId="0" xr:uid="{85AFD134-5DED-49AC-B536-025CDB1E061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每月月底缴纳房租</t>
        </r>
      </text>
    </comment>
    <comment ref="K30" authorId="0" shapeId="0" xr:uid="{F8BA98F8-59C5-4906-93CD-E5734AEDA95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前几个月账目不明，全归结到【吃】类目</t>
        </r>
      </text>
    </comment>
    <comment ref="L30" authorId="0" shapeId="0" xr:uid="{2905DDF7-901C-444B-B85D-0FD73207998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that one</t>
        </r>
      </text>
    </comment>
    <comment ref="O30" authorId="0" shapeId="0" xr:uid="{AF9451DE-F358-4ED6-8856-C5449C918DF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1、买书
2、网络教程
3、培训课程</t>
        </r>
      </text>
    </comment>
    <comment ref="P30" authorId="0" shapeId="0" xr:uid="{CC25C437-EB7D-4FF5-97A4-2512671B273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电影、理发、买书...</t>
        </r>
      </text>
    </comment>
    <comment ref="Q30" authorId="0" shapeId="0" xr:uid="{326BBEA3-CD9E-47A5-B340-77ABE28C26A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上月存款+本月工资-本月存款</t>
        </r>
      </text>
    </comment>
    <comment ref="R30" authorId="0" shapeId="0" xr:uid="{F7326976-9340-4AC1-99F2-F9B298F7647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每月15号（发工资）前剩下的资金</t>
        </r>
      </text>
    </comment>
    <comment ref="V31" authorId="0" shapeId="0" xr:uid="{45A4B0F9-FBB9-4B12-9A2A-58DD3AC0464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100方，均价3w，使用存款+公积金
总价：100*30000=3000000；
年限=总价/(存款+公积金)</t>
        </r>
      </text>
    </comment>
    <comment ref="W31" authorId="0" shapeId="0" xr:uid="{2BE45B94-9DCD-4544-B221-5B75E777B3F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20w的车
年限=20w/存款</t>
        </r>
      </text>
    </comment>
    <comment ref="M33" authorId="0" shapeId="0" xr:uid="{52F9DFA7-B112-48CC-B983-BFCA5C3F5F7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239：鞋子</t>
        </r>
      </text>
    </comment>
    <comment ref="M34" authorId="0" shapeId="0" xr:uid="{71E8C9DE-CACA-46E8-B4AC-98D84ADE66E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238：鞋子</t>
        </r>
      </text>
    </comment>
    <comment ref="V34" authorId="0" shapeId="0" xr:uid="{B176DEF8-AF8D-4F11-BD49-E932C208D0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读研两年
读研：2w学费
生活费：1.5k*24=3.6w
总费用：5.6w
年限：总费用/存款</t>
        </r>
      </text>
    </comment>
    <comment ref="J36" authorId="0" shapeId="0" xr:uid="{E360718A-44B5-4F2A-8EA8-80FF24AEEA8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小米笔记本</t>
        </r>
      </text>
    </comment>
    <comment ref="L36" authorId="0" shapeId="0" xr:uid="{EF105733-500A-499E-8970-3F899786F6E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498：客村
</t>
        </r>
      </text>
    </comment>
    <comment ref="M36" authorId="0" shapeId="0" xr:uid="{7A3B900F-863D-406B-B637-CCD69D32A09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300：以纯</t>
        </r>
      </text>
    </comment>
    <comment ref="J37" authorId="0" shapeId="0" xr:uid="{AC128DFA-0660-4FDC-9560-702CCEB720B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台电平板</t>
        </r>
      </text>
    </comment>
    <comment ref="L37" authorId="0" shapeId="0" xr:uid="{036DC9EC-B8B7-43C7-8AF9-3C8EE4B2310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128：南雄</t>
        </r>
      </text>
    </comment>
    <comment ref="V37" authorId="0" shapeId="0" xr:uid="{D340F7F7-DA60-4A88-AD4A-7D6BC299ED7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本阶段计划：
1、机器学习理论理解
2、python数据分析模块掌握
3、掌握SQL</t>
        </r>
      </text>
    </comment>
    <comment ref="J38" authorId="0" shapeId="0" xr:uid="{CD62A50E-828C-467F-AD48-B46B5A3EB96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魅族16X</t>
        </r>
      </text>
    </comment>
    <comment ref="M38" authorId="0" shapeId="0" xr:uid="{F4B938B3-9E5E-4BB2-82E3-4891482B47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72：鞋子</t>
        </r>
      </text>
    </comment>
    <comment ref="A39" authorId="0" shapeId="0" xr:uid="{12BE3478-AF25-4C4D-B7E3-E94FF1BE94B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报表3.0</t>
        </r>
      </text>
    </comment>
    <comment ref="L39" authorId="0" shapeId="0" xr:uid="{93265F39-78C4-427A-9FF6-F66BE2A7FA0F}">
      <text>
        <r>
          <rPr>
            <b/>
            <sz val="9"/>
            <color indexed="81"/>
            <rFont val="宋体"/>
            <family val="3"/>
            <charset val="134"/>
          </rPr>
          <t>Joker:</t>
        </r>
        <r>
          <rPr>
            <sz val="9"/>
            <color indexed="81"/>
            <rFont val="宋体"/>
            <family val="3"/>
            <charset val="134"/>
          </rPr>
          <t xml:space="preserve">
436：乐昌</t>
        </r>
      </text>
    </comment>
    <comment ref="M39" authorId="0" shapeId="0" xr:uid="{6F51C436-85AF-45B5-A82C-2D697D22A54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269：鞋子
149：小米双肩背包</t>
        </r>
      </text>
    </comment>
    <comment ref="P39" authorId="0" shapeId="0" xr:uid="{803A93C7-46FF-43EB-A358-388D346727F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128：理发+肯德基
15.5：VGA/HDMI转接线
10：洗衣粉
9：小包纸巾
17：大包纸巾
100：羊城通充值
8.8：葡萄</t>
        </r>
      </text>
    </comment>
    <comment ref="T42" authorId="0" shapeId="0" xr:uid="{005F51A8-0D79-418E-A5BD-0F2797EAEBB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几何平均数</t>
        </r>
      </text>
    </comment>
  </commentList>
</comments>
</file>

<file path=xl/sharedStrings.xml><?xml version="1.0" encoding="utf-8"?>
<sst xmlns="http://schemas.openxmlformats.org/spreadsheetml/2006/main" count="465" uniqueCount="246">
  <si>
    <t>一月</t>
  </si>
  <si>
    <t>二月 -&gt;</t>
  </si>
  <si>
    <t>一</t>
  </si>
  <si>
    <t>周开始日期：</t>
  </si>
  <si>
    <t>输入年份：</t>
  </si>
  <si>
    <t>通过在“周开始日期”单元格 E2 中选择“日”或“一”，可将星期日或星期一作为日历的开始日期</t>
  </si>
  <si>
    <t>二月</t>
  </si>
  <si>
    <t>三月 -&gt;</t>
  </si>
  <si>
    <t>&lt;- 一月</t>
  </si>
  <si>
    <t>三月</t>
  </si>
  <si>
    <t>四月 -&gt;</t>
  </si>
  <si>
    <t>&lt;- 二月</t>
  </si>
  <si>
    <t>四月</t>
  </si>
  <si>
    <t>五月 -&gt;</t>
  </si>
  <si>
    <t>&lt;- 三月</t>
  </si>
  <si>
    <t>五月</t>
  </si>
  <si>
    <t>六月 -&gt;</t>
  </si>
  <si>
    <t>&lt;- 四月</t>
  </si>
  <si>
    <t>六月</t>
  </si>
  <si>
    <t>七月 -&gt;</t>
  </si>
  <si>
    <t>&lt;- 五月</t>
  </si>
  <si>
    <t>七月</t>
  </si>
  <si>
    <t>八月 -&gt;</t>
  </si>
  <si>
    <t>&lt;- 六月</t>
  </si>
  <si>
    <t>八月</t>
  </si>
  <si>
    <t>九月 -&gt;</t>
  </si>
  <si>
    <t>&lt;- 七月</t>
  </si>
  <si>
    <t>九月</t>
  </si>
  <si>
    <t>十月 -&gt;</t>
  </si>
  <si>
    <t>&lt;- 八月</t>
  </si>
  <si>
    <t>十月</t>
  </si>
  <si>
    <t>十一月 -&gt;</t>
  </si>
  <si>
    <t>&lt;- 九月</t>
  </si>
  <si>
    <t>十一月</t>
  </si>
  <si>
    <t>十二月 -&gt;</t>
  </si>
  <si>
    <t>&lt;- 十月</t>
  </si>
  <si>
    <t>十二月</t>
  </si>
  <si>
    <t>一月 -&gt;</t>
  </si>
  <si>
    <t>&lt;- 十一月</t>
  </si>
  <si>
    <t>办健身卡，体重56.5kg</t>
    <phoneticPr fontId="16" type="noConversion"/>
  </si>
  <si>
    <t>体检体重57kg</t>
    <phoneticPr fontId="16" type="noConversion"/>
  </si>
  <si>
    <t>周计划</t>
    <phoneticPr fontId="1" type="noConversion"/>
  </si>
  <si>
    <t>1）完成“设备系统2.0”；2）尽量重新开始锻炼；3）读一本书；</t>
    <phoneticPr fontId="1" type="noConversion"/>
  </si>
  <si>
    <t>1）熟悉HIS；2）移动查房；</t>
    <phoneticPr fontId="1" type="noConversion"/>
  </si>
  <si>
    <t>一起看了个电影，看完好累</t>
    <phoneticPr fontId="1" type="noConversion"/>
  </si>
  <si>
    <t>读《优势谈判》、《谈判是什么》</t>
    <phoneticPr fontId="1" type="noConversion"/>
  </si>
  <si>
    <t>晓磊《产品经理课程》知识消化；看《电商产品经理宝典》；</t>
    <phoneticPr fontId="1" type="noConversion"/>
  </si>
  <si>
    <t>复习axure；</t>
    <phoneticPr fontId="1" type="noConversion"/>
  </si>
  <si>
    <t>规划电商建设方案（后台）；开始学习商业模式；</t>
    <phoneticPr fontId="1" type="noConversion"/>
  </si>
  <si>
    <t>Axure强化</t>
    <phoneticPr fontId="1" type="noConversion"/>
  </si>
  <si>
    <t>“三节课”产品经理P1</t>
    <phoneticPr fontId="1" type="noConversion"/>
  </si>
  <si>
    <t>“三节课”产品经理P1</t>
    <phoneticPr fontId="1" type="noConversion"/>
  </si>
  <si>
    <t>认识薇薇</t>
    <phoneticPr fontId="1" type="noConversion"/>
  </si>
  <si>
    <t>“三节课”产品运营P1；“产品经理P2”；</t>
    <phoneticPr fontId="1" type="noConversion"/>
  </si>
  <si>
    <t>整理产品工作方法论：《三节课P1、P2》、《启示录》</t>
    <phoneticPr fontId="1" type="noConversion"/>
  </si>
  <si>
    <t>二</t>
  </si>
  <si>
    <t>日</t>
  </si>
  <si>
    <t>六</t>
  </si>
  <si>
    <t>五</t>
  </si>
  <si>
    <t>四</t>
  </si>
  <si>
    <t>三</t>
  </si>
  <si>
    <t>分点突破</t>
    <phoneticPr fontId="1" type="noConversion"/>
  </si>
  <si>
    <t>完成</t>
  </si>
  <si>
    <t>《三节课》P2</t>
    <phoneticPr fontId="1" type="noConversion"/>
  </si>
  <si>
    <t>备注</t>
    <phoneticPr fontId="1" type="noConversion"/>
  </si>
  <si>
    <t>备注</t>
    <phoneticPr fontId="1" type="noConversion"/>
  </si>
  <si>
    <t>Deadline</t>
    <phoneticPr fontId="1" type="noConversion"/>
  </si>
  <si>
    <t>Deadline</t>
    <phoneticPr fontId="1" type="noConversion"/>
  </si>
  <si>
    <t>二级事项</t>
    <phoneticPr fontId="1" type="noConversion"/>
  </si>
  <si>
    <t>一级事项</t>
    <phoneticPr fontId="1" type="noConversion"/>
  </si>
  <si>
    <t>工作日</t>
    <phoneticPr fontId="1" type="noConversion"/>
  </si>
  <si>
    <t>日期</t>
    <phoneticPr fontId="1" type="noConversion"/>
  </si>
  <si>
    <t>Done</t>
    <phoneticPr fontId="1" type="noConversion"/>
  </si>
  <si>
    <t>Deadline</t>
    <phoneticPr fontId="1" type="noConversion"/>
  </si>
  <si>
    <t>Deadline</t>
    <phoneticPr fontId="1" type="noConversion"/>
  </si>
  <si>
    <t>整理产品经理工作阶段</t>
    <phoneticPr fontId="1" type="noConversion"/>
  </si>
  <si>
    <t>待续</t>
  </si>
  <si>
    <t>用户分析、需求挖掘、产品调研、功能/流程、原型/PRD</t>
    <phoneticPr fontId="1" type="noConversion"/>
  </si>
  <si>
    <t>Status</t>
    <phoneticPr fontId="1" type="noConversion"/>
  </si>
  <si>
    <t>虚拟机配环境</t>
    <phoneticPr fontId="1" type="noConversion"/>
  </si>
  <si>
    <t>sogou，Chrome，virtualenv、virtualenvwrapper</t>
    <phoneticPr fontId="1" type="noConversion"/>
  </si>
  <si>
    <t>用户分析P2</t>
    <phoneticPr fontId="1" type="noConversion"/>
  </si>
  <si>
    <t>用户分析P1</t>
    <phoneticPr fontId="1" type="noConversion"/>
  </si>
  <si>
    <t>数据分析</t>
    <phoneticPr fontId="1" type="noConversion"/>
  </si>
  <si>
    <t>《深入浅出数据分析》《深入浅出统计学》</t>
    <phoneticPr fontId="1" type="noConversion"/>
  </si>
  <si>
    <t>《统计》</t>
    <phoneticPr fontId="1" type="noConversion"/>
  </si>
  <si>
    <t>到手工资</t>
    <phoneticPr fontId="1" type="noConversion"/>
  </si>
  <si>
    <t>个税</t>
    <phoneticPr fontId="1" type="noConversion"/>
  </si>
  <si>
    <t>日</t>
    <phoneticPr fontId="1" type="noConversion"/>
  </si>
  <si>
    <t>连续性概率分布</t>
    <phoneticPr fontId="1" type="noConversion"/>
  </si>
  <si>
    <t>区间估计</t>
    <phoneticPr fontId="1" type="noConversion"/>
  </si>
  <si>
    <t>抽样和抽样分布</t>
    <phoneticPr fontId="1" type="noConversion"/>
  </si>
  <si>
    <t>《线代》</t>
    <phoneticPr fontId="1" type="noConversion"/>
  </si>
  <si>
    <t>矩阵加法、乘法、逆（高斯消元法）</t>
    <phoneticPr fontId="1" type="noConversion"/>
  </si>
  <si>
    <t>开发基础</t>
    <phoneticPr fontId="1" type="noConversion"/>
  </si>
  <si>
    <t>产品经理</t>
    <phoneticPr fontId="1" type="noConversion"/>
  </si>
  <si>
    <t>后台开发</t>
    <phoneticPr fontId="1" type="noConversion"/>
  </si>
  <si>
    <t xml:space="preserve">    3、sql</t>
    <phoneticPr fontId="1" type="noConversion"/>
  </si>
  <si>
    <t>数据分析：</t>
    <phoneticPr fontId="1" type="noConversion"/>
  </si>
  <si>
    <t>机器学习：</t>
    <phoneticPr fontId="1" type="noConversion"/>
  </si>
  <si>
    <t>开发、产品</t>
    <phoneticPr fontId="1" type="noConversion"/>
  </si>
  <si>
    <t xml:space="preserve">    2、Tensorflow：Google深度学习框架</t>
    <phoneticPr fontId="1" type="noConversion"/>
  </si>
  <si>
    <t xml:space="preserve">    1、理论基础（微积分、线代、统计）</t>
    <phoneticPr fontId="1" type="noConversion"/>
  </si>
  <si>
    <t xml:space="preserve">    1、微积分、线代、统计、凸优化、N大机器学习算法</t>
    <phoneticPr fontId="1" type="noConversion"/>
  </si>
  <si>
    <t>快速过</t>
    <phoneticPr fontId="1" type="noConversion"/>
  </si>
  <si>
    <t>4、5</t>
    <phoneticPr fontId="1" type="noConversion"/>
  </si>
  <si>
    <t>1、2、3</t>
    <phoneticPr fontId="1" type="noConversion"/>
  </si>
  <si>
    <t>7、8、 9</t>
    <phoneticPr fontId="1" type="noConversion"/>
  </si>
  <si>
    <t>单变量线性回归</t>
    <phoneticPr fontId="1" type="noConversion"/>
  </si>
  <si>
    <t>产品设计</t>
    <phoneticPr fontId="1" type="noConversion"/>
  </si>
  <si>
    <t>人生规划：</t>
    <phoneticPr fontId="1" type="noConversion"/>
  </si>
  <si>
    <t>注：</t>
    <phoneticPr fontId="1" type="noConversion"/>
  </si>
  <si>
    <t>穿插numpy/pandas学习</t>
    <phoneticPr fontId="1" type="noConversion"/>
  </si>
  <si>
    <t xml:space="preserve">    3、Keras：基于TensorFlow构建的深度学习框架</t>
    <phoneticPr fontId="1" type="noConversion"/>
  </si>
  <si>
    <t xml:space="preserve">    3 寻找商机，投资、创业（？年）</t>
    <phoneticPr fontId="1" type="noConversion"/>
  </si>
  <si>
    <t>华为发布会</t>
    <phoneticPr fontId="1" type="noConversion"/>
  </si>
  <si>
    <t xml:space="preserve">    2 知识学习、合作并重</t>
    <phoneticPr fontId="1" type="noConversion"/>
  </si>
  <si>
    <t>神经网络</t>
    <phoneticPr fontId="1" type="noConversion"/>
  </si>
  <si>
    <t>决策树</t>
    <phoneticPr fontId="1" type="noConversion"/>
  </si>
  <si>
    <t>原理、算法</t>
    <phoneticPr fontId="1" type="noConversion"/>
  </si>
  <si>
    <t>信息论</t>
    <phoneticPr fontId="1" type="noConversion"/>
  </si>
  <si>
    <t>ID3/C4.5</t>
    <phoneticPr fontId="1" type="noConversion"/>
  </si>
  <si>
    <t>remark</t>
    <phoneticPr fontId="1" type="noConversion"/>
  </si>
  <si>
    <t>机器学习开始</t>
    <phoneticPr fontId="1" type="noConversion"/>
  </si>
  <si>
    <t>逻辑回归算法实现</t>
    <phoneticPr fontId="1" type="noConversion"/>
  </si>
  <si>
    <t>Body</t>
    <phoneticPr fontId="1" type="noConversion"/>
  </si>
  <si>
    <t>Head</t>
    <phoneticPr fontId="1" type="noConversion"/>
  </si>
  <si>
    <t>Week</t>
    <phoneticPr fontId="1" type="noConversion"/>
  </si>
  <si>
    <t>Date</t>
    <phoneticPr fontId="1" type="noConversion"/>
  </si>
  <si>
    <t>Date</t>
    <phoneticPr fontId="1" type="noConversion"/>
  </si>
  <si>
    <t>沈银结婚</t>
    <phoneticPr fontId="1" type="noConversion"/>
  </si>
  <si>
    <t>age</t>
    <phoneticPr fontId="1" type="noConversion"/>
  </si>
  <si>
    <t xml:space="preserve">    2 学会合作——产品、运营、管理（？年）</t>
    <phoneticPr fontId="1" type="noConversion"/>
  </si>
  <si>
    <t xml:space="preserve">    1 学习技术、理论学习（1年，2020年）</t>
    <phoneticPr fontId="1" type="noConversion"/>
  </si>
  <si>
    <t xml:space="preserve">    1 坚持学习、寻找投资机会，实现指数增长</t>
    <phoneticPr fontId="1" type="noConversion"/>
  </si>
  <si>
    <t xml:space="preserve">    2、python(np、pd、plt、sklearn)</t>
    <phoneticPr fontId="1" type="noConversion"/>
  </si>
  <si>
    <t xml:space="preserve">    4、《周志华-机器学习》、《机器学习实战》、《统计学习方法》</t>
    <phoneticPr fontId="1" type="noConversion"/>
  </si>
  <si>
    <t xml:space="preserve">    3、《深入浅出数据分析》</t>
    <phoneticPr fontId="1" type="noConversion"/>
  </si>
  <si>
    <t xml:space="preserve">    2、《数据挖掘导论》、《数据挖掘》</t>
    <phoneticPr fontId="1" type="noConversion"/>
  </si>
  <si>
    <t>读书：</t>
    <phoneticPr fontId="1" type="noConversion"/>
  </si>
  <si>
    <t xml:space="preserve">    4、吴恩达-机器学习</t>
    <phoneticPr fontId="1" type="noConversion"/>
  </si>
  <si>
    <t>买礼物，去深圳约会；产品知识进阶</t>
    <phoneticPr fontId="1" type="noConversion"/>
  </si>
  <si>
    <t>remark</t>
    <phoneticPr fontId="1" type="noConversion"/>
  </si>
  <si>
    <t>list</t>
    <phoneticPr fontId="1" type="noConversion"/>
  </si>
  <si>
    <t>卷积神经网络</t>
    <phoneticPr fontId="1" type="noConversion"/>
  </si>
  <si>
    <t>—</t>
    <phoneticPr fontId="1" type="noConversion"/>
  </si>
  <si>
    <t>回家</t>
    <phoneticPr fontId="1" type="noConversion"/>
  </si>
  <si>
    <t>水费</t>
    <phoneticPr fontId="1" type="noConversion"/>
  </si>
  <si>
    <t>电费</t>
    <phoneticPr fontId="1" type="noConversion"/>
  </si>
  <si>
    <t>房租</t>
    <phoneticPr fontId="1" type="noConversion"/>
  </si>
  <si>
    <t>共扣</t>
    <phoneticPr fontId="1" type="noConversion"/>
  </si>
  <si>
    <t>still BP</t>
    <phoneticPr fontId="1" type="noConversion"/>
  </si>
  <si>
    <t>BP</t>
    <phoneticPr fontId="1" type="noConversion"/>
  </si>
  <si>
    <t>张宇《线代》</t>
    <phoneticPr fontId="1" type="noConversion"/>
  </si>
  <si>
    <t>《高数》</t>
    <phoneticPr fontId="1" type="noConversion"/>
  </si>
  <si>
    <t>《商务与经济统计》</t>
    <phoneticPr fontId="1" type="noConversion"/>
  </si>
  <si>
    <t>跑步</t>
    <phoneticPr fontId="1" type="noConversion"/>
  </si>
  <si>
    <t>可视化：</t>
    <phoneticPr fontId="1" type="noConversion"/>
  </si>
  <si>
    <t>中秋</t>
    <phoneticPr fontId="1" type="noConversion"/>
  </si>
  <si>
    <t xml:space="preserve">    -待发掘</t>
    <phoneticPr fontId="1" type="noConversion"/>
  </si>
  <si>
    <t>未完成</t>
  </si>
  <si>
    <t>支持向量机</t>
    <phoneticPr fontId="1" type="noConversion"/>
  </si>
  <si>
    <t>假期结束回广州</t>
    <phoneticPr fontId="1" type="noConversion"/>
  </si>
  <si>
    <t>乐昌嗨皮</t>
    <phoneticPr fontId="1" type="noConversion"/>
  </si>
  <si>
    <t>《魔道》终，《星辰》始</t>
    <phoneticPr fontId="1" type="noConversion"/>
  </si>
  <si>
    <t>《闪电侠》回归</t>
    <phoneticPr fontId="1" type="noConversion"/>
  </si>
  <si>
    <t>Done</t>
  </si>
  <si>
    <t>月支</t>
    <phoneticPr fontId="1" type="noConversion"/>
  </si>
  <si>
    <t>月初</t>
    <phoneticPr fontId="1" type="noConversion"/>
  </si>
  <si>
    <t>月份</t>
    <phoneticPr fontId="1" type="noConversion"/>
  </si>
  <si>
    <t>2月</t>
    <phoneticPr fontId="1" type="noConversion"/>
  </si>
  <si>
    <t>3月</t>
    <phoneticPr fontId="1" type="noConversion"/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</si>
  <si>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</si>
  <si>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</si>
  <si>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</si>
  <si>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</si>
  <si>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</si>
  <si>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</si>
  <si>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</si>
  <si>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</si>
  <si>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</si>
  <si>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存款</t>
    <phoneticPr fontId="1" type="noConversion"/>
  </si>
  <si>
    <t>掌握基本型（后续还需要加强理解）</t>
    <phoneticPr fontId="1" type="noConversion"/>
  </si>
  <si>
    <t>吴恩达</t>
    <phoneticPr fontId="1" type="noConversion"/>
  </si>
  <si>
    <t>系统设计</t>
    <phoneticPr fontId="1" type="noConversion"/>
  </si>
  <si>
    <t>电子产品</t>
    <phoneticPr fontId="1" type="noConversion"/>
  </si>
  <si>
    <t>缴公积金</t>
    <phoneticPr fontId="1" type="noConversion"/>
  </si>
  <si>
    <t>缴社保</t>
    <phoneticPr fontId="1" type="noConversion"/>
  </si>
  <si>
    <t>社保总</t>
    <phoneticPr fontId="1" type="noConversion"/>
  </si>
  <si>
    <t>公积金总</t>
    <phoneticPr fontId="1" type="noConversion"/>
  </si>
  <si>
    <t>其他</t>
    <phoneticPr fontId="1" type="noConversion"/>
  </si>
  <si>
    <t>穿</t>
    <phoneticPr fontId="1" type="noConversion"/>
  </si>
  <si>
    <t>吃</t>
    <phoneticPr fontId="1" type="noConversion"/>
  </si>
  <si>
    <t>恩格尔系数</t>
    <phoneticPr fontId="1" type="noConversion"/>
  </si>
  <si>
    <t>娱乐</t>
    <phoneticPr fontId="1" type="noConversion"/>
  </si>
  <si>
    <t>【拉格朗日乘子法】</t>
    <phoneticPr fontId="1" type="noConversion"/>
  </si>
  <si>
    <t>1月</t>
    <phoneticPr fontId="1" type="noConversion"/>
  </si>
  <si>
    <t>汇总</t>
    <phoneticPr fontId="1" type="noConversion"/>
  </si>
  <si>
    <t>吴恩达-系统设计</t>
    <phoneticPr fontId="1" type="noConversion"/>
  </si>
  <si>
    <t>【拉格朗日乘子法】</t>
    <phoneticPr fontId="1" type="noConversion"/>
  </si>
  <si>
    <t>TBC</t>
  </si>
  <si>
    <t>债务</t>
    <phoneticPr fontId="1" type="noConversion"/>
  </si>
  <si>
    <t>追番：</t>
    <phoneticPr fontId="1" type="noConversion"/>
  </si>
  <si>
    <t>数学分析能力</t>
    <phoneticPr fontId="1" type="noConversion"/>
  </si>
  <si>
    <t>数据产品经理</t>
    <phoneticPr fontId="1" type="noConversion"/>
  </si>
  <si>
    <t>数据能力如何培养？</t>
    <phoneticPr fontId="1" type="noConversion"/>
  </si>
  <si>
    <t xml:space="preserve">    1 数学理论掌握：统计学、指标体系建立；</t>
    <phoneticPr fontId="1" type="noConversion"/>
  </si>
  <si>
    <t xml:space="preserve">    2 数据分析工具掌握：sql、python</t>
    <phoneticPr fontId="1" type="noConversion"/>
  </si>
  <si>
    <r>
      <t xml:space="preserve">    </t>
    </r>
    <r>
      <rPr>
        <sz val="11"/>
        <color theme="1"/>
        <rFont val="等线"/>
        <family val="3"/>
        <charset val="134"/>
        <scheme val="minor"/>
      </rPr>
      <t>3 进阶：数据挖掘、机器学习</t>
    </r>
    <phoneticPr fontId="1" type="noConversion"/>
  </si>
  <si>
    <t>学习计划：</t>
    <phoneticPr fontId="1" type="noConversion"/>
  </si>
  <si>
    <t xml:space="preserve">    1、《web analytics 2.0》</t>
    <phoneticPr fontId="1" type="noConversion"/>
  </si>
  <si>
    <t>个税</t>
    <phoneticPr fontId="1" type="noConversion"/>
  </si>
  <si>
    <t>聚餐</t>
    <phoneticPr fontId="1" type="noConversion"/>
  </si>
  <si>
    <t>社保</t>
    <phoneticPr fontId="1" type="noConversion"/>
  </si>
  <si>
    <t>公积金</t>
    <phoneticPr fontId="1" type="noConversion"/>
  </si>
  <si>
    <t>日常吃饭</t>
    <phoneticPr fontId="1" type="noConversion"/>
  </si>
  <si>
    <t>初始</t>
    <phoneticPr fontId="1" type="noConversion"/>
  </si>
  <si>
    <t>月度支出</t>
    <phoneticPr fontId="1" type="noConversion"/>
  </si>
  <si>
    <t>增长率</t>
    <phoneticPr fontId="1" type="noConversion"/>
  </si>
  <si>
    <t>增长因子</t>
    <phoneticPr fontId="1" type="noConversion"/>
  </si>
  <si>
    <t>每月扣除</t>
    <phoneticPr fontId="1" type="noConversion"/>
  </si>
  <si>
    <t>学习经费</t>
    <phoneticPr fontId="1" type="noConversion"/>
  </si>
  <si>
    <t>穿戴背</t>
    <phoneticPr fontId="1" type="noConversion"/>
  </si>
  <si>
    <t>小米笔记本</t>
    <phoneticPr fontId="1" type="noConversion"/>
  </si>
  <si>
    <t>台电平板</t>
    <phoneticPr fontId="1" type="noConversion"/>
  </si>
  <si>
    <t>魅族16X，乐昌</t>
    <phoneticPr fontId="1" type="noConversion"/>
  </si>
  <si>
    <t>恩格尔系数</t>
    <phoneticPr fontId="1" type="noConversion"/>
  </si>
  <si>
    <t xml:space="preserve">    1 掌握工具：SQL、python数据分析</t>
    <phoneticPr fontId="1" type="noConversion"/>
  </si>
  <si>
    <t>未来之窗</t>
    <phoneticPr fontId="1" type="noConversion"/>
  </si>
  <si>
    <t>买房/年</t>
    <phoneticPr fontId="1" type="noConversion"/>
  </si>
  <si>
    <t>读研/年</t>
    <phoneticPr fontId="1" type="noConversion"/>
  </si>
  <si>
    <t>买车/年</t>
    <phoneticPr fontId="1" type="noConversion"/>
  </si>
  <si>
    <t xml:space="preserve">    2 理论：统计学深化；线代加强</t>
    <phoneticPr fontId="1" type="noConversion"/>
  </si>
  <si>
    <t xml:space="preserve">    3 英语瞎学</t>
    <phoneticPr fontId="1" type="noConversion"/>
  </si>
  <si>
    <t xml:space="preserve">    星期一：《生活大爆炸S12》《绝命律师S4》</t>
    <phoneticPr fontId="1" type="noConversion"/>
  </si>
  <si>
    <t xml:space="preserve">    星期二：《闪电侠S5》</t>
    <phoneticPr fontId="1" type="noConversion"/>
  </si>
  <si>
    <t>Year</t>
    <phoneticPr fontId="1" type="noConversion"/>
  </si>
  <si>
    <t>Plan</t>
    <phoneticPr fontId="1" type="noConversion"/>
  </si>
  <si>
    <t>Work</t>
    <phoneticPr fontId="1" type="noConversion"/>
  </si>
  <si>
    <t>Learn</t>
    <phoneticPr fontId="1" type="noConversion"/>
  </si>
  <si>
    <t>注：</t>
    <phoneticPr fontId="1" type="noConversion"/>
  </si>
  <si>
    <t xml:space="preserve">    星期五：《星辰变S1》</t>
    <phoneticPr fontId="1" type="noConversion"/>
  </si>
  <si>
    <t>均值</t>
    <phoneticPr fontId="1" type="noConversion"/>
  </si>
  <si>
    <t>总值</t>
    <phoneticPr fontId="1" type="noConversion"/>
  </si>
  <si>
    <t>每月汇总两次：15号发工资汇总一次；月底汇总一次，得出本月度明细</t>
    <phoneticPr fontId="1" type="noConversion"/>
  </si>
  <si>
    <t>倒计时/月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</si>
</sst>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d"/>
    <numFmt numFmtId="177" formatCode="m/d;@"/>
    <numFmt numFmtId="178" formatCode="0_ ;[Red]\-0\ "/>
    <numFmt numFmtId="179" formatCode="0.000_ ;[Red]\-0.000\ "/>
    <numFmt numFmtId="180" formatCode="0.00_ "/>
    <numFmt numFmtId="181" formatCode="0.00_ ;[Red]\-0.00\ "/>
    <numFmt numFmtId="182" formatCode="0_ "/>
  </numFmts>
  <fonts count="3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0.34998626667073579"/>
      <name val="等线"/>
      <family val="2"/>
      <scheme val="minor"/>
    </font>
    <font>
      <b/>
      <sz val="11"/>
      <color theme="1" tint="0.34998626667073579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Microsoft YaHei UI"/>
      <family val="2"/>
      <charset val="134"/>
    </font>
    <font>
      <b/>
      <sz val="34"/>
      <color theme="1"/>
      <name val="等线 Light"/>
      <family val="2"/>
      <scheme val="major"/>
    </font>
    <font>
      <b/>
      <sz val="34"/>
      <color theme="1"/>
      <name val="Microsoft YaHei UI"/>
      <family val="2"/>
      <charset val="134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Microsoft YaHei UI"/>
      <family val="2"/>
      <charset val="134"/>
    </font>
    <font>
      <b/>
      <sz val="11"/>
      <color theme="2" tint="-0.749961851863155"/>
      <name val="等线"/>
      <family val="2"/>
      <scheme val="minor"/>
    </font>
    <font>
      <b/>
      <sz val="11"/>
      <color theme="2" tint="-0.749961851863155"/>
      <name val="Microsoft YaHei UI"/>
      <family val="2"/>
      <charset val="134"/>
    </font>
    <font>
      <b/>
      <sz val="22"/>
      <color theme="1" tint="0.34998626667073579"/>
      <name val="等线 Light"/>
      <family val="2"/>
      <scheme val="major"/>
    </font>
    <font>
      <b/>
      <sz val="22"/>
      <color theme="1" tint="0.34998626667073579"/>
      <name val="Microsoft YaHei UI"/>
      <family val="2"/>
      <charset val="134"/>
    </font>
    <font>
      <i/>
      <sz val="11"/>
      <color theme="1" tint="0.34998626667073579"/>
      <name val="等线"/>
      <family val="2"/>
      <scheme val="minor"/>
    </font>
    <font>
      <i/>
      <sz val="11"/>
      <color theme="1" tint="0.34998626667073579"/>
      <name val="Microsoft YaHei UI"/>
      <family val="2"/>
      <charset val="134"/>
    </font>
    <font>
      <b/>
      <sz val="9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color theme="0"/>
      <name val="等线"/>
      <family val="3"/>
      <charset val="134"/>
      <scheme val="minor"/>
    </font>
    <font>
      <b/>
      <sz val="9"/>
      <color theme="0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9"/>
      <color theme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theme="9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</fills>
  <borders count="48">
    <border>
      <left/>
      <right/>
      <top/>
      <bottom/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medium">
        <color auto="1"/>
      </bottom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 style="thin">
        <color theme="0"/>
      </top>
      <bottom style="thin">
        <color theme="0"/>
      </bottom>
      <diagonal/>
    </border>
    <border>
      <left/>
      <right/>
      <top style="double">
        <color theme="0"/>
      </top>
      <bottom style="double">
        <color theme="0"/>
      </bottom>
      <diagonal/>
    </border>
    <border>
      <left/>
      <right style="double">
        <color theme="0" tint="-0.499984740745262"/>
      </right>
      <top style="double">
        <color theme="0"/>
      </top>
      <bottom style="double">
        <color theme="0"/>
      </bottom>
      <diagonal/>
    </border>
    <border>
      <left/>
      <right/>
      <top style="double">
        <color theme="0"/>
      </top>
      <bottom/>
      <diagonal/>
    </border>
    <border>
      <left/>
      <right style="double">
        <color theme="0" tint="-0.499984740745262"/>
      </right>
      <top style="double">
        <color theme="0"/>
      </top>
      <bottom/>
      <diagonal/>
    </border>
    <border>
      <left/>
      <right/>
      <top/>
      <bottom style="double">
        <color theme="0"/>
      </bottom>
      <diagonal/>
    </border>
    <border>
      <left/>
      <right style="double">
        <color theme="0" tint="-0.499984740745262"/>
      </right>
      <top/>
      <bottom style="double">
        <color theme="0"/>
      </bottom>
      <diagonal/>
    </border>
    <border>
      <left/>
      <right style="double">
        <color theme="0" tint="-0.499984740745262"/>
      </right>
      <top style="double">
        <color theme="0" tint="-0.499984740745262"/>
      </top>
      <bottom style="thin">
        <color theme="0"/>
      </bottom>
      <diagonal/>
    </border>
    <border>
      <left/>
      <right/>
      <top style="double">
        <color theme="0" tint="-0.499984740745262"/>
      </top>
      <bottom style="thin">
        <color theme="0"/>
      </bottom>
      <diagonal/>
    </border>
    <border>
      <left/>
      <right/>
      <top style="double">
        <color auto="1"/>
      </top>
      <bottom/>
      <diagonal/>
    </border>
    <border>
      <left/>
      <right style="double">
        <color theme="0" tint="-0.499984740745262"/>
      </right>
      <top style="double">
        <color auto="1"/>
      </top>
      <bottom/>
      <diagonal/>
    </border>
    <border>
      <left style="medium">
        <color auto="1"/>
      </left>
      <right/>
      <top style="double">
        <color auto="1"/>
      </top>
      <bottom/>
      <diagonal/>
    </border>
    <border>
      <left style="double">
        <color theme="0" tint="-0.499984740745262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 style="thin">
        <color theme="2" tint="-0.499984740745262"/>
      </bottom>
      <diagonal/>
    </border>
    <border>
      <left/>
      <right style="thick">
        <color auto="1"/>
      </right>
      <top style="medium">
        <color auto="1"/>
      </top>
      <bottom style="thin">
        <color theme="2" tint="-0.49998474074526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medium">
        <color auto="1"/>
      </top>
      <bottom style="thin">
        <color theme="2" tint="-0.499984740745262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medium">
        <color auto="1"/>
      </right>
      <top style="medium">
        <color auto="1"/>
      </top>
      <bottom style="thin">
        <color theme="2" tint="-0.499984740745262"/>
      </bottom>
      <diagonal/>
    </border>
    <border>
      <left style="thin">
        <color theme="0" tint="-0.34998626667073579"/>
      </left>
      <right/>
      <top style="thin">
        <color theme="2" tint="-0.499984740745262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theme="2" tint="-0.499984740745262"/>
      </top>
      <bottom/>
      <diagonal/>
    </border>
  </borders>
  <cellStyleXfs count="11">
    <xf numFmtId="0" fontId="0" fillId="0" borderId="0"/>
    <xf numFmtId="0" fontId="2" fillId="0" borderId="0">
      <alignment horizontal="left" vertical="top" wrapText="1" indent="1"/>
    </xf>
    <xf numFmtId="0" fontId="2" fillId="0" borderId="1">
      <alignment horizontal="left" vertical="top" wrapText="1" indent="1"/>
    </xf>
    <xf numFmtId="176" fontId="4" fillId="0" borderId="1" applyFill="0" applyProtection="0">
      <alignment horizontal="left" indent="1"/>
    </xf>
    <xf numFmtId="0" fontId="4" fillId="0" borderId="0" applyNumberFormat="0" applyFill="0" applyProtection="0">
      <alignment vertical="top"/>
    </xf>
    <xf numFmtId="0" fontId="6" fillId="0" borderId="0" applyNumberFormat="0" applyFill="0" applyBorder="0" applyProtection="0">
      <alignment horizontal="left" vertical="top"/>
    </xf>
    <xf numFmtId="0" fontId="8" fillId="0" borderId="0" applyNumberFormat="0" applyFill="0" applyProtection="0">
      <alignment horizontal="center" vertical="top"/>
    </xf>
    <xf numFmtId="0" fontId="10" fillId="0" borderId="0" applyNumberFormat="0" applyFill="0" applyAlignment="0" applyProtection="0"/>
    <xf numFmtId="0" fontId="12" fillId="0" borderId="0" applyNumberFormat="0" applyFill="0" applyBorder="0" applyProtection="0">
      <alignment horizontal="left"/>
    </xf>
    <xf numFmtId="0" fontId="2" fillId="0" borderId="0">
      <alignment horizontal="left" vertical="top"/>
    </xf>
    <xf numFmtId="0" fontId="14" fillId="0" borderId="0" applyNumberFormat="0" applyFill="0" applyBorder="0" applyAlignment="0" applyProtection="0"/>
  </cellStyleXfs>
  <cellXfs count="145">
    <xf numFmtId="0" fontId="0" fillId="0" borderId="0" xfId="0"/>
    <xf numFmtId="0" fontId="3" fillId="0" borderId="0" xfId="1" applyFont="1">
      <alignment horizontal="left" vertical="top" wrapText="1" indent="1"/>
    </xf>
    <xf numFmtId="0" fontId="3" fillId="0" borderId="1" xfId="2" applyFont="1">
      <alignment horizontal="left" vertical="top" wrapText="1" indent="1"/>
    </xf>
    <xf numFmtId="176" fontId="5" fillId="0" borderId="1" xfId="3" applyFont="1">
      <alignment horizontal="left" indent="1"/>
    </xf>
    <xf numFmtId="0" fontId="5" fillId="0" borderId="0" xfId="4" applyFont="1">
      <alignment vertical="top"/>
    </xf>
    <xf numFmtId="0" fontId="7" fillId="0" borderId="0" xfId="5" applyFont="1" applyAlignment="1">
      <alignment horizontal="center" vertical="top"/>
    </xf>
    <xf numFmtId="176" fontId="7" fillId="0" borderId="0" xfId="5" applyNumberFormat="1" applyFont="1">
      <alignment horizontal="left" vertical="top"/>
    </xf>
    <xf numFmtId="0" fontId="9" fillId="0" borderId="0" xfId="6" applyFont="1">
      <alignment horizontal="center" vertical="top"/>
    </xf>
    <xf numFmtId="0" fontId="11" fillId="0" borderId="0" xfId="7" applyFont="1" applyAlignment="1">
      <alignment horizontal="left" vertical="top"/>
    </xf>
    <xf numFmtId="0" fontId="13" fillId="0" borderId="0" xfId="8" applyFont="1">
      <alignment horizontal="left"/>
    </xf>
    <xf numFmtId="0" fontId="3" fillId="0" borderId="0" xfId="9" applyFont="1">
      <alignment horizontal="left" vertical="top"/>
    </xf>
    <xf numFmtId="0" fontId="15" fillId="0" borderId="0" xfId="10" applyFont="1" applyAlignment="1">
      <alignment horizontal="left" vertical="top"/>
    </xf>
    <xf numFmtId="176" fontId="5" fillId="0" borderId="1" xfId="3" applyFont="1" applyBorder="1">
      <alignment horizontal="left" indent="1"/>
    </xf>
    <xf numFmtId="0" fontId="3" fillId="0" borderId="1" xfId="1" applyFont="1" applyBorder="1">
      <alignment horizontal="left" vertical="top" wrapText="1" indent="1"/>
    </xf>
    <xf numFmtId="0" fontId="3" fillId="2" borderId="1" xfId="2" applyFont="1" applyFill="1">
      <alignment horizontal="left" vertical="top" wrapText="1" indent="1"/>
    </xf>
    <xf numFmtId="0" fontId="0" fillId="0" borderId="0" xfId="0" applyFill="1"/>
    <xf numFmtId="0" fontId="0" fillId="0" borderId="0" xfId="0" applyAlignment="1">
      <alignment horizontal="center"/>
    </xf>
    <xf numFmtId="0" fontId="21" fillId="0" borderId="0" xfId="0" applyFont="1" applyAlignment="1">
      <alignment vertical="top" wrapText="1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18" fillId="6" borderId="14" xfId="0" applyFont="1" applyFill="1" applyBorder="1" applyAlignment="1">
      <alignment horizontal="center" vertical="center"/>
    </xf>
    <xf numFmtId="0" fontId="18" fillId="6" borderId="13" xfId="0" applyFont="1" applyFill="1" applyBorder="1" applyAlignment="1">
      <alignment horizontal="center" vertical="center"/>
    </xf>
    <xf numFmtId="58" fontId="0" fillId="5" borderId="11" xfId="0" applyNumberFormat="1" applyFill="1" applyBorder="1"/>
    <xf numFmtId="0" fontId="0" fillId="5" borderId="12" xfId="0" applyFill="1" applyBorder="1" applyAlignment="1">
      <alignment horizontal="center"/>
    </xf>
    <xf numFmtId="0" fontId="0" fillId="5" borderId="11" xfId="0" applyFill="1" applyBorder="1"/>
    <xf numFmtId="0" fontId="17" fillId="5" borderId="11" xfId="0" applyFont="1" applyFill="1" applyBorder="1"/>
    <xf numFmtId="58" fontId="0" fillId="3" borderId="11" xfId="0" applyNumberFormat="1" applyFill="1" applyBorder="1"/>
    <xf numFmtId="0" fontId="0" fillId="3" borderId="12" xfId="0" applyFill="1" applyBorder="1" applyAlignment="1">
      <alignment horizontal="center"/>
    </xf>
    <xf numFmtId="0" fontId="0" fillId="3" borderId="11" xfId="0" applyFill="1" applyBorder="1"/>
    <xf numFmtId="0" fontId="17" fillId="3" borderId="11" xfId="0" applyFont="1" applyFill="1" applyBorder="1"/>
    <xf numFmtId="0" fontId="0" fillId="5" borderId="11" xfId="0" applyNumberFormat="1" applyFill="1" applyBorder="1"/>
    <xf numFmtId="0" fontId="0" fillId="3" borderId="11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7" xfId="0" applyBorder="1" applyAlignment="1">
      <alignment horizontal="left"/>
    </xf>
    <xf numFmtId="0" fontId="19" fillId="3" borderId="11" xfId="0" applyFont="1" applyFill="1" applyBorder="1"/>
    <xf numFmtId="177" fontId="0" fillId="3" borderId="11" xfId="0" applyNumberFormat="1" applyFill="1" applyBorder="1"/>
    <xf numFmtId="177" fontId="0" fillId="5" borderId="11" xfId="0" applyNumberFormat="1" applyFill="1" applyBorder="1"/>
    <xf numFmtId="0" fontId="22" fillId="0" borderId="16" xfId="0" applyFont="1" applyBorder="1" applyAlignment="1"/>
    <xf numFmtId="0" fontId="22" fillId="0" borderId="16" xfId="0" applyFont="1" applyBorder="1"/>
    <xf numFmtId="0" fontId="23" fillId="4" borderId="27" xfId="0" applyFont="1" applyFill="1" applyBorder="1" applyAlignment="1">
      <alignment horizontal="center" vertical="center"/>
    </xf>
    <xf numFmtId="0" fontId="23" fillId="4" borderId="28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left"/>
    </xf>
    <xf numFmtId="49" fontId="0" fillId="3" borderId="11" xfId="0" applyNumberFormat="1" applyFill="1" applyBorder="1" applyAlignment="1">
      <alignment horizontal="left"/>
    </xf>
    <xf numFmtId="0" fontId="25" fillId="8" borderId="32" xfId="0" applyFont="1" applyFill="1" applyBorder="1" applyAlignment="1">
      <alignment horizontal="center" vertical="center" wrapText="1"/>
    </xf>
    <xf numFmtId="0" fontId="25" fillId="8" borderId="0" xfId="0" applyFont="1" applyFill="1" applyBorder="1" applyAlignment="1">
      <alignment horizontal="center" vertical="center" wrapText="1"/>
    </xf>
    <xf numFmtId="0" fontId="25" fillId="8" borderId="0" xfId="0" applyFont="1" applyFill="1" applyBorder="1"/>
    <xf numFmtId="0" fontId="25" fillId="8" borderId="32" xfId="0" applyFont="1" applyFill="1" applyBorder="1"/>
    <xf numFmtId="0" fontId="25" fillId="8" borderId="33" xfId="0" applyFont="1" applyFill="1" applyBorder="1"/>
    <xf numFmtId="0" fontId="25" fillId="7" borderId="0" xfId="0" applyNumberFormat="1" applyFont="1" applyFill="1" applyBorder="1" applyAlignment="1">
      <alignment horizontal="center"/>
    </xf>
    <xf numFmtId="178" fontId="27" fillId="7" borderId="0" xfId="0" applyNumberFormat="1" applyFont="1" applyFill="1" applyBorder="1"/>
    <xf numFmtId="178" fontId="25" fillId="7" borderId="0" xfId="0" applyNumberFormat="1" applyFont="1" applyFill="1" applyBorder="1"/>
    <xf numFmtId="178" fontId="28" fillId="7" borderId="0" xfId="0" applyNumberFormat="1" applyFont="1" applyFill="1" applyBorder="1"/>
    <xf numFmtId="0" fontId="25" fillId="7" borderId="32" xfId="0" applyFont="1" applyFill="1" applyBorder="1" applyAlignment="1">
      <alignment horizontal="left"/>
    </xf>
    <xf numFmtId="0" fontId="26" fillId="7" borderId="34" xfId="0" applyFont="1" applyFill="1" applyBorder="1" applyAlignment="1">
      <alignment horizontal="center" vertical="center" wrapText="1"/>
    </xf>
    <xf numFmtId="0" fontId="26" fillId="7" borderId="35" xfId="0" applyFont="1" applyFill="1" applyBorder="1" applyAlignment="1">
      <alignment horizontal="center" vertical="center" wrapText="1"/>
    </xf>
    <xf numFmtId="0" fontId="26" fillId="8" borderId="36" xfId="0" applyFont="1" applyFill="1" applyBorder="1"/>
    <xf numFmtId="0" fontId="25" fillId="7" borderId="38" xfId="0" applyNumberFormat="1" applyFont="1" applyFill="1" applyBorder="1" applyAlignment="1">
      <alignment horizontal="center"/>
    </xf>
    <xf numFmtId="178" fontId="27" fillId="7" borderId="38" xfId="0" applyNumberFormat="1" applyFont="1" applyFill="1" applyBorder="1"/>
    <xf numFmtId="178" fontId="25" fillId="7" borderId="38" xfId="0" applyNumberFormat="1" applyFont="1" applyFill="1" applyBorder="1"/>
    <xf numFmtId="178" fontId="28" fillId="7" borderId="38" xfId="0" applyNumberFormat="1" applyFont="1" applyFill="1" applyBorder="1"/>
    <xf numFmtId="178" fontId="31" fillId="7" borderId="38" xfId="0" applyNumberFormat="1" applyFont="1" applyFill="1" applyBorder="1"/>
    <xf numFmtId="180" fontId="26" fillId="7" borderId="37" xfId="0" applyNumberFormat="1" applyFont="1" applyFill="1" applyBorder="1" applyAlignment="1">
      <alignment horizontal="center"/>
    </xf>
    <xf numFmtId="0" fontId="26" fillId="7" borderId="39" xfId="0" applyFont="1" applyFill="1" applyBorder="1" applyAlignment="1">
      <alignment horizontal="center" vertical="center" wrapText="1"/>
    </xf>
    <xf numFmtId="179" fontId="25" fillId="7" borderId="40" xfId="0" applyNumberFormat="1" applyFont="1" applyFill="1" applyBorder="1"/>
    <xf numFmtId="178" fontId="25" fillId="7" borderId="40" xfId="0" applyNumberFormat="1" applyFont="1" applyFill="1" applyBorder="1"/>
    <xf numFmtId="179" fontId="25" fillId="7" borderId="41" xfId="0" applyNumberFormat="1" applyFont="1" applyFill="1" applyBorder="1"/>
    <xf numFmtId="178" fontId="25" fillId="7" borderId="38" xfId="0" applyNumberFormat="1" applyFont="1" applyFill="1" applyBorder="1" applyAlignment="1">
      <alignment vertical="center"/>
    </xf>
    <xf numFmtId="179" fontId="25" fillId="7" borderId="38" xfId="0" applyNumberFormat="1" applyFont="1" applyFill="1" applyBorder="1" applyAlignment="1">
      <alignment vertical="center"/>
    </xf>
    <xf numFmtId="0" fontId="25" fillId="8" borderId="33" xfId="0" applyFont="1" applyFill="1" applyBorder="1" applyAlignment="1">
      <alignment vertical="center"/>
    </xf>
    <xf numFmtId="178" fontId="25" fillId="7" borderId="41" xfId="0" applyNumberFormat="1" applyFont="1" applyFill="1" applyBorder="1" applyAlignment="1">
      <alignment vertical="center"/>
    </xf>
    <xf numFmtId="178" fontId="25" fillId="7" borderId="43" xfId="0" applyNumberFormat="1" applyFont="1" applyFill="1" applyBorder="1" applyAlignment="1">
      <alignment vertical="center"/>
    </xf>
    <xf numFmtId="179" fontId="25" fillId="7" borderId="43" xfId="0" applyNumberFormat="1" applyFont="1" applyFill="1" applyBorder="1" applyAlignment="1">
      <alignment vertic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30" xfId="0" applyFont="1" applyBorder="1" applyAlignment="1">
      <alignment horizontal="left" vertical="top" wrapText="1"/>
    </xf>
    <xf numFmtId="0" fontId="21" fillId="0" borderId="3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21" fillId="0" borderId="15" xfId="0" applyFont="1" applyBorder="1" applyAlignment="1">
      <alignment horizontal="left" vertical="top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20" fillId="0" borderId="19" xfId="0" applyFont="1" applyBorder="1" applyAlignment="1">
      <alignment horizontal="left"/>
    </xf>
    <xf numFmtId="0" fontId="20" fillId="0" borderId="21" xfId="0" applyFont="1" applyBorder="1" applyAlignment="1">
      <alignment horizontal="left"/>
    </xf>
    <xf numFmtId="0" fontId="21" fillId="0" borderId="21" xfId="0" applyFont="1" applyBorder="1" applyAlignment="1">
      <alignment horizontal="left"/>
    </xf>
    <xf numFmtId="0" fontId="21" fillId="0" borderId="22" xfId="0" applyFont="1" applyBorder="1" applyAlignment="1">
      <alignment horizontal="left"/>
    </xf>
    <xf numFmtId="0" fontId="20" fillId="0" borderId="23" xfId="0" applyFont="1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20" fillId="0" borderId="20" xfId="0" applyFont="1" applyBorder="1" applyAlignment="1">
      <alignment horizontal="left"/>
    </xf>
    <xf numFmtId="0" fontId="21" fillId="0" borderId="19" xfId="0" applyFont="1" applyBorder="1" applyAlignment="1">
      <alignment horizontal="left"/>
    </xf>
    <xf numFmtId="0" fontId="21" fillId="0" borderId="20" xfId="0" applyFont="1" applyBorder="1" applyAlignment="1">
      <alignment horizontal="left"/>
    </xf>
    <xf numFmtId="0" fontId="23" fillId="0" borderId="29" xfId="0" applyFont="1" applyFill="1" applyBorder="1" applyAlignment="1">
      <alignment horizontal="center" vertical="center"/>
    </xf>
    <xf numFmtId="0" fontId="23" fillId="0" borderId="27" xfId="0" applyFont="1" applyFill="1" applyBorder="1" applyAlignment="1">
      <alignment horizontal="center" vertical="center"/>
    </xf>
    <xf numFmtId="0" fontId="20" fillId="0" borderId="15" xfId="0" applyFont="1" applyBorder="1" applyAlignment="1">
      <alignment horizontal="left" vertical="top" wrapText="1"/>
    </xf>
    <xf numFmtId="0" fontId="21" fillId="0" borderId="18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center" vertical="top" wrapText="1"/>
    </xf>
    <xf numFmtId="0" fontId="0" fillId="0" borderId="15" xfId="0" applyFont="1" applyBorder="1" applyAlignment="1">
      <alignment horizontal="center" vertical="top" wrapText="1"/>
    </xf>
    <xf numFmtId="0" fontId="21" fillId="0" borderId="18" xfId="0" applyFont="1" applyBorder="1" applyAlignment="1">
      <alignment horizontal="center" vertical="top" wrapText="1"/>
    </xf>
    <xf numFmtId="0" fontId="21" fillId="0" borderId="15" xfId="0" applyFont="1" applyBorder="1" applyAlignment="1">
      <alignment horizontal="center" vertical="top" wrapText="1"/>
    </xf>
    <xf numFmtId="0" fontId="0" fillId="0" borderId="18" xfId="0" applyFont="1" applyBorder="1" applyAlignment="1">
      <alignment horizontal="left" vertical="top" wrapText="1"/>
    </xf>
    <xf numFmtId="0" fontId="20" fillId="0" borderId="18" xfId="0" applyFont="1" applyBorder="1" applyAlignment="1">
      <alignment horizontal="left" vertical="top" wrapText="1"/>
    </xf>
    <xf numFmtId="0" fontId="24" fillId="0" borderId="26" xfId="0" applyFont="1" applyFill="1" applyBorder="1" applyAlignment="1">
      <alignment horizontal="center"/>
    </xf>
    <xf numFmtId="0" fontId="24" fillId="0" borderId="25" xfId="0" applyFont="1" applyFill="1" applyBorder="1" applyAlignment="1">
      <alignment horizontal="center"/>
    </xf>
    <xf numFmtId="0" fontId="32" fillId="7" borderId="39" xfId="0" applyFont="1" applyFill="1" applyBorder="1" applyAlignment="1">
      <alignment horizontal="center" vertical="center" wrapText="1"/>
    </xf>
    <xf numFmtId="0" fontId="32" fillId="7" borderId="44" xfId="0" applyFont="1" applyFill="1" applyBorder="1" applyAlignment="1">
      <alignment horizontal="center" vertical="center" wrapText="1"/>
    </xf>
    <xf numFmtId="180" fontId="33" fillId="7" borderId="46" xfId="0" applyNumberFormat="1" applyFont="1" applyFill="1" applyBorder="1" applyAlignment="1">
      <alignment horizontal="center" vertical="top"/>
    </xf>
    <xf numFmtId="180" fontId="33" fillId="7" borderId="40" xfId="0" applyNumberFormat="1" applyFont="1" applyFill="1" applyBorder="1" applyAlignment="1">
      <alignment horizontal="center" vertical="top"/>
    </xf>
    <xf numFmtId="182" fontId="33" fillId="7" borderId="40" xfId="0" applyNumberFormat="1" applyFont="1" applyFill="1" applyBorder="1" applyAlignment="1">
      <alignment horizontal="center" vertical="top"/>
    </xf>
    <xf numFmtId="0" fontId="3" fillId="0" borderId="6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  <xf numFmtId="182" fontId="33" fillId="7" borderId="46" xfId="0" applyNumberFormat="1" applyFont="1" applyFill="1" applyBorder="1" applyAlignment="1">
      <alignment vertical="top"/>
    </xf>
    <xf numFmtId="182" fontId="33" fillId="7" borderId="40" xfId="0" applyNumberFormat="1" applyFont="1" applyFill="1" applyBorder="1" applyAlignment="1">
      <alignment vertical="top"/>
    </xf>
    <xf numFmtId="0" fontId="25" fillId="7" borderId="0" xfId="0" applyNumberFormat="1" applyFont="1" applyFill="1" applyBorder="1" applyAlignment="1">
      <alignment horizontal="center" vertical="center"/>
    </xf>
    <xf numFmtId="178" fontId="25" fillId="7" borderId="0" xfId="0" applyNumberFormat="1" applyFont="1" applyFill="1" applyBorder="1" applyAlignment="1">
      <alignment vertical="center"/>
    </xf>
    <xf numFmtId="0" fontId="26" fillId="7" borderId="38" xfId="0" applyNumberFormat="1" applyFont="1" applyFill="1" applyBorder="1" applyAlignment="1">
      <alignment horizontal="center" vertical="center"/>
    </xf>
    <xf numFmtId="0" fontId="27" fillId="8" borderId="0" xfId="0" applyFont="1" applyFill="1" applyBorder="1"/>
    <xf numFmtId="178" fontId="26" fillId="7" borderId="41" xfId="0" applyNumberFormat="1" applyFont="1" applyFill="1" applyBorder="1" applyAlignment="1">
      <alignment vertical="center"/>
    </xf>
    <xf numFmtId="178" fontId="26" fillId="7" borderId="38" xfId="0" applyNumberFormat="1" applyFont="1" applyFill="1" applyBorder="1" applyAlignment="1">
      <alignment vertical="center"/>
    </xf>
    <xf numFmtId="178" fontId="25" fillId="7" borderId="40" xfId="0" applyNumberFormat="1" applyFont="1" applyFill="1" applyBorder="1" applyAlignment="1">
      <alignment vertical="center"/>
    </xf>
    <xf numFmtId="178" fontId="26" fillId="7" borderId="0" xfId="0" applyNumberFormat="1" applyFont="1" applyFill="1" applyBorder="1" applyAlignment="1">
      <alignment vertical="center"/>
    </xf>
    <xf numFmtId="181" fontId="25" fillId="7" borderId="0" xfId="0" applyNumberFormat="1" applyFont="1" applyFill="1" applyBorder="1" applyAlignment="1">
      <alignment vertical="center"/>
    </xf>
    <xf numFmtId="179" fontId="25" fillId="7" borderId="0" xfId="0" applyNumberFormat="1" applyFont="1" applyFill="1" applyBorder="1" applyAlignment="1">
      <alignment vertical="center"/>
    </xf>
    <xf numFmtId="179" fontId="25" fillId="7" borderId="40" xfId="0" applyNumberFormat="1" applyFont="1" applyFill="1" applyBorder="1" applyAlignment="1">
      <alignment vertical="center"/>
    </xf>
    <xf numFmtId="0" fontId="25" fillId="9" borderId="0" xfId="0" applyNumberFormat="1" applyFont="1" applyFill="1" applyBorder="1" applyAlignment="1">
      <alignment horizontal="center" vertical="center"/>
    </xf>
    <xf numFmtId="178" fontId="25" fillId="9" borderId="40" xfId="0" applyNumberFormat="1" applyFont="1" applyFill="1" applyBorder="1" applyAlignment="1">
      <alignment vertical="center"/>
    </xf>
    <xf numFmtId="178" fontId="25" fillId="9" borderId="0" xfId="0" applyNumberFormat="1" applyFont="1" applyFill="1" applyBorder="1" applyAlignment="1">
      <alignment vertical="center"/>
    </xf>
    <xf numFmtId="178" fontId="26" fillId="9" borderId="0" xfId="0" applyNumberFormat="1" applyFont="1" applyFill="1" applyBorder="1" applyAlignment="1">
      <alignment vertical="center"/>
    </xf>
    <xf numFmtId="181" fontId="25" fillId="9" borderId="0" xfId="0" applyNumberFormat="1" applyFont="1" applyFill="1" applyBorder="1" applyAlignment="1">
      <alignment vertical="center"/>
    </xf>
    <xf numFmtId="179" fontId="25" fillId="9" borderId="0" xfId="0" applyNumberFormat="1" applyFont="1" applyFill="1" applyBorder="1" applyAlignment="1">
      <alignment vertical="center"/>
    </xf>
    <xf numFmtId="179" fontId="25" fillId="9" borderId="40" xfId="0" applyNumberFormat="1" applyFont="1" applyFill="1" applyBorder="1" applyAlignment="1">
      <alignment vertical="center"/>
    </xf>
    <xf numFmtId="178" fontId="25" fillId="7" borderId="42" xfId="0" applyNumberFormat="1" applyFont="1" applyFill="1" applyBorder="1" applyAlignment="1">
      <alignment vertical="center"/>
    </xf>
    <xf numFmtId="0" fontId="26" fillId="7" borderId="45" xfId="0" applyFont="1" applyFill="1" applyBorder="1" applyAlignment="1">
      <alignment horizontal="center" wrapText="1"/>
    </xf>
    <xf numFmtId="0" fontId="26" fillId="7" borderId="47" xfId="0" applyFont="1" applyFill="1" applyBorder="1" applyAlignment="1">
      <alignment horizontal="center" wrapText="1"/>
    </xf>
    <xf numFmtId="180" fontId="26" fillId="7" borderId="40" xfId="0" applyNumberFormat="1" applyFont="1" applyFill="1" applyBorder="1" applyAlignment="1">
      <alignment horizontal="center"/>
    </xf>
    <xf numFmtId="180" fontId="26" fillId="7" borderId="46" xfId="0" applyNumberFormat="1" applyFont="1" applyFill="1" applyBorder="1" applyAlignment="1">
      <alignment horizontal="center"/>
    </xf>
  </cellXfs>
  <cellStyles count="11">
    <cellStyle name="标题 1 2" xfId="4" xr:uid="{00000000-0005-0000-0000-000000000000}"/>
    <cellStyle name="标题 2 2" xfId="7" xr:uid="{00000000-0005-0000-0000-000001000000}"/>
    <cellStyle name="标题 3 2" xfId="3" xr:uid="{00000000-0005-0000-0000-000002000000}"/>
    <cellStyle name="标题 5" xfId="5" xr:uid="{00000000-0005-0000-0000-000003000000}"/>
    <cellStyle name="常规" xfId="0" builtinId="0"/>
    <cellStyle name="常规 2" xfId="1" xr:uid="{00000000-0005-0000-0000-000005000000}"/>
    <cellStyle name="超链接" xfId="6" builtinId="8"/>
    <cellStyle name="解释性文本 2" xfId="10" xr:uid="{00000000-0005-0000-0000-000007000000}"/>
    <cellStyle name="年" xfId="8" xr:uid="{00000000-0005-0000-0000-000008000000}"/>
    <cellStyle name="日历详细信息" xfId="2" xr:uid="{00000000-0005-0000-0000-000009000000}"/>
    <cellStyle name="条目字段" xfId="9" xr:uid="{00000000-0005-0000-0000-00000A000000}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colors>
    <mruColors>
      <color rgb="FFFF66FF"/>
      <color rgb="FF0000CC"/>
      <color rgb="FF2A69A2"/>
      <color rgb="FF2C6EAA"/>
      <color rgb="FF327CC0"/>
      <color rgb="FF3381C7"/>
      <color rgb="FF3F89CD"/>
      <color rgb="FF63A0D7"/>
      <color rgb="FF76ABDC"/>
      <color rgb="FF88B6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消费结构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200-4F2B-9DA3-781E99097C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200-4F2B-9DA3-781E99097C6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200-4F2B-9DA3-781E99097C6C}"/>
              </c:ext>
            </c:extLst>
          </c:dPt>
          <c:dPt>
            <c:idx val="3"/>
            <c:bubble3D val="0"/>
            <c:spPr>
              <a:solidFill>
                <a:srgbClr val="FF66FF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200-4F2B-9DA3-781E99097C6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200-4F2B-9DA3-781E99097C6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200-4F2B-9DA3-781E99097C6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200-4F2B-9DA3-781E99097C6C}"/>
              </c:ext>
            </c:extLst>
          </c:dPt>
          <c:dLbls>
            <c:dLbl>
              <c:idx val="0"/>
              <c:layout>
                <c:manualLayout>
                  <c:x val="-0.12239225269255136"/>
                  <c:y val="0.2447552113837010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045977011494253"/>
                      <c:h val="0.2461855491204095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4200-4F2B-9DA3-781E99097C6C}"/>
                </c:ext>
              </c:extLst>
            </c:dLbl>
            <c:dLbl>
              <c:idx val="1"/>
              <c:layout>
                <c:manualLayout>
                  <c:x val="-0.1421668929314871"/>
                  <c:y val="-6.5402052016225246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2639080459770111"/>
                      <c:h val="0.2047109607166872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4200-4F2B-9DA3-781E99097C6C}"/>
                </c:ext>
              </c:extLst>
            </c:dLbl>
            <c:dLbl>
              <c:idx val="2"/>
              <c:layout>
                <c:manualLayout>
                  <c:x val="-0.14082469001719614"/>
                  <c:y val="-7.0770916032190184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3908045977011494"/>
                      <c:h val="0.2047109607166872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4200-4F2B-9DA3-781E99097C6C}"/>
                </c:ext>
              </c:extLst>
            </c:dLbl>
            <c:dLbl>
              <c:idx val="3"/>
              <c:layout>
                <c:manualLayout>
                  <c:x val="5.057471264367816E-2"/>
                  <c:y val="6.657643001236415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3333333333333334"/>
                      <c:h val="0.2341597796143250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4200-4F2B-9DA3-781E99097C6C}"/>
                </c:ext>
              </c:extLst>
            </c:dLbl>
            <c:dLbl>
              <c:idx val="4"/>
              <c:layout>
                <c:manualLayout>
                  <c:x val="-0.17336519142003801"/>
                  <c:y val="0.14322943103186481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200-4F2B-9DA3-781E99097C6C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B-4200-4F2B-9DA3-781E99097C6C}"/>
                </c:ext>
              </c:extLst>
            </c:dLbl>
            <c:dLbl>
              <c:idx val="6"/>
              <c:layout>
                <c:manualLayout>
                  <c:x val="0.34999855190514978"/>
                  <c:y val="0.1204179952712522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15445995112679878"/>
                      <c:h val="0.237851239669421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D-4200-4F2B-9DA3-781E99097C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('财报3.0'!$H$30,'财报3.0'!$I$30,'财报3.0'!$J$30,'财报3.0'!$K$30,'财报3.0'!$L$30,'财报3.0'!$M$30,'财报3.0'!$P$30)</c:f>
              <c:strCache>
                <c:ptCount val="7"/>
                <c:pt idx="0">
                  <c:v>房租</c:v>
                </c:pt>
                <c:pt idx="1">
                  <c:v>债务</c:v>
                </c:pt>
                <c:pt idx="2">
                  <c:v>电子产品</c:v>
                </c:pt>
                <c:pt idx="3">
                  <c:v>日常吃饭</c:v>
                </c:pt>
                <c:pt idx="4">
                  <c:v>娱乐</c:v>
                </c:pt>
                <c:pt idx="5">
                  <c:v>穿戴背</c:v>
                </c:pt>
                <c:pt idx="6">
                  <c:v>其他</c:v>
                </c:pt>
              </c:strCache>
            </c:strRef>
          </c:cat>
          <c:val>
            <c:numRef>
              <c:f>('财报3.0'!$H$42,'财报3.0'!$I$42,'财报3.0'!$J$42,'财报3.0'!$K$42,'财报3.0'!$L$42,'财报3.0'!$M$42,'财报3.0'!$P$42)</c:f>
              <c:numCache>
                <c:formatCode>0_ ;[Red]\-0\ </c:formatCode>
                <c:ptCount val="7"/>
                <c:pt idx="0">
                  <c:v>1003.75</c:v>
                </c:pt>
                <c:pt idx="1">
                  <c:v>3500</c:v>
                </c:pt>
                <c:pt idx="2">
                  <c:v>2898.6666666666665</c:v>
                </c:pt>
                <c:pt idx="3">
                  <c:v>2287.4137500000002</c:v>
                </c:pt>
                <c:pt idx="4">
                  <c:v>416</c:v>
                </c:pt>
                <c:pt idx="5">
                  <c:v>253.4</c:v>
                </c:pt>
                <c:pt idx="6">
                  <c:v>288.3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200-4F2B-9DA3-781E99097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50000"/>
      </a:schemeClr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资金流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'财报3.0'!$F$30</c:f>
              <c:strCache>
                <c:ptCount val="1"/>
                <c:pt idx="0">
                  <c:v>到手工资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'财报3.0'!$F$31:$F$41</c:f>
              <c:numCache>
                <c:formatCode>0_ ;[Red]\-0\ </c:formatCode>
                <c:ptCount val="11"/>
                <c:pt idx="0">
                  <c:v>3484.91</c:v>
                </c:pt>
                <c:pt idx="1">
                  <c:v>6307.97</c:v>
                </c:pt>
                <c:pt idx="2">
                  <c:v>6028.14</c:v>
                </c:pt>
                <c:pt idx="3">
                  <c:v>5884.97</c:v>
                </c:pt>
                <c:pt idx="4">
                  <c:v>7207.97</c:v>
                </c:pt>
                <c:pt idx="5">
                  <c:v>6757.97</c:v>
                </c:pt>
                <c:pt idx="6">
                  <c:v>6835.69</c:v>
                </c:pt>
                <c:pt idx="7">
                  <c:v>7285.69</c:v>
                </c:pt>
                <c:pt idx="8">
                  <c:v>7026.97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9D-4E57-BC28-385394A13348}"/>
            </c:ext>
          </c:extLst>
        </c:ser>
        <c:ser>
          <c:idx val="3"/>
          <c:order val="3"/>
          <c:tx>
            <c:strRef>
              <c:f>年度财报3.0!#REF!</c:f>
              <c:strCache>
                <c:ptCount val="1"/>
                <c:pt idx="0">
                  <c:v>#REF!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'财报3.0'!$B$31:$B$41</c:f>
              <c:numCache>
                <c:formatCode>0_ ;[Red]\-0\ </c:formatCode>
                <c:ptCount val="11"/>
                <c:pt idx="0">
                  <c:v>346.7</c:v>
                </c:pt>
                <c:pt idx="1">
                  <c:v>346.7</c:v>
                </c:pt>
                <c:pt idx="2">
                  <c:v>346.7</c:v>
                </c:pt>
                <c:pt idx="3">
                  <c:v>346.7</c:v>
                </c:pt>
                <c:pt idx="4">
                  <c:v>346.7</c:v>
                </c:pt>
                <c:pt idx="5">
                  <c:v>346.7</c:v>
                </c:pt>
                <c:pt idx="6">
                  <c:v>380.34</c:v>
                </c:pt>
                <c:pt idx="7">
                  <c:v>380.34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9D-4E57-BC28-385394A13348}"/>
            </c:ext>
          </c:extLst>
        </c:ser>
        <c:ser>
          <c:idx val="5"/>
          <c:order val="4"/>
          <c:tx>
            <c:strRef>
              <c:f>'财报3.0'!$D$30</c:f>
              <c:strCache>
                <c:ptCount val="1"/>
                <c:pt idx="0">
                  <c:v>个税</c:v>
                </c:pt>
              </c:strCache>
            </c:strRef>
          </c:tx>
          <c:spPr>
            <a:solidFill>
              <a:srgbClr val="FF66FF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'财报3.0'!$D$31:$D$41</c:f>
              <c:numCache>
                <c:formatCode>0_ ;[Red]\-0\ </c:formatCode>
                <c:ptCount val="11"/>
                <c:pt idx="1">
                  <c:v>195.33</c:v>
                </c:pt>
                <c:pt idx="2">
                  <c:v>164.24</c:v>
                </c:pt>
                <c:pt idx="3">
                  <c:v>148.33000000000001</c:v>
                </c:pt>
                <c:pt idx="4">
                  <c:v>295.33</c:v>
                </c:pt>
                <c:pt idx="5">
                  <c:v>245.33</c:v>
                </c:pt>
                <c:pt idx="6">
                  <c:v>253.97</c:v>
                </c:pt>
                <c:pt idx="7">
                  <c:v>303.97000000000003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9D-4E57-BC28-385394A13348}"/>
            </c:ext>
          </c:extLst>
        </c:ser>
        <c:ser>
          <c:idx val="4"/>
          <c:order val="5"/>
          <c:tx>
            <c:strRef>
              <c:f>年度财报3.0!#REF!</c:f>
              <c:strCache>
                <c:ptCount val="1"/>
                <c:pt idx="0">
                  <c:v>#REF!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'财报3.0'!$C$31:$C$41</c:f>
              <c:numCache>
                <c:formatCode>0_ ;[Red]\-0\ </c:formatCode>
                <c:ptCount val="11"/>
                <c:pt idx="3">
                  <c:v>350</c:v>
                </c:pt>
                <c:pt idx="4">
                  <c:v>350</c:v>
                </c:pt>
                <c:pt idx="5">
                  <c:v>350</c:v>
                </c:pt>
                <c:pt idx="6">
                  <c:v>350</c:v>
                </c:pt>
                <c:pt idx="7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9D-4E57-BC28-385394A13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50272440"/>
        <c:axId val="750272760"/>
      </c:barChart>
      <c:scatterChart>
        <c:scatterStyle val="smoothMarker"/>
        <c:varyColors val="0"/>
        <c:ser>
          <c:idx val="0"/>
          <c:order val="0"/>
          <c:tx>
            <c:strRef>
              <c:f>'财报3.0'!$R$30</c:f>
              <c:strCache>
                <c:ptCount val="1"/>
                <c:pt idx="0">
                  <c:v>存款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'财报3.0'!$R$31:$R$41</c:f>
              <c:numCache>
                <c:formatCode>0_ ;[Red]\-0\ </c:formatCode>
                <c:ptCount val="11"/>
                <c:pt idx="0">
                  <c:v>0</c:v>
                </c:pt>
                <c:pt idx="1">
                  <c:v>1202</c:v>
                </c:pt>
                <c:pt idx="2">
                  <c:v>6335</c:v>
                </c:pt>
                <c:pt idx="3">
                  <c:v>2010</c:v>
                </c:pt>
                <c:pt idx="4">
                  <c:v>3824</c:v>
                </c:pt>
                <c:pt idx="5">
                  <c:v>2380</c:v>
                </c:pt>
                <c:pt idx="6">
                  <c:v>1223</c:v>
                </c:pt>
                <c:pt idx="7">
                  <c:v>3471.41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59D-4E57-BC28-385394A13348}"/>
            </c:ext>
          </c:extLst>
        </c:ser>
        <c:ser>
          <c:idx val="2"/>
          <c:order val="2"/>
          <c:tx>
            <c:strRef>
              <c:f>'财报3.0'!$G$30</c:f>
              <c:strCache>
                <c:ptCount val="1"/>
                <c:pt idx="0">
                  <c:v>初始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'财报3.0'!$G$31:$G$41</c:f>
              <c:numCache>
                <c:formatCode>0_ ;[Red]\-0\ </c:formatCode>
                <c:ptCount val="11"/>
                <c:pt idx="0">
                  <c:v>3484.91</c:v>
                </c:pt>
                <c:pt idx="1">
                  <c:v>7509.97</c:v>
                </c:pt>
                <c:pt idx="2">
                  <c:v>12363.14</c:v>
                </c:pt>
                <c:pt idx="3">
                  <c:v>7894.97</c:v>
                </c:pt>
                <c:pt idx="4">
                  <c:v>11031.970000000001</c:v>
                </c:pt>
                <c:pt idx="5">
                  <c:v>9137.9700000000012</c:v>
                </c:pt>
                <c:pt idx="6">
                  <c:v>8058.69</c:v>
                </c:pt>
                <c:pt idx="7">
                  <c:v>10757.099999999999</c:v>
                </c:pt>
                <c:pt idx="8">
                  <c:v>12595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59D-4E57-BC28-385394A13348}"/>
            </c:ext>
          </c:extLst>
        </c:ser>
        <c:ser>
          <c:idx val="8"/>
          <c:order val="6"/>
          <c:tx>
            <c:strRef>
              <c:f>'财报3.0'!$Q$30</c:f>
              <c:strCache>
                <c:ptCount val="1"/>
                <c:pt idx="0">
                  <c:v>月度支出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yVal>
            <c:numRef>
              <c:f>'财报3.0'!$Q$31:$Q$41</c:f>
              <c:numCache>
                <c:formatCode>0_ ;[Red]\-0\ </c:formatCode>
                <c:ptCount val="11"/>
                <c:pt idx="0">
                  <c:v>2282.91</c:v>
                </c:pt>
                <c:pt idx="1">
                  <c:v>1174.9700000000003</c:v>
                </c:pt>
                <c:pt idx="2">
                  <c:v>10353.14</c:v>
                </c:pt>
                <c:pt idx="3">
                  <c:v>4070.9700000000003</c:v>
                </c:pt>
                <c:pt idx="4">
                  <c:v>8651.9700000000012</c:v>
                </c:pt>
                <c:pt idx="5">
                  <c:v>7914.9700000000012</c:v>
                </c:pt>
                <c:pt idx="6">
                  <c:v>4587.28</c:v>
                </c:pt>
                <c:pt idx="7">
                  <c:v>5482.0999999999985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59D-4E57-BC28-385394A13348}"/>
            </c:ext>
          </c:extLst>
        </c:ser>
        <c:ser>
          <c:idx val="6"/>
          <c:order val="7"/>
          <c:tx>
            <c:strRef>
              <c:f>'财报3.0'!$H$30</c:f>
              <c:strCache>
                <c:ptCount val="1"/>
                <c:pt idx="0">
                  <c:v>房租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'财报3.0'!$H$31:$H$41</c:f>
              <c:numCache>
                <c:formatCode>0_ ;[Red]\-0\ </c:formatCode>
                <c:ptCount val="11"/>
                <c:pt idx="0">
                  <c:v>685</c:v>
                </c:pt>
                <c:pt idx="1">
                  <c:v>634</c:v>
                </c:pt>
                <c:pt idx="2">
                  <c:v>648</c:v>
                </c:pt>
                <c:pt idx="3">
                  <c:v>1490</c:v>
                </c:pt>
                <c:pt idx="4">
                  <c:v>1653</c:v>
                </c:pt>
                <c:pt idx="5">
                  <c:v>974</c:v>
                </c:pt>
                <c:pt idx="6">
                  <c:v>1002</c:v>
                </c:pt>
                <c:pt idx="7">
                  <c:v>944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59D-4E57-BC28-385394A13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272440"/>
        <c:axId val="750272760"/>
      </c:scatterChart>
      <c:scatterChart>
        <c:scatterStyle val="smoothMarker"/>
        <c:varyColors val="0"/>
        <c:ser>
          <c:idx val="7"/>
          <c:order val="8"/>
          <c:tx>
            <c:strRef>
              <c:f>'财报3.0'!$U$30</c:f>
              <c:strCache>
                <c:ptCount val="1"/>
                <c:pt idx="0">
                  <c:v>恩格尔系数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sys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'财报3.0'!$U$31:$U$41</c:f>
              <c:numCache>
                <c:formatCode>0.000_ ;[Red]\-0.000\ </c:formatCode>
                <c:ptCount val="11"/>
                <c:pt idx="0">
                  <c:v>0.48180173550424676</c:v>
                </c:pt>
                <c:pt idx="1">
                  <c:v>0.46041175519374977</c:v>
                </c:pt>
                <c:pt idx="2">
                  <c:v>0.57433203839608082</c:v>
                </c:pt>
                <c:pt idx="3">
                  <c:v>0.57553113877036677</c:v>
                </c:pt>
                <c:pt idx="4">
                  <c:v>0.34662279226580778</c:v>
                </c:pt>
                <c:pt idx="5">
                  <c:v>0.11307307545069673</c:v>
                </c:pt>
                <c:pt idx="6">
                  <c:v>0.52695279119652605</c:v>
                </c:pt>
                <c:pt idx="7">
                  <c:v>0.43924773353277041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59D-4E57-BC28-385394A13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808504"/>
        <c:axId val="672895096"/>
      </c:scatterChart>
      <c:catAx>
        <c:axId val="750272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72760"/>
        <c:crosses val="autoZero"/>
        <c:auto val="1"/>
        <c:lblAlgn val="ctr"/>
        <c:lblOffset val="100"/>
        <c:noMultiLvlLbl val="1"/>
      </c:catAx>
      <c:valAx>
        <c:axId val="75027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72440"/>
        <c:crosses val="autoZero"/>
        <c:crossBetween val="between"/>
      </c:valAx>
      <c:valAx>
        <c:axId val="672895096"/>
        <c:scaling>
          <c:orientation val="minMax"/>
        </c:scaling>
        <c:delete val="0"/>
        <c:axPos val="r"/>
        <c:numFmt formatCode="0.000_ ;[Red]\-0.000\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1808504"/>
        <c:crosses val="max"/>
        <c:crossBetween val="midCat"/>
      </c:valAx>
      <c:valAx>
        <c:axId val="671808504"/>
        <c:scaling>
          <c:orientation val="minMax"/>
        </c:scaling>
        <c:delete val="1"/>
        <c:axPos val="b"/>
        <c:majorTickMark val="out"/>
        <c:minorTickMark val="none"/>
        <c:tickLblPos val="nextTo"/>
        <c:crossAx val="672895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50000"/>
      </a:schemeClr>
    </a:solidFill>
    <a:ln>
      <a:solidFill>
        <a:schemeClr val="tx1"/>
      </a:solidFill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 sz="1400"/>
              <a:t>租房</a:t>
            </a:r>
            <a:endParaRPr lang="zh-CN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'财报2.0'!$K$48</c:f>
              <c:strCache>
                <c:ptCount val="1"/>
                <c:pt idx="0">
                  <c:v>水费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'财报2.0'!$K$49:$K$59</c:f>
              <c:numCache>
                <c:formatCode>0_ ;[Red]\-0\ </c:formatCode>
                <c:ptCount val="11"/>
                <c:pt idx="0">
                  <c:v>15</c:v>
                </c:pt>
                <c:pt idx="1">
                  <c:v>8</c:v>
                </c:pt>
                <c:pt idx="2">
                  <c:v>10</c:v>
                </c:pt>
                <c:pt idx="3">
                  <c:v>4</c:v>
                </c:pt>
                <c:pt idx="4">
                  <c:v>16</c:v>
                </c:pt>
                <c:pt idx="5">
                  <c:v>12</c:v>
                </c:pt>
                <c:pt idx="6">
                  <c:v>32</c:v>
                </c:pt>
                <c:pt idx="7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2-4F27-8525-4F7A7B3797B4}"/>
            </c:ext>
          </c:extLst>
        </c:ser>
        <c:ser>
          <c:idx val="0"/>
          <c:order val="1"/>
          <c:tx>
            <c:strRef>
              <c:f>'财报2.0'!$L$48</c:f>
              <c:strCache>
                <c:ptCount val="1"/>
                <c:pt idx="0">
                  <c:v>电费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'财报2.0'!$L$49:$L$59</c:f>
              <c:numCache>
                <c:formatCode>0_ ;[Red]\-0\ </c:formatCode>
                <c:ptCount val="11"/>
                <c:pt idx="0">
                  <c:v>100</c:v>
                </c:pt>
                <c:pt idx="1">
                  <c:v>56</c:v>
                </c:pt>
                <c:pt idx="2">
                  <c:v>68</c:v>
                </c:pt>
                <c:pt idx="3">
                  <c:v>30</c:v>
                </c:pt>
                <c:pt idx="4">
                  <c:v>131</c:v>
                </c:pt>
                <c:pt idx="5">
                  <c:v>162</c:v>
                </c:pt>
                <c:pt idx="6">
                  <c:v>170</c:v>
                </c:pt>
                <c:pt idx="7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B2-4F27-8525-4F7A7B379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14342544"/>
        <c:axId val="714342224"/>
      </c:barChart>
      <c:lineChart>
        <c:grouping val="standard"/>
        <c:varyColors val="0"/>
        <c:ser>
          <c:idx val="3"/>
          <c:order val="2"/>
          <c:tx>
            <c:strRef>
              <c:f>'财报3.0'!$H$30</c:f>
              <c:strCache>
                <c:ptCount val="1"/>
                <c:pt idx="0">
                  <c:v>房租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'财报3.0'!$H$31:$H$41</c:f>
              <c:numCache>
                <c:formatCode>0_ ;[Red]\-0\ </c:formatCode>
                <c:ptCount val="11"/>
                <c:pt idx="0">
                  <c:v>685</c:v>
                </c:pt>
                <c:pt idx="1">
                  <c:v>634</c:v>
                </c:pt>
                <c:pt idx="2">
                  <c:v>648</c:v>
                </c:pt>
                <c:pt idx="3">
                  <c:v>1490</c:v>
                </c:pt>
                <c:pt idx="4">
                  <c:v>1653</c:v>
                </c:pt>
                <c:pt idx="5">
                  <c:v>974</c:v>
                </c:pt>
                <c:pt idx="6">
                  <c:v>1002</c:v>
                </c:pt>
                <c:pt idx="7">
                  <c:v>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B2-4F27-8525-4F7A7B379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1948408"/>
        <c:axId val="841949048"/>
      </c:lineChart>
      <c:catAx>
        <c:axId val="84194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9048"/>
        <c:crosses val="autoZero"/>
        <c:auto val="1"/>
        <c:lblAlgn val="ctr"/>
        <c:lblOffset val="100"/>
        <c:tickLblSkip val="1"/>
        <c:noMultiLvlLbl val="1"/>
      </c:catAx>
      <c:valAx>
        <c:axId val="84194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8408"/>
        <c:crosses val="autoZero"/>
        <c:crossBetween val="between"/>
      </c:valAx>
      <c:valAx>
        <c:axId val="714342224"/>
        <c:scaling>
          <c:orientation val="minMax"/>
        </c:scaling>
        <c:delete val="0"/>
        <c:axPos val="r"/>
        <c:numFmt formatCode="0_ ;[Red]\-0\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4342544"/>
        <c:crosses val="max"/>
        <c:crossBetween val="between"/>
      </c:valAx>
      <c:catAx>
        <c:axId val="7143425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143422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accent5">
        <a:lumMod val="50000"/>
      </a:schemeClr>
    </a:solidFill>
    <a:ln>
      <a:solidFill>
        <a:sysClr val="windowText" lastClr="000000"/>
      </a:solidFill>
    </a:ln>
    <a:effectLst/>
  </c:spPr>
  <c:txPr>
    <a:bodyPr/>
    <a:lstStyle/>
    <a:p>
      <a:pPr>
        <a:defRPr sz="8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sz="1400"/>
              <a:t>资产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'财报2.0'!$D$48</c:f>
              <c:strCache>
                <c:ptCount val="1"/>
                <c:pt idx="0">
                  <c:v>社保总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'财报2.0'!$A$49:$A$59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'财报2.0'!$D$49:$D$59</c:f>
              <c:numCache>
                <c:formatCode>0_ ;[Red]\-0\ </c:formatCode>
                <c:ptCount val="11"/>
                <c:pt idx="0">
                  <c:v>346.7</c:v>
                </c:pt>
                <c:pt idx="1">
                  <c:v>693.4</c:v>
                </c:pt>
                <c:pt idx="2">
                  <c:v>1040.0999999999999</c:v>
                </c:pt>
                <c:pt idx="3">
                  <c:v>1386.8</c:v>
                </c:pt>
                <c:pt idx="4">
                  <c:v>1733.5</c:v>
                </c:pt>
                <c:pt idx="5">
                  <c:v>2080.1999999999998</c:v>
                </c:pt>
                <c:pt idx="6">
                  <c:v>2460.54</c:v>
                </c:pt>
                <c:pt idx="7">
                  <c:v>2840.88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BF-4B61-BB7E-7C2D1EFD3B26}"/>
            </c:ext>
          </c:extLst>
        </c:ser>
        <c:ser>
          <c:idx val="1"/>
          <c:order val="1"/>
          <c:tx>
            <c:strRef>
              <c:f>'财报2.0'!$F$48</c:f>
              <c:strCache>
                <c:ptCount val="1"/>
                <c:pt idx="0">
                  <c:v>公积金总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'财报2.0'!$A$49:$A$59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'财报2.0'!$F$49:$F$59</c:f>
              <c:numCache>
                <c:formatCode>0_ ;[Red]\-0\ 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700</c:v>
                </c:pt>
                <c:pt idx="4">
                  <c:v>1400</c:v>
                </c:pt>
                <c:pt idx="5">
                  <c:v>2100</c:v>
                </c:pt>
                <c:pt idx="6">
                  <c:v>2800</c:v>
                </c:pt>
                <c:pt idx="7">
                  <c:v>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5-41D4-B959-5214BC8BC977}"/>
            </c:ext>
          </c:extLst>
        </c:ser>
        <c:ser>
          <c:idx val="0"/>
          <c:order val="2"/>
          <c:tx>
            <c:strRef>
              <c:f>'财报2.0'!$B$48</c:f>
              <c:strCache>
                <c:ptCount val="1"/>
                <c:pt idx="0">
                  <c:v>存款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'财报2.0'!$A$49:$A$59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'财报2.0'!$B$49:$B$59</c:f>
              <c:numCache>
                <c:formatCode>0_ ;[Red]\-0\ </c:formatCode>
                <c:ptCount val="11"/>
                <c:pt idx="0">
                  <c:v>0</c:v>
                </c:pt>
                <c:pt idx="1">
                  <c:v>1202</c:v>
                </c:pt>
                <c:pt idx="2">
                  <c:v>6335</c:v>
                </c:pt>
                <c:pt idx="3">
                  <c:v>2010</c:v>
                </c:pt>
                <c:pt idx="4">
                  <c:v>3824</c:v>
                </c:pt>
                <c:pt idx="5">
                  <c:v>2380</c:v>
                </c:pt>
                <c:pt idx="6">
                  <c:v>1223</c:v>
                </c:pt>
                <c:pt idx="7">
                  <c:v>3471.41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BF-4B61-BB7E-7C2D1EFD3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1948408"/>
        <c:axId val="841949048"/>
      </c:barChart>
      <c:catAx>
        <c:axId val="84194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9048"/>
        <c:crosses val="autoZero"/>
        <c:auto val="1"/>
        <c:lblAlgn val="ctr"/>
        <c:lblOffset val="100"/>
        <c:noMultiLvlLbl val="1"/>
      </c:catAx>
      <c:valAx>
        <c:axId val="84194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8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accent5">
        <a:lumMod val="50000"/>
      </a:schemeClr>
    </a:solidFill>
    <a:ln>
      <a:solidFill>
        <a:sysClr val="windowText" lastClr="000000"/>
      </a:solidFill>
    </a:ln>
    <a:effectLst/>
  </c:spPr>
  <c:txPr>
    <a:bodyPr/>
    <a:lstStyle/>
    <a:p>
      <a:pPr>
        <a:defRPr sz="8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 sz="1400" baseline="0"/>
              <a:t>存款</a:t>
            </a:r>
            <a:r>
              <a:rPr lang="en-US" altLang="zh-CN" sz="1400" baseline="0"/>
              <a:t>-</a:t>
            </a:r>
            <a:r>
              <a:rPr lang="zh-CN" altLang="en-US" sz="1400" baseline="0"/>
              <a:t>支出</a:t>
            </a:r>
            <a:endParaRPr lang="zh-CN" sz="1400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'财报3.0'!$R$30</c:f>
              <c:strCache>
                <c:ptCount val="1"/>
                <c:pt idx="0">
                  <c:v>存款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'财报3.0'!$R$31:$R$41</c:f>
              <c:numCache>
                <c:formatCode>0_ ;[Red]\-0\ </c:formatCode>
                <c:ptCount val="11"/>
                <c:pt idx="0">
                  <c:v>0</c:v>
                </c:pt>
                <c:pt idx="1">
                  <c:v>1202</c:v>
                </c:pt>
                <c:pt idx="2">
                  <c:v>6335</c:v>
                </c:pt>
                <c:pt idx="3">
                  <c:v>2010</c:v>
                </c:pt>
                <c:pt idx="4">
                  <c:v>3824</c:v>
                </c:pt>
                <c:pt idx="5">
                  <c:v>2380</c:v>
                </c:pt>
                <c:pt idx="6">
                  <c:v>1223</c:v>
                </c:pt>
                <c:pt idx="7">
                  <c:v>3471.41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9F-4757-9F0B-B2ED361E6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1948408"/>
        <c:axId val="841949048"/>
      </c:barChart>
      <c:scatterChart>
        <c:scatterStyle val="smoothMarker"/>
        <c:varyColors val="0"/>
        <c:ser>
          <c:idx val="2"/>
          <c:order val="1"/>
          <c:tx>
            <c:strRef>
              <c:f>'财报3.0'!$Q$30</c:f>
              <c:strCache>
                <c:ptCount val="1"/>
                <c:pt idx="0">
                  <c:v>月度支出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'财报3.0'!$Q$31:$Q$41</c:f>
              <c:numCache>
                <c:formatCode>0_ ;[Red]\-0\ </c:formatCode>
                <c:ptCount val="11"/>
                <c:pt idx="0">
                  <c:v>2282.91</c:v>
                </c:pt>
                <c:pt idx="1">
                  <c:v>1174.9700000000003</c:v>
                </c:pt>
                <c:pt idx="2">
                  <c:v>10353.14</c:v>
                </c:pt>
                <c:pt idx="3">
                  <c:v>4070.9700000000003</c:v>
                </c:pt>
                <c:pt idx="4">
                  <c:v>8651.9700000000012</c:v>
                </c:pt>
                <c:pt idx="5">
                  <c:v>7914.9700000000012</c:v>
                </c:pt>
                <c:pt idx="6">
                  <c:v>4587.28</c:v>
                </c:pt>
                <c:pt idx="7">
                  <c:v>5482.0999999999985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D9F-4757-9F0B-B2ED361E6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948408"/>
        <c:axId val="841949048"/>
      </c:scatterChart>
      <c:catAx>
        <c:axId val="84194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9048"/>
        <c:crosses val="autoZero"/>
        <c:auto val="1"/>
        <c:lblAlgn val="ctr"/>
        <c:lblOffset val="100"/>
        <c:noMultiLvlLbl val="1"/>
      </c:catAx>
      <c:valAx>
        <c:axId val="84194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8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accent5">
        <a:lumMod val="50000"/>
      </a:schemeClr>
    </a:solidFill>
    <a:ln>
      <a:solidFill>
        <a:sysClr val="windowText" lastClr="000000"/>
      </a:solidFill>
    </a:ln>
    <a:effectLst/>
  </c:spPr>
  <c:txPr>
    <a:bodyPr/>
    <a:lstStyle/>
    <a:p>
      <a:pPr>
        <a:defRPr sz="8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资产</a:t>
            </a:r>
            <a:r>
              <a:rPr lang="zh-CN" altLang="en-US"/>
              <a:t>结构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4CD-42BD-BB70-C17DFE736D8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4CD-42BD-BB70-C17DFE736D8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4CD-42BD-BB70-C17DFE736D8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('财报2.0'!$B$48,'财报2.0'!$D$48,'财报2.0'!$F$48,'财报2.0'!$B$62,'财报2.0'!$D$62,'财报2.0'!$F$62)</c:f>
              <c:strCache>
                <c:ptCount val="6"/>
                <c:pt idx="0">
                  <c:v>存款</c:v>
                </c:pt>
                <c:pt idx="1">
                  <c:v>社保总</c:v>
                </c:pt>
                <c:pt idx="2">
                  <c:v>公积金总</c:v>
                </c:pt>
                <c:pt idx="3">
                  <c:v>3471 </c:v>
                </c:pt>
                <c:pt idx="4">
                  <c:v>2841 </c:v>
                </c:pt>
                <c:pt idx="5">
                  <c:v>3500 </c:v>
                </c:pt>
              </c:strCache>
            </c:strRef>
          </c:cat>
          <c:val>
            <c:numRef>
              <c:f>('财报3.0'!$R$42,'财报3.0'!$B$42,'财报3.0'!$C$42)</c:f>
              <c:numCache>
                <c:formatCode>0_ ;[Red]\-0\ </c:formatCode>
                <c:ptCount val="3"/>
                <c:pt idx="0">
                  <c:v>2920.772857142857</c:v>
                </c:pt>
                <c:pt idx="1">
                  <c:v>355.11</c:v>
                </c:pt>
                <c:pt idx="2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4CD-42BD-BB70-C17DFE736D8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50000"/>
      </a:schemeClr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7.8170332690021854E-2"/>
          <c:w val="1"/>
          <c:h val="0.9375"/>
        </c:manualLayout>
      </c:layout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0CE-4645-94BA-38E8DE6E25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0CE-4645-94BA-38E8DE6E2529}"/>
              </c:ext>
            </c:extLst>
          </c:dPt>
          <c:dLbls>
            <c:dLbl>
              <c:idx val="0"/>
              <c:layout>
                <c:manualLayout>
                  <c:x val="-0.15730337078651685"/>
                  <c:y val="1.5217405196763845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5168539325842697"/>
                      <c:h val="0.4565221559029153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60CE-4645-94BA-38E8DE6E2529}"/>
                </c:ext>
              </c:extLst>
            </c:dLbl>
            <c:dLbl>
              <c:idx val="1"/>
              <c:layout>
                <c:manualLayout>
                  <c:x val="-0.13430673401978999"/>
                  <c:y val="-0.12843180052282868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52603470824417742"/>
                      <c:h val="0.4816192519606075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60CE-4645-94BA-38E8DE6E25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('财报3.0'!$R$30,'财报3.0'!$Q$30)</c:f>
              <c:strCache>
                <c:ptCount val="2"/>
                <c:pt idx="0">
                  <c:v>存款</c:v>
                </c:pt>
                <c:pt idx="1">
                  <c:v>月度支出</c:v>
                </c:pt>
              </c:strCache>
            </c:strRef>
          </c:cat>
          <c:val>
            <c:numRef>
              <c:f>('财报3.0'!$R$42,'财报3.0'!$Q$42)</c:f>
              <c:numCache>
                <c:formatCode>0_ ;[Red]\-0\ </c:formatCode>
                <c:ptCount val="2"/>
                <c:pt idx="0">
                  <c:v>2920.772857142857</c:v>
                </c:pt>
                <c:pt idx="1">
                  <c:v>5564.7887500000006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CE-4645-94BA-38E8DE6E252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50000"/>
      </a:schemeClr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月消费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'财报3.0'!$H$30</c:f>
              <c:strCache>
                <c:ptCount val="1"/>
                <c:pt idx="0">
                  <c:v>房租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'财报3.0'!$H$31:$H$41</c:f>
              <c:numCache>
                <c:formatCode>0_ ;[Red]\-0\ </c:formatCode>
                <c:ptCount val="11"/>
                <c:pt idx="0">
                  <c:v>685</c:v>
                </c:pt>
                <c:pt idx="1">
                  <c:v>634</c:v>
                </c:pt>
                <c:pt idx="2">
                  <c:v>648</c:v>
                </c:pt>
                <c:pt idx="3">
                  <c:v>1490</c:v>
                </c:pt>
                <c:pt idx="4">
                  <c:v>1653</c:v>
                </c:pt>
                <c:pt idx="5">
                  <c:v>974</c:v>
                </c:pt>
                <c:pt idx="6">
                  <c:v>1002</c:v>
                </c:pt>
                <c:pt idx="7">
                  <c:v>944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C4-4869-8819-4CF5716D4179}"/>
            </c:ext>
          </c:extLst>
        </c:ser>
        <c:ser>
          <c:idx val="1"/>
          <c:order val="1"/>
          <c:tx>
            <c:strRef>
              <c:f>'财报3.0'!$I$30</c:f>
              <c:strCache>
                <c:ptCount val="1"/>
                <c:pt idx="0">
                  <c:v>债务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'财报3.0'!$I$31:$I$41</c:f>
              <c:numCache>
                <c:formatCode>0_ ;[Red]\-0\ </c:formatCode>
                <c:ptCount val="11"/>
                <c:pt idx="2">
                  <c:v>3000</c:v>
                </c:pt>
                <c:pt idx="4">
                  <c:v>4000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C4-4869-8819-4CF5716D4179}"/>
            </c:ext>
          </c:extLst>
        </c:ser>
        <c:ser>
          <c:idx val="2"/>
          <c:order val="2"/>
          <c:tx>
            <c:strRef>
              <c:f>'财报3.0'!$J$30</c:f>
              <c:strCache>
                <c:ptCount val="1"/>
                <c:pt idx="0">
                  <c:v>电子产品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'财报3.0'!$J$31:$J$41</c:f>
              <c:numCache>
                <c:formatCode>0_ ;[Red]\-0\ </c:formatCode>
                <c:ptCount val="11"/>
                <c:pt idx="5">
                  <c:v>5248</c:v>
                </c:pt>
                <c:pt idx="6">
                  <c:v>1040</c:v>
                </c:pt>
                <c:pt idx="7">
                  <c:v>2408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C4-4869-8819-4CF5716D4179}"/>
            </c:ext>
          </c:extLst>
        </c:ser>
        <c:ser>
          <c:idx val="3"/>
          <c:order val="3"/>
          <c:tx>
            <c:strRef>
              <c:f>'财报3.0'!$K$30</c:f>
              <c:strCache>
                <c:ptCount val="1"/>
                <c:pt idx="0">
                  <c:v>日常吃饭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'财报3.0'!$K$31:$K$41</c:f>
              <c:numCache>
                <c:formatCode>0_ ;[Red]\-0\ </c:formatCode>
                <c:ptCount val="11"/>
                <c:pt idx="0">
                  <c:v>1099.9099999999999</c:v>
                </c:pt>
                <c:pt idx="1">
                  <c:v>540.97000000000025</c:v>
                </c:pt>
                <c:pt idx="2">
                  <c:v>5946.1399999999994</c:v>
                </c:pt>
                <c:pt idx="3">
                  <c:v>2342.9700000000003</c:v>
                </c:pt>
                <c:pt idx="4">
                  <c:v>2998.9700000000012</c:v>
                </c:pt>
                <c:pt idx="5">
                  <c:v>894.97000000000116</c:v>
                </c:pt>
                <c:pt idx="6">
                  <c:v>2417.2799999999997</c:v>
                </c:pt>
                <c:pt idx="7">
                  <c:v>2058.0999999999985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C4-4869-8819-4CF5716D4179}"/>
            </c:ext>
          </c:extLst>
        </c:ser>
        <c:ser>
          <c:idx val="4"/>
          <c:order val="4"/>
          <c:tx>
            <c:strRef>
              <c:f>'财报3.0'!$L$30</c:f>
              <c:strCache>
                <c:ptCount val="1"/>
                <c:pt idx="0">
                  <c:v>娱乐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'财报3.0'!$L$31:$L$41</c:f>
              <c:numCache>
                <c:formatCode>0_ ;[Red]\-0\ </c:formatCode>
                <c:ptCount val="11"/>
                <c:pt idx="0">
                  <c:v>498</c:v>
                </c:pt>
                <c:pt idx="2">
                  <c:v>520</c:v>
                </c:pt>
                <c:pt idx="5">
                  <c:v>498</c:v>
                </c:pt>
                <c:pt idx="6">
                  <c:v>128</c:v>
                </c:pt>
                <c:pt idx="8">
                  <c:v>436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0C4-4869-8819-4CF5716D4179}"/>
            </c:ext>
          </c:extLst>
        </c:ser>
        <c:ser>
          <c:idx val="5"/>
          <c:order val="5"/>
          <c:tx>
            <c:strRef>
              <c:f>'财报3.0'!$M$30</c:f>
              <c:strCache>
                <c:ptCount val="1"/>
                <c:pt idx="0">
                  <c:v>穿戴背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'财报3.0'!$M$31:$M$41</c:f>
              <c:numCache>
                <c:formatCode>0_ ;[Red]\-0\ </c:formatCode>
                <c:ptCount val="11"/>
                <c:pt idx="2">
                  <c:v>239</c:v>
                </c:pt>
                <c:pt idx="3">
                  <c:v>238</c:v>
                </c:pt>
                <c:pt idx="5">
                  <c:v>300</c:v>
                </c:pt>
                <c:pt idx="7">
                  <c:v>72</c:v>
                </c:pt>
                <c:pt idx="8">
                  <c:v>418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0C4-4869-8819-4CF5716D4179}"/>
            </c:ext>
          </c:extLst>
        </c:ser>
        <c:ser>
          <c:idx val="6"/>
          <c:order val="6"/>
          <c:tx>
            <c:strRef>
              <c:f>'财报3.0'!$P$30</c:f>
              <c:strCache>
                <c:ptCount val="1"/>
                <c:pt idx="0">
                  <c:v>其他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'财报3.0'!$P$31:$P$41</c:f>
              <c:numCache>
                <c:formatCode>0_ ;[Red]\-0\ </c:formatCode>
                <c:ptCount val="11"/>
                <c:pt idx="8">
                  <c:v>288.3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C4-4869-8819-4CF5716D4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889912"/>
        <c:axId val="650988560"/>
      </c:scatterChart>
      <c:valAx>
        <c:axId val="637889912"/>
        <c:scaling>
          <c:orientation val="minMax"/>
          <c:min val="2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0988560"/>
        <c:crosses val="autoZero"/>
        <c:crossBetween val="midCat"/>
      </c:valAx>
      <c:valAx>
        <c:axId val="65098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  <a:alpha val="10000"/>
                </a:schemeClr>
              </a:solidFill>
              <a:prstDash val="solid"/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7889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50000"/>
      </a:schemeClr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'财报3.0'!$F$30</c:f>
              <c:strCache>
                <c:ptCount val="1"/>
                <c:pt idx="0">
                  <c:v>到手工资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'财报3.0'!$F$31:$F$41</c:f>
              <c:numCache>
                <c:formatCode>0_ ;[Red]\-0\ </c:formatCode>
                <c:ptCount val="11"/>
                <c:pt idx="0">
                  <c:v>3484.91</c:v>
                </c:pt>
                <c:pt idx="1">
                  <c:v>6307.97</c:v>
                </c:pt>
                <c:pt idx="2">
                  <c:v>6028.14</c:v>
                </c:pt>
                <c:pt idx="3">
                  <c:v>5884.97</c:v>
                </c:pt>
                <c:pt idx="4">
                  <c:v>7207.97</c:v>
                </c:pt>
                <c:pt idx="5">
                  <c:v>6757.97</c:v>
                </c:pt>
                <c:pt idx="6">
                  <c:v>6835.69</c:v>
                </c:pt>
                <c:pt idx="7">
                  <c:v>7285.69</c:v>
                </c:pt>
                <c:pt idx="8">
                  <c:v>7026.97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C4-4940-BB04-29F1BA483D1B}"/>
            </c:ext>
          </c:extLst>
        </c:ser>
        <c:ser>
          <c:idx val="3"/>
          <c:order val="2"/>
          <c:tx>
            <c:strRef>
              <c:f>'财报3.0'!$B$30</c:f>
              <c:strCache>
                <c:ptCount val="1"/>
                <c:pt idx="0">
                  <c:v>社保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'财报3.0'!$B$31:$B$41</c:f>
              <c:numCache>
                <c:formatCode>0_ ;[Red]\-0\ </c:formatCode>
                <c:ptCount val="11"/>
                <c:pt idx="0">
                  <c:v>346.7</c:v>
                </c:pt>
                <c:pt idx="1">
                  <c:v>346.7</c:v>
                </c:pt>
                <c:pt idx="2">
                  <c:v>346.7</c:v>
                </c:pt>
                <c:pt idx="3">
                  <c:v>346.7</c:v>
                </c:pt>
                <c:pt idx="4">
                  <c:v>346.7</c:v>
                </c:pt>
                <c:pt idx="5">
                  <c:v>346.7</c:v>
                </c:pt>
                <c:pt idx="6">
                  <c:v>380.34</c:v>
                </c:pt>
                <c:pt idx="7">
                  <c:v>380.34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C4-4940-BB04-29F1BA483D1B}"/>
            </c:ext>
          </c:extLst>
        </c:ser>
        <c:ser>
          <c:idx val="5"/>
          <c:order val="3"/>
          <c:tx>
            <c:strRef>
              <c:f>'财报3.0'!$D$30</c:f>
              <c:strCache>
                <c:ptCount val="1"/>
                <c:pt idx="0">
                  <c:v>个税</c:v>
                </c:pt>
              </c:strCache>
            </c:strRef>
          </c:tx>
          <c:spPr>
            <a:solidFill>
              <a:srgbClr val="FF66FF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'财报3.0'!$D$31:$D$41</c:f>
              <c:numCache>
                <c:formatCode>0_ ;[Red]\-0\ </c:formatCode>
                <c:ptCount val="11"/>
                <c:pt idx="1">
                  <c:v>195.33</c:v>
                </c:pt>
                <c:pt idx="2">
                  <c:v>164.24</c:v>
                </c:pt>
                <c:pt idx="3">
                  <c:v>148.33000000000001</c:v>
                </c:pt>
                <c:pt idx="4">
                  <c:v>295.33</c:v>
                </c:pt>
                <c:pt idx="5">
                  <c:v>245.33</c:v>
                </c:pt>
                <c:pt idx="6">
                  <c:v>253.97</c:v>
                </c:pt>
                <c:pt idx="7">
                  <c:v>303.97000000000003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C4-4940-BB04-29F1BA483D1B}"/>
            </c:ext>
          </c:extLst>
        </c:ser>
        <c:ser>
          <c:idx val="4"/>
          <c:order val="4"/>
          <c:tx>
            <c:strRef>
              <c:f>'财报3.0'!$C$30</c:f>
              <c:strCache>
                <c:ptCount val="1"/>
                <c:pt idx="0">
                  <c:v>公积金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'财报3.0'!$C$31:$C$41</c:f>
              <c:numCache>
                <c:formatCode>0_ ;[Red]\-0\ </c:formatCode>
                <c:ptCount val="11"/>
                <c:pt idx="3">
                  <c:v>350</c:v>
                </c:pt>
                <c:pt idx="4">
                  <c:v>350</c:v>
                </c:pt>
                <c:pt idx="5">
                  <c:v>350</c:v>
                </c:pt>
                <c:pt idx="6">
                  <c:v>350</c:v>
                </c:pt>
                <c:pt idx="7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C4-4940-BB04-29F1BA483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50272440"/>
        <c:axId val="750272760"/>
      </c:barChart>
      <c:scatterChart>
        <c:scatterStyle val="smoothMarker"/>
        <c:varyColors val="0"/>
        <c:ser>
          <c:idx val="0"/>
          <c:order val="0"/>
          <c:tx>
            <c:strRef>
              <c:f>'财报3.0'!$R$30</c:f>
              <c:strCache>
                <c:ptCount val="1"/>
                <c:pt idx="0">
                  <c:v>存款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'财报3.0'!$R$31:$R$41</c:f>
              <c:numCache>
                <c:formatCode>0_ ;[Red]\-0\ </c:formatCode>
                <c:ptCount val="11"/>
                <c:pt idx="0">
                  <c:v>0</c:v>
                </c:pt>
                <c:pt idx="1">
                  <c:v>1202</c:v>
                </c:pt>
                <c:pt idx="2">
                  <c:v>6335</c:v>
                </c:pt>
                <c:pt idx="3">
                  <c:v>2010</c:v>
                </c:pt>
                <c:pt idx="4">
                  <c:v>3824</c:v>
                </c:pt>
                <c:pt idx="5">
                  <c:v>2380</c:v>
                </c:pt>
                <c:pt idx="6">
                  <c:v>1223</c:v>
                </c:pt>
                <c:pt idx="7">
                  <c:v>3471.41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7C4-4940-BB04-29F1BA483D1B}"/>
            </c:ext>
          </c:extLst>
        </c:ser>
        <c:ser>
          <c:idx val="8"/>
          <c:order val="5"/>
          <c:tx>
            <c:strRef>
              <c:f>'财报3.0'!$Q$30</c:f>
              <c:strCache>
                <c:ptCount val="1"/>
                <c:pt idx="0">
                  <c:v>月度支出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yVal>
            <c:numRef>
              <c:f>'财报3.0'!$Q$31:$Q$41</c:f>
              <c:numCache>
                <c:formatCode>0_ ;[Red]\-0\ </c:formatCode>
                <c:ptCount val="11"/>
                <c:pt idx="0">
                  <c:v>2282.91</c:v>
                </c:pt>
                <c:pt idx="1">
                  <c:v>1174.9700000000003</c:v>
                </c:pt>
                <c:pt idx="2">
                  <c:v>10353.14</c:v>
                </c:pt>
                <c:pt idx="3">
                  <c:v>4070.9700000000003</c:v>
                </c:pt>
                <c:pt idx="4">
                  <c:v>8651.9700000000012</c:v>
                </c:pt>
                <c:pt idx="5">
                  <c:v>7914.9700000000012</c:v>
                </c:pt>
                <c:pt idx="6">
                  <c:v>4587.28</c:v>
                </c:pt>
                <c:pt idx="7">
                  <c:v>5482.0999999999985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7C4-4940-BB04-29F1BA483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272440"/>
        <c:axId val="750272760"/>
      </c:scatterChart>
      <c:catAx>
        <c:axId val="750272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72760"/>
        <c:crosses val="autoZero"/>
        <c:auto val="1"/>
        <c:lblAlgn val="ctr"/>
        <c:lblOffset val="100"/>
        <c:noMultiLvlLbl val="1"/>
      </c:catAx>
      <c:valAx>
        <c:axId val="75027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72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50000"/>
      </a:schemeClr>
    </a:solidFill>
    <a:ln>
      <a:solidFill>
        <a:schemeClr val="tx1"/>
      </a:solidFill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'财报3.0'!$R$30</c:f>
              <c:strCache>
                <c:ptCount val="1"/>
                <c:pt idx="0">
                  <c:v>存款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'财报3.0'!$R$31:$R$41</c:f>
              <c:numCache>
                <c:formatCode>0_ ;[Red]\-0\ </c:formatCode>
                <c:ptCount val="11"/>
                <c:pt idx="0">
                  <c:v>0</c:v>
                </c:pt>
                <c:pt idx="1">
                  <c:v>1202</c:v>
                </c:pt>
                <c:pt idx="2">
                  <c:v>6335</c:v>
                </c:pt>
                <c:pt idx="3">
                  <c:v>2010</c:v>
                </c:pt>
                <c:pt idx="4">
                  <c:v>3824</c:v>
                </c:pt>
                <c:pt idx="5">
                  <c:v>2380</c:v>
                </c:pt>
                <c:pt idx="6">
                  <c:v>1223</c:v>
                </c:pt>
                <c:pt idx="7">
                  <c:v>3471.41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8D-4BC6-BE01-5738804F6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1948408"/>
        <c:axId val="841949048"/>
      </c:barChart>
      <c:lineChart>
        <c:grouping val="standard"/>
        <c:varyColors val="0"/>
        <c:ser>
          <c:idx val="2"/>
          <c:order val="1"/>
          <c:tx>
            <c:strRef>
              <c:f>'财报3.0'!$Q$30</c:f>
              <c:strCache>
                <c:ptCount val="1"/>
                <c:pt idx="0">
                  <c:v>月度支出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'财报3.0'!$Q$31:$Q$41</c:f>
              <c:numCache>
                <c:formatCode>0_ ;[Red]\-0\ </c:formatCode>
                <c:ptCount val="11"/>
                <c:pt idx="0">
                  <c:v>2282.91</c:v>
                </c:pt>
                <c:pt idx="1">
                  <c:v>1174.9700000000003</c:v>
                </c:pt>
                <c:pt idx="2">
                  <c:v>10353.14</c:v>
                </c:pt>
                <c:pt idx="3">
                  <c:v>4070.9700000000003</c:v>
                </c:pt>
                <c:pt idx="4">
                  <c:v>8651.9700000000012</c:v>
                </c:pt>
                <c:pt idx="5">
                  <c:v>7914.9700000000012</c:v>
                </c:pt>
                <c:pt idx="6">
                  <c:v>4587.28</c:v>
                </c:pt>
                <c:pt idx="7">
                  <c:v>5482.0999999999985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89-48B0-84C9-1E47B05A7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1948408"/>
        <c:axId val="841949048"/>
      </c:lineChart>
      <c:catAx>
        <c:axId val="84194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9048"/>
        <c:crosses val="autoZero"/>
        <c:auto val="1"/>
        <c:lblAlgn val="ctr"/>
        <c:lblOffset val="100"/>
        <c:noMultiLvlLbl val="1"/>
      </c:catAx>
      <c:valAx>
        <c:axId val="84194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8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accent5">
        <a:lumMod val="50000"/>
      </a:schemeClr>
    </a:solidFill>
    <a:ln>
      <a:solidFill>
        <a:sysClr val="windowText" lastClr="000000"/>
      </a:solidFill>
    </a:ln>
    <a:effectLst/>
  </c:spPr>
  <c:txPr>
    <a:bodyPr/>
    <a:lstStyle/>
    <a:p>
      <a:pPr>
        <a:defRPr sz="8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Lbls>
            <c:dLbl>
              <c:idx val="3"/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4256292906178489"/>
                      <c:h val="0.2093397044425673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5B1E-4878-AB89-DA40FABB7A52}"/>
                </c:ext>
              </c:extLst>
            </c:dLbl>
            <c:dLbl>
              <c:idx val="4"/>
              <c:layout>
                <c:manualLayout>
                  <c:x val="-0.23283734842069226"/>
                  <c:y val="0.20144009295416856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B1E-4878-AB89-DA40FABB7A52}"/>
                </c:ext>
              </c:extLst>
            </c:dLbl>
            <c:dLbl>
              <c:idx val="5"/>
              <c:layout>
                <c:manualLayout>
                  <c:x val="-0.27041964720085049"/>
                  <c:y val="2.2382232550463173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B1E-4878-AB89-DA40FABB7A52}"/>
                </c:ext>
              </c:extLst>
            </c:dLbl>
            <c:dLbl>
              <c:idx val="6"/>
              <c:layout>
                <c:manualLayout>
                  <c:x val="0.25649543235013245"/>
                  <c:y val="7.8996114883987667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8C9-4D2C-A373-800BAE3F895C}"/>
                </c:ext>
              </c:extLst>
            </c:dLbl>
            <c:dLbl>
              <c:idx val="7"/>
              <c:layout>
                <c:manualLayout>
                  <c:x val="-1.8306636155606449E-2"/>
                  <c:y val="3.9498057441993834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0480549199084669"/>
                      <c:h val="0.233038538907763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E-28C9-4D2C-A373-800BAE3F895C}"/>
                </c:ext>
              </c:extLst>
            </c:dLbl>
            <c:dLbl>
              <c:idx val="8"/>
              <c:layout>
                <c:manualLayout>
                  <c:x val="0.39540946683724032"/>
                  <c:y val="4.8714270845125723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5B5-41FE-94C5-7F4CA6AA677E}"/>
                </c:ext>
              </c:extLst>
            </c:dLbl>
            <c:spPr>
              <a:noFill/>
              <a:ln>
                <a:noFill/>
              </a:ln>
              <a:effectLst/>
            </c:sp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('财报3.0'!$H$30,'财报3.0'!$I$30,'财报3.0'!$J$30,'财报3.0'!$K$30,'财报3.0'!$L$30,'财报3.0'!$M$30,'财报3.0'!$N$30,'财报3.0'!$O$30,'财报3.0'!$P$30)</c:f>
              <c:strCache>
                <c:ptCount val="9"/>
                <c:pt idx="0">
                  <c:v>房租</c:v>
                </c:pt>
                <c:pt idx="1">
                  <c:v>债务</c:v>
                </c:pt>
                <c:pt idx="2">
                  <c:v>电子产品</c:v>
                </c:pt>
                <c:pt idx="3">
                  <c:v>日常吃饭</c:v>
                </c:pt>
                <c:pt idx="4">
                  <c:v>娱乐</c:v>
                </c:pt>
                <c:pt idx="5">
                  <c:v>穿戴背</c:v>
                </c:pt>
                <c:pt idx="6">
                  <c:v>聚餐</c:v>
                </c:pt>
                <c:pt idx="7">
                  <c:v>学习经费</c:v>
                </c:pt>
                <c:pt idx="8">
                  <c:v>其他</c:v>
                </c:pt>
              </c:strCache>
            </c:strRef>
          </c:cat>
          <c:val>
            <c:numRef>
              <c:f>('财报3.0'!$H$43,'财报3.0'!$I$43,'财报3.0'!$J$43,'财报3.0'!$K$43,'财报3.0'!$L$43,'财报3.0'!$M$43,'财报3.0'!$N$43,'财报3.0'!$O$43,'财报3.0'!$P$43)</c:f>
              <c:numCache>
                <c:formatCode>0_ ;[Red]\-0\ </c:formatCode>
                <c:ptCount val="9"/>
                <c:pt idx="0">
                  <c:v>8030</c:v>
                </c:pt>
                <c:pt idx="1">
                  <c:v>7000</c:v>
                </c:pt>
                <c:pt idx="2">
                  <c:v>8696</c:v>
                </c:pt>
                <c:pt idx="3">
                  <c:v>18299.310000000001</c:v>
                </c:pt>
                <c:pt idx="4">
                  <c:v>2080</c:v>
                </c:pt>
                <c:pt idx="5">
                  <c:v>1267</c:v>
                </c:pt>
                <c:pt idx="6">
                  <c:v>0</c:v>
                </c:pt>
                <c:pt idx="7">
                  <c:v>0</c:v>
                </c:pt>
                <c:pt idx="8">
                  <c:v>288.3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1E-4878-AB89-DA40FABB7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50000"/>
      </a:schemeClr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7.8170332690021854E-2"/>
          <c:w val="1"/>
          <c:h val="0.9375"/>
        </c:manualLayout>
      </c:layout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2BB-465F-8707-FFF68C1EB61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2BB-465F-8707-FFF68C1EB61D}"/>
              </c:ext>
            </c:extLst>
          </c:dPt>
          <c:dLbls>
            <c:dLbl>
              <c:idx val="0"/>
              <c:layout>
                <c:manualLayout>
                  <c:x val="-0.31388305825902585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96076461771762178"/>
                      <c:h val="0.5336494955361363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82BB-465F-8707-FFF68C1EB61D}"/>
                </c:ext>
              </c:extLst>
            </c:dLbl>
            <c:dLbl>
              <c:idx val="1"/>
              <c:layout>
                <c:manualLayout>
                  <c:x val="0.15694152912951295"/>
                  <c:y val="1.608105187806426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61655777266604639"/>
                      <c:h val="0.5896385688623563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82BB-465F-8707-FFF68C1EB61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('财报3.0'!$Q$30,'财报3.0'!$R$30)</c:f>
              <c:strCache>
                <c:ptCount val="2"/>
                <c:pt idx="0">
                  <c:v>月度支出</c:v>
                </c:pt>
                <c:pt idx="1">
                  <c:v>存款</c:v>
                </c:pt>
              </c:strCache>
            </c:strRef>
          </c:cat>
          <c:val>
            <c:numRef>
              <c:f>('财报3.0'!$Q$43,'财报3.0'!$R$43)</c:f>
              <c:numCache>
                <c:formatCode>0_ ;[Red]\-0\ </c:formatCode>
                <c:ptCount val="2"/>
                <c:pt idx="0">
                  <c:v>44518.310000000005</c:v>
                </c:pt>
                <c:pt idx="1">
                  <c:v>3471.41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BB-465F-8707-FFF68C1EB61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50000"/>
      </a:schemeClr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'财报3.0'!$H$30</c:f>
              <c:strCache>
                <c:ptCount val="1"/>
                <c:pt idx="0">
                  <c:v>房租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'财报3.0'!$H$31:$H$41</c:f>
              <c:numCache>
                <c:formatCode>0_ ;[Red]\-0\ </c:formatCode>
                <c:ptCount val="11"/>
                <c:pt idx="0">
                  <c:v>685</c:v>
                </c:pt>
                <c:pt idx="1">
                  <c:v>634</c:v>
                </c:pt>
                <c:pt idx="2">
                  <c:v>648</c:v>
                </c:pt>
                <c:pt idx="3">
                  <c:v>1490</c:v>
                </c:pt>
                <c:pt idx="4">
                  <c:v>1653</c:v>
                </c:pt>
                <c:pt idx="5">
                  <c:v>974</c:v>
                </c:pt>
                <c:pt idx="6">
                  <c:v>1002</c:v>
                </c:pt>
                <c:pt idx="7">
                  <c:v>944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ED0-4180-8BB7-59FF11A274C8}"/>
            </c:ext>
          </c:extLst>
        </c:ser>
        <c:ser>
          <c:idx val="1"/>
          <c:order val="1"/>
          <c:tx>
            <c:strRef>
              <c:f>'财报3.0'!$I$30</c:f>
              <c:strCache>
                <c:ptCount val="1"/>
                <c:pt idx="0">
                  <c:v>债务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'财报3.0'!$I$31:$I$41</c:f>
              <c:numCache>
                <c:formatCode>0_ ;[Red]\-0\ </c:formatCode>
                <c:ptCount val="11"/>
                <c:pt idx="2">
                  <c:v>3000</c:v>
                </c:pt>
                <c:pt idx="4">
                  <c:v>4000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ED0-4180-8BB7-59FF11A274C8}"/>
            </c:ext>
          </c:extLst>
        </c:ser>
        <c:ser>
          <c:idx val="2"/>
          <c:order val="2"/>
          <c:tx>
            <c:strRef>
              <c:f>'财报3.0'!$J$30</c:f>
              <c:strCache>
                <c:ptCount val="1"/>
                <c:pt idx="0">
                  <c:v>电子产品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'财报3.0'!$J$31:$J$41</c:f>
              <c:numCache>
                <c:formatCode>0_ ;[Red]\-0\ </c:formatCode>
                <c:ptCount val="11"/>
                <c:pt idx="5">
                  <c:v>5248</c:v>
                </c:pt>
                <c:pt idx="6">
                  <c:v>1040</c:v>
                </c:pt>
                <c:pt idx="7">
                  <c:v>2408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8ED0-4180-8BB7-59FF11A274C8}"/>
            </c:ext>
          </c:extLst>
        </c:ser>
        <c:ser>
          <c:idx val="3"/>
          <c:order val="3"/>
          <c:tx>
            <c:strRef>
              <c:f>'财报3.0'!$K$30</c:f>
              <c:strCache>
                <c:ptCount val="1"/>
                <c:pt idx="0">
                  <c:v>日常吃饭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'财报3.0'!$K$31:$K$41</c:f>
              <c:numCache>
                <c:formatCode>0_ ;[Red]\-0\ </c:formatCode>
                <c:ptCount val="11"/>
                <c:pt idx="0">
                  <c:v>1099.9099999999999</c:v>
                </c:pt>
                <c:pt idx="1">
                  <c:v>540.97000000000025</c:v>
                </c:pt>
                <c:pt idx="2">
                  <c:v>5946.1399999999994</c:v>
                </c:pt>
                <c:pt idx="3">
                  <c:v>2342.9700000000003</c:v>
                </c:pt>
                <c:pt idx="4">
                  <c:v>2998.9700000000012</c:v>
                </c:pt>
                <c:pt idx="5">
                  <c:v>894.97000000000116</c:v>
                </c:pt>
                <c:pt idx="6">
                  <c:v>2417.2799999999997</c:v>
                </c:pt>
                <c:pt idx="7">
                  <c:v>2058.0999999999985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8ED0-4180-8BB7-59FF11A274C8}"/>
            </c:ext>
          </c:extLst>
        </c:ser>
        <c:ser>
          <c:idx val="4"/>
          <c:order val="4"/>
          <c:tx>
            <c:strRef>
              <c:f>'财报3.0'!$L$30</c:f>
              <c:strCache>
                <c:ptCount val="1"/>
                <c:pt idx="0">
                  <c:v>娱乐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'财报3.0'!$L$31:$L$41</c:f>
              <c:numCache>
                <c:formatCode>0_ ;[Red]\-0\ </c:formatCode>
                <c:ptCount val="11"/>
                <c:pt idx="0">
                  <c:v>498</c:v>
                </c:pt>
                <c:pt idx="2">
                  <c:v>520</c:v>
                </c:pt>
                <c:pt idx="5">
                  <c:v>498</c:v>
                </c:pt>
                <c:pt idx="6">
                  <c:v>128</c:v>
                </c:pt>
                <c:pt idx="8">
                  <c:v>436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8ED0-4180-8BB7-59FF11A274C8}"/>
            </c:ext>
          </c:extLst>
        </c:ser>
        <c:ser>
          <c:idx val="5"/>
          <c:order val="5"/>
          <c:tx>
            <c:strRef>
              <c:f>'财报3.0'!$M$30</c:f>
              <c:strCache>
                <c:ptCount val="1"/>
                <c:pt idx="0">
                  <c:v>穿戴背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'财报3.0'!$M$31:$M$41</c:f>
              <c:numCache>
                <c:formatCode>0_ ;[Red]\-0\ </c:formatCode>
                <c:ptCount val="11"/>
                <c:pt idx="2">
                  <c:v>239</c:v>
                </c:pt>
                <c:pt idx="3">
                  <c:v>238</c:v>
                </c:pt>
                <c:pt idx="5">
                  <c:v>300</c:v>
                </c:pt>
                <c:pt idx="7">
                  <c:v>72</c:v>
                </c:pt>
                <c:pt idx="8">
                  <c:v>418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8ED0-4180-8BB7-59FF11A274C8}"/>
            </c:ext>
          </c:extLst>
        </c:ser>
        <c:ser>
          <c:idx val="6"/>
          <c:order val="6"/>
          <c:tx>
            <c:strRef>
              <c:f>'财报3.0'!$P$30</c:f>
              <c:strCache>
                <c:ptCount val="1"/>
                <c:pt idx="0">
                  <c:v>其他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'财报3.0'!$P$31:$P$41</c:f>
              <c:numCache>
                <c:formatCode>0_ ;[Red]\-0\ </c:formatCode>
                <c:ptCount val="11"/>
                <c:pt idx="8">
                  <c:v>288.3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8ED0-4180-8BB7-59FF11A274C8}"/>
            </c:ext>
          </c:extLst>
        </c:ser>
        <c:ser>
          <c:idx val="7"/>
          <c:order val="7"/>
          <c:tx>
            <c:strRef>
              <c:f>'财报3.0'!$N$30</c:f>
              <c:strCache>
                <c:ptCount val="1"/>
                <c:pt idx="0">
                  <c:v>聚餐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'财报3.0'!$N$31:$N$41</c:f>
              <c:numCache>
                <c:formatCode>0_ ;[Red]\-0\ </c:formatCode>
                <c:ptCount val="11"/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1"/>
          <c:extLst>
            <c:ext xmlns:c16="http://schemas.microsoft.com/office/drawing/2014/chart" uri="{C3380CC4-5D6E-409C-BE32-E72D297353CC}">
              <c16:uniqueId val="{00000000-5ED1-4C28-A7F2-6B5B0E020F19}"/>
            </c:ext>
          </c:extLst>
        </c:ser>
        <c:ser>
          <c:idx val="8"/>
          <c:order val="8"/>
          <c:tx>
            <c:strRef>
              <c:f>'财报3.0'!$O$30</c:f>
              <c:strCache>
                <c:ptCount val="1"/>
                <c:pt idx="0">
                  <c:v>学习经费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'财报3.0'!$O$31:$O$41</c:f>
              <c:numCache>
                <c:formatCode>0_ ;[Red]\-0\ </c:formatCode>
                <c:ptCount val="11"/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A028-42C6-B7CE-E918C86B6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7889912"/>
        <c:axId val="650988560"/>
      </c:lineChart>
      <c:catAx>
        <c:axId val="637889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0988560"/>
        <c:crosses val="autoZero"/>
        <c:auto val="1"/>
        <c:lblAlgn val="ctr"/>
        <c:lblOffset val="100"/>
        <c:noMultiLvlLbl val="1"/>
      </c:catAx>
      <c:valAx>
        <c:axId val="65098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  <a:alpha val="10000"/>
                </a:schemeClr>
              </a:solidFill>
              <a:prstDash val="solid"/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7889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50000"/>
      </a:schemeClr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12700</xdr:colOff>
      <xdr:row>14</xdr:row>
      <xdr:rowOff>90389</xdr:rowOff>
    </xdr:from>
    <xdr:to>
      <xdr:col>26</xdr:col>
      <xdr:colOff>133350</xdr:colOff>
      <xdr:row>31</xdr:row>
      <xdr:rowOff>63007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79A231B-7674-43FE-B98F-E05B7465D9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6350</xdr:rowOff>
    </xdr:from>
    <xdr:to>
      <xdr:col>22</xdr:col>
      <xdr:colOff>0</xdr:colOff>
      <xdr:row>28</xdr:row>
      <xdr:rowOff>146050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E5C1BA2-9252-4B72-9AEC-C6B31904BD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6350</xdr:colOff>
      <xdr:row>47</xdr:row>
      <xdr:rowOff>146048</xdr:rowOff>
    </xdr:from>
    <xdr:to>
      <xdr:col>26</xdr:col>
      <xdr:colOff>139700</xdr:colOff>
      <xdr:row>62</xdr:row>
      <xdr:rowOff>7468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D7C45D4-2657-4250-8C0C-A3E7F8A98D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5229</xdr:colOff>
      <xdr:row>31</xdr:row>
      <xdr:rowOff>77700</xdr:rowOff>
    </xdr:from>
    <xdr:to>
      <xdr:col>26</xdr:col>
      <xdr:colOff>138579</xdr:colOff>
      <xdr:row>47</xdr:row>
      <xdr:rowOff>141947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CF5A9AB8-02EA-4F01-80D7-0C47FDBE72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100478</xdr:colOff>
      <xdr:row>28</xdr:row>
      <xdr:rowOff>150812</xdr:rowOff>
    </xdr:from>
    <xdr:to>
      <xdr:col>22</xdr:col>
      <xdr:colOff>0</xdr:colOff>
      <xdr:row>46</xdr:row>
      <xdr:rowOff>103186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8DA4E900-250F-4E32-A26D-45B68786AA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15314</xdr:colOff>
      <xdr:row>0</xdr:row>
      <xdr:rowOff>0</xdr:rowOff>
    </xdr:from>
    <xdr:to>
      <xdr:col>26</xdr:col>
      <xdr:colOff>134441</xdr:colOff>
      <xdr:row>14</xdr:row>
      <xdr:rowOff>67699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E5A104C2-F6CA-4F4D-AB1E-847BBA9874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406400</xdr:colOff>
      <xdr:row>12</xdr:row>
      <xdr:rowOff>107950</xdr:rowOff>
    </xdr:from>
    <xdr:to>
      <xdr:col>21</xdr:col>
      <xdr:colOff>1060450</xdr:colOff>
      <xdr:row>15</xdr:row>
      <xdr:rowOff>127000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6CDE628B-CC91-4FC3-9A12-9A5998E6232A}"/>
            </a:ext>
          </a:extLst>
        </xdr:cNvPr>
        <xdr:cNvSpPr txBox="1"/>
      </xdr:nvSpPr>
      <xdr:spPr>
        <a:xfrm>
          <a:off x="8020050" y="2051050"/>
          <a:ext cx="65405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>
              <a:solidFill>
                <a:srgbClr val="FF0000"/>
              </a:solidFill>
            </a:rPr>
            <a:t>恩格尔系数小康线</a:t>
          </a:r>
        </a:p>
      </xdr:txBody>
    </xdr:sp>
    <xdr:clientData/>
  </xdr:twoCellAnchor>
  <xdr:twoCellAnchor>
    <xdr:from>
      <xdr:col>25</xdr:col>
      <xdr:colOff>211364</xdr:colOff>
      <xdr:row>24</xdr:row>
      <xdr:rowOff>122464</xdr:rowOff>
    </xdr:from>
    <xdr:to>
      <xdr:col>26</xdr:col>
      <xdr:colOff>116114</xdr:colOff>
      <xdr:row>28</xdr:row>
      <xdr:rowOff>141514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AF07AB0A-0DA8-45ED-8947-7AD61F2E14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63501</xdr:colOff>
      <xdr:row>20</xdr:row>
      <xdr:rowOff>120650</xdr:rowOff>
    </xdr:from>
    <xdr:to>
      <xdr:col>25</xdr:col>
      <xdr:colOff>493939</xdr:colOff>
      <xdr:row>24</xdr:row>
      <xdr:rowOff>122464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9F371DD5-D55B-4A8C-AD1F-9DF3C3BC2FFA}"/>
            </a:ext>
          </a:extLst>
        </xdr:cNvPr>
        <xdr:cNvCxnSpPr>
          <a:stCxn id="9" idx="0"/>
        </xdr:cNvCxnSpPr>
      </xdr:nvCxnSpPr>
      <xdr:spPr>
        <a:xfrm flipH="1" flipV="1">
          <a:off x="10972801" y="3232150"/>
          <a:ext cx="430438" cy="5860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28</xdr:row>
      <xdr:rowOff>141514</xdr:rowOff>
    </xdr:from>
    <xdr:to>
      <xdr:col>25</xdr:col>
      <xdr:colOff>493939</xdr:colOff>
      <xdr:row>30</xdr:row>
      <xdr:rowOff>44450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9399C8C3-BC62-4724-8FB1-D3C7C05DAFD0}"/>
            </a:ext>
          </a:extLst>
        </xdr:cNvPr>
        <xdr:cNvCxnSpPr>
          <a:stCxn id="9" idx="2"/>
        </xdr:cNvCxnSpPr>
      </xdr:nvCxnSpPr>
      <xdr:spPr>
        <a:xfrm flipH="1">
          <a:off x="9645650" y="4421414"/>
          <a:ext cx="1757589" cy="2077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346536</xdr:colOff>
      <xdr:row>25</xdr:row>
      <xdr:rowOff>115764</xdr:rowOff>
    </xdr:from>
    <xdr:to>
      <xdr:col>26</xdr:col>
      <xdr:colOff>105674</xdr:colOff>
      <xdr:row>27</xdr:row>
      <xdr:rowOff>132520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E0A52EE7-83BA-4407-A0AC-AFA1E7668BD0}"/>
            </a:ext>
          </a:extLst>
        </xdr:cNvPr>
        <xdr:cNvSpPr txBox="1"/>
      </xdr:nvSpPr>
      <xdr:spPr>
        <a:xfrm>
          <a:off x="11255836" y="3957514"/>
          <a:ext cx="419538" cy="3088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>
              <a:solidFill>
                <a:schemeClr val="bg1"/>
              </a:solidFill>
            </a:rPr>
            <a:t>存款</a:t>
          </a:r>
        </a:p>
      </xdr:txBody>
    </xdr:sp>
    <xdr:clientData/>
  </xdr:twoCellAnchor>
  <xdr:twoCellAnchor>
    <xdr:from>
      <xdr:col>25</xdr:col>
      <xdr:colOff>162033</xdr:colOff>
      <xdr:row>27</xdr:row>
      <xdr:rowOff>83207</xdr:rowOff>
    </xdr:from>
    <xdr:to>
      <xdr:col>25</xdr:col>
      <xdr:colOff>582447</xdr:colOff>
      <xdr:row>28</xdr:row>
      <xdr:rowOff>109483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C22A4500-CED1-47D2-957E-95A08834CA37}"/>
            </a:ext>
          </a:extLst>
        </xdr:cNvPr>
        <xdr:cNvSpPr txBox="1"/>
      </xdr:nvSpPr>
      <xdr:spPr>
        <a:xfrm>
          <a:off x="11071333" y="4217057"/>
          <a:ext cx="420414" cy="172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>
              <a:solidFill>
                <a:schemeClr val="bg1"/>
              </a:solidFill>
            </a:rPr>
            <a:t>消费</a:t>
          </a:r>
        </a:p>
      </xdr:txBody>
    </xdr:sp>
    <xdr:clientData/>
  </xdr:twoCellAnchor>
  <xdr:twoCellAnchor>
    <xdr:from>
      <xdr:col>0</xdr:col>
      <xdr:colOff>0</xdr:colOff>
      <xdr:row>29</xdr:row>
      <xdr:rowOff>6350</xdr:rowOff>
    </xdr:from>
    <xdr:to>
      <xdr:col>13</xdr:col>
      <xdr:colOff>95250</xdr:colOff>
      <xdr:row>46</xdr:row>
      <xdr:rowOff>95250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3ADF228F-D09F-43F6-9D60-5B282C7830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6350</xdr:rowOff>
    </xdr:from>
    <xdr:to>
      <xdr:col>23</xdr:col>
      <xdr:colOff>0</xdr:colOff>
      <xdr:row>28</xdr:row>
      <xdr:rowOff>146050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B71D821-A2FF-4690-80B7-6166002668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5228</xdr:colOff>
      <xdr:row>31</xdr:row>
      <xdr:rowOff>30162</xdr:rowOff>
    </xdr:from>
    <xdr:to>
      <xdr:col>27</xdr:col>
      <xdr:colOff>158750</xdr:colOff>
      <xdr:row>43</xdr:row>
      <xdr:rowOff>6350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4C1DD95E-7C0E-427B-89CC-41AC678079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12700</xdr:colOff>
      <xdr:row>0</xdr:row>
      <xdr:rowOff>1489</xdr:rowOff>
    </xdr:from>
    <xdr:to>
      <xdr:col>27</xdr:col>
      <xdr:colOff>146050</xdr:colOff>
      <xdr:row>15</xdr:row>
      <xdr:rowOff>31750</xdr:rowOff>
    </xdr:to>
    <xdr:grpSp>
      <xdr:nvGrpSpPr>
        <xdr:cNvPr id="5" name="组合 4">
          <a:extLst>
            <a:ext uri="{FF2B5EF4-FFF2-40B4-BE49-F238E27FC236}">
              <a16:creationId xmlns:a16="http://schemas.microsoft.com/office/drawing/2014/main" id="{C6AF1253-D667-4584-B479-B4C8E084B287}"/>
            </a:ext>
          </a:extLst>
        </xdr:cNvPr>
        <xdr:cNvGrpSpPr/>
      </xdr:nvGrpSpPr>
      <xdr:grpSpPr>
        <a:xfrm>
          <a:off x="8921750" y="1489"/>
          <a:ext cx="2774950" cy="2411511"/>
          <a:chOff x="9442450" y="2325589"/>
          <a:chExt cx="2762250" cy="2468168"/>
        </a:xfrm>
      </xdr:grpSpPr>
      <xdr:graphicFrame macro="">
        <xdr:nvGraphicFramePr>
          <xdr:cNvPr id="4" name="图表 3">
            <a:extLst>
              <a:ext uri="{FF2B5EF4-FFF2-40B4-BE49-F238E27FC236}">
                <a16:creationId xmlns:a16="http://schemas.microsoft.com/office/drawing/2014/main" id="{06F7125A-9B80-4CC1-838F-53015BC429FB}"/>
              </a:ext>
            </a:extLst>
          </xdr:cNvPr>
          <xdr:cNvGraphicFramePr/>
        </xdr:nvGraphicFramePr>
        <xdr:xfrm>
          <a:off x="9442450" y="2325589"/>
          <a:ext cx="2762250" cy="246816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8" name="图表 7">
            <a:extLst>
              <a:ext uri="{FF2B5EF4-FFF2-40B4-BE49-F238E27FC236}">
                <a16:creationId xmlns:a16="http://schemas.microsoft.com/office/drawing/2014/main" id="{066D13C1-BF15-4A97-B038-1B0B07E1D00C}"/>
              </a:ext>
            </a:extLst>
          </xdr:cNvPr>
          <xdr:cNvGraphicFramePr/>
        </xdr:nvGraphicFramePr>
        <xdr:xfrm>
          <a:off x="9454994" y="4175460"/>
          <a:ext cx="565150" cy="6032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>
    <xdr:from>
      <xdr:col>23</xdr:col>
      <xdr:colOff>12700</xdr:colOff>
      <xdr:row>15</xdr:row>
      <xdr:rowOff>50800</xdr:rowOff>
    </xdr:from>
    <xdr:to>
      <xdr:col>27</xdr:col>
      <xdr:colOff>146050</xdr:colOff>
      <xdr:row>31</xdr:row>
      <xdr:rowOff>19050</xdr:rowOff>
    </xdr:to>
    <xdr:graphicFrame macro="">
      <xdr:nvGraphicFramePr>
        <xdr:cNvPr id="21" name="图表 20">
          <a:extLst>
            <a:ext uri="{FF2B5EF4-FFF2-40B4-BE49-F238E27FC236}">
              <a16:creationId xmlns:a16="http://schemas.microsoft.com/office/drawing/2014/main" id="{5508FB6D-0E30-4467-A0CC-04782FC17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309176</xdr:colOff>
      <xdr:row>5</xdr:row>
      <xdr:rowOff>133350</xdr:rowOff>
    </xdr:from>
    <xdr:to>
      <xdr:col>23</xdr:col>
      <xdr:colOff>476250</xdr:colOff>
      <xdr:row>11</xdr:row>
      <xdr:rowOff>11846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D917B85B-A365-46D1-B4B6-B21F655E1D2C}"/>
            </a:ext>
          </a:extLst>
        </xdr:cNvPr>
        <xdr:cNvCxnSpPr>
          <a:stCxn id="8" idx="0"/>
        </xdr:cNvCxnSpPr>
      </xdr:nvCxnSpPr>
      <xdr:spPr>
        <a:xfrm flipV="1">
          <a:off x="9218226" y="1054100"/>
          <a:ext cx="167074" cy="7547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309176</xdr:colOff>
      <xdr:row>12</xdr:row>
      <xdr:rowOff>38100</xdr:rowOff>
    </xdr:from>
    <xdr:to>
      <xdr:col>26</xdr:col>
      <xdr:colOff>63500</xdr:colOff>
      <xdr:row>15</xdr:row>
      <xdr:rowOff>17048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3033C51B-B3D0-45F9-B690-9ECC88139555}"/>
            </a:ext>
          </a:extLst>
        </xdr:cNvPr>
        <xdr:cNvCxnSpPr>
          <a:stCxn id="8" idx="2"/>
        </xdr:cNvCxnSpPr>
      </xdr:nvCxnSpPr>
      <xdr:spPr>
        <a:xfrm flipV="1">
          <a:off x="9218226" y="1981200"/>
          <a:ext cx="1735524" cy="4170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9DB5-DB89-4682-8758-4B7CCBF271E2}">
  <sheetPr>
    <tabColor theme="4" tint="-0.249977111117893"/>
  </sheetPr>
  <dimension ref="A1:K47"/>
  <sheetViews>
    <sheetView zoomScaleNormal="100" workbookViewId="0">
      <selection activeCell="E9" sqref="E9"/>
    </sheetView>
  </sheetViews>
  <sheetFormatPr defaultRowHeight="14" x14ac:dyDescent="0.3"/>
  <cols>
    <col min="1" max="1" width="5.6640625" style="32" customWidth="1"/>
    <col min="2" max="2" width="4.58203125" style="32" customWidth="1"/>
    <col min="3" max="3" width="15.33203125" style="33" customWidth="1"/>
    <col min="4" max="4" width="33.08203125" style="33" customWidth="1"/>
    <col min="5" max="5" width="37.58203125" style="34" customWidth="1"/>
    <col min="6" max="9" width="12.1640625" customWidth="1"/>
    <col min="10" max="10" width="8.9140625" customWidth="1"/>
  </cols>
  <sheetData>
    <row r="1" spans="1:11" s="39" customFormat="1" ht="19.5" customHeight="1" thickTop="1" thickBot="1" x14ac:dyDescent="0.45">
      <c r="A1" s="40" t="s">
        <v>236</v>
      </c>
      <c r="B1" s="40" t="s">
        <v>131</v>
      </c>
      <c r="C1" s="40" t="s">
        <v>237</v>
      </c>
      <c r="D1" s="40" t="s">
        <v>238</v>
      </c>
      <c r="E1" s="41" t="s">
        <v>239</v>
      </c>
      <c r="F1" s="93" t="s">
        <v>143</v>
      </c>
      <c r="G1" s="94"/>
      <c r="H1" s="94"/>
      <c r="I1" s="94"/>
      <c r="J1" s="94"/>
      <c r="K1" s="38"/>
    </row>
    <row r="2" spans="1:11" ht="14" customHeight="1" x14ac:dyDescent="0.3">
      <c r="A2" s="18">
        <v>2017</v>
      </c>
      <c r="B2" s="18">
        <v>23</v>
      </c>
      <c r="C2" s="16" t="s">
        <v>94</v>
      </c>
      <c r="D2" s="16" t="s">
        <v>96</v>
      </c>
      <c r="E2" s="19" t="s">
        <v>100</v>
      </c>
      <c r="F2" s="95" t="s">
        <v>98</v>
      </c>
      <c r="G2" s="95"/>
      <c r="H2" s="95"/>
      <c r="I2" s="95"/>
      <c r="J2" s="95"/>
      <c r="K2" s="17"/>
    </row>
    <row r="3" spans="1:11" x14ac:dyDescent="0.3">
      <c r="A3" s="18">
        <v>2018</v>
      </c>
      <c r="B3" s="18">
        <v>24</v>
      </c>
      <c r="C3" s="16" t="s">
        <v>95</v>
      </c>
      <c r="D3" s="16" t="s">
        <v>109</v>
      </c>
      <c r="E3" s="19" t="s">
        <v>203</v>
      </c>
      <c r="F3" s="77" t="s">
        <v>102</v>
      </c>
      <c r="G3" s="78"/>
      <c r="H3" s="78"/>
      <c r="I3" s="78"/>
      <c r="J3" s="78"/>
      <c r="K3" s="17"/>
    </row>
    <row r="4" spans="1:11" x14ac:dyDescent="0.3">
      <c r="A4" s="18">
        <v>2019</v>
      </c>
      <c r="B4" s="18">
        <v>25</v>
      </c>
      <c r="C4" s="16" t="s">
        <v>204</v>
      </c>
      <c r="D4" s="16"/>
      <c r="E4" s="19"/>
      <c r="F4" s="77" t="s">
        <v>135</v>
      </c>
      <c r="G4" s="78"/>
      <c r="H4" s="78"/>
      <c r="I4" s="78"/>
      <c r="J4" s="78"/>
      <c r="K4" s="17"/>
    </row>
    <row r="5" spans="1:11" x14ac:dyDescent="0.3">
      <c r="A5" s="18">
        <v>2020</v>
      </c>
      <c r="B5" s="18">
        <v>26</v>
      </c>
      <c r="C5" s="16"/>
      <c r="D5" s="16"/>
      <c r="E5" s="19"/>
      <c r="F5" s="77" t="s">
        <v>97</v>
      </c>
      <c r="G5" s="78"/>
      <c r="H5" s="78"/>
      <c r="I5" s="78"/>
      <c r="J5" s="78"/>
      <c r="K5" s="17"/>
    </row>
    <row r="6" spans="1:11" x14ac:dyDescent="0.3">
      <c r="A6" s="18">
        <v>2021</v>
      </c>
      <c r="B6" s="18">
        <v>27</v>
      </c>
      <c r="C6" s="16"/>
      <c r="D6" s="16"/>
      <c r="E6" s="19"/>
      <c r="F6" s="97"/>
      <c r="G6" s="98"/>
      <c r="H6" s="98"/>
      <c r="I6" s="98"/>
      <c r="J6" s="98"/>
      <c r="K6" s="17"/>
    </row>
    <row r="7" spans="1:11" x14ac:dyDescent="0.3">
      <c r="A7" s="18">
        <v>2022</v>
      </c>
      <c r="B7" s="18">
        <v>28</v>
      </c>
      <c r="C7" s="16"/>
      <c r="D7" s="16"/>
      <c r="E7" s="19"/>
      <c r="F7" s="95" t="s">
        <v>99</v>
      </c>
      <c r="G7" s="95"/>
      <c r="H7" s="95"/>
      <c r="I7" s="95"/>
      <c r="J7" s="95"/>
      <c r="K7" s="17"/>
    </row>
    <row r="8" spans="1:11" x14ac:dyDescent="0.3">
      <c r="A8" s="18">
        <v>2023</v>
      </c>
      <c r="B8" s="18">
        <v>29</v>
      </c>
      <c r="C8" s="16"/>
      <c r="D8" s="16"/>
      <c r="E8" s="19"/>
      <c r="F8" s="77" t="s">
        <v>103</v>
      </c>
      <c r="G8" s="78"/>
      <c r="H8" s="78"/>
      <c r="I8" s="78"/>
      <c r="J8" s="78"/>
      <c r="K8" s="17"/>
    </row>
    <row r="9" spans="1:11" ht="14.5" thickBot="1" x14ac:dyDescent="0.35">
      <c r="A9" s="18">
        <v>2024</v>
      </c>
      <c r="B9" s="18">
        <v>30</v>
      </c>
      <c r="C9" s="16"/>
      <c r="D9" s="16"/>
      <c r="E9" s="19"/>
      <c r="F9" s="101" t="s">
        <v>101</v>
      </c>
      <c r="G9" s="77"/>
      <c r="H9" s="77"/>
      <c r="I9" s="77"/>
      <c r="J9" s="77"/>
      <c r="K9" s="17"/>
    </row>
    <row r="10" spans="1:11" ht="18" thickTop="1" x14ac:dyDescent="0.35">
      <c r="A10" s="103" t="s">
        <v>142</v>
      </c>
      <c r="B10" s="103"/>
      <c r="C10" s="103"/>
      <c r="D10" s="103"/>
      <c r="E10" s="104"/>
      <c r="F10" s="101" t="s">
        <v>113</v>
      </c>
      <c r="G10" s="77"/>
      <c r="H10" s="77"/>
      <c r="I10" s="77"/>
      <c r="J10" s="77"/>
      <c r="K10" s="17"/>
    </row>
    <row r="11" spans="1:11" ht="14.5" customHeight="1" thickBot="1" x14ac:dyDescent="0.35">
      <c r="A11" s="87" t="s">
        <v>110</v>
      </c>
      <c r="B11" s="87"/>
      <c r="C11" s="88"/>
      <c r="D11" s="88"/>
      <c r="E11" s="89"/>
      <c r="F11" s="78" t="s">
        <v>140</v>
      </c>
      <c r="G11" s="78"/>
      <c r="H11" s="78"/>
      <c r="I11" s="78"/>
      <c r="J11" s="78"/>
      <c r="K11" s="17"/>
    </row>
    <row r="12" spans="1:11" ht="15" customHeight="1" thickTop="1" thickBot="1" x14ac:dyDescent="0.35">
      <c r="A12" s="81" t="s">
        <v>133</v>
      </c>
      <c r="B12" s="81"/>
      <c r="C12" s="81"/>
      <c r="D12" s="81"/>
      <c r="E12" s="82"/>
      <c r="F12" s="99"/>
      <c r="G12" s="100"/>
      <c r="H12" s="100"/>
      <c r="I12" s="100"/>
      <c r="J12" s="100"/>
      <c r="K12" s="17"/>
    </row>
    <row r="13" spans="1:11" ht="15" customHeight="1" thickTop="1" thickBot="1" x14ac:dyDescent="0.35">
      <c r="A13" s="81" t="s">
        <v>132</v>
      </c>
      <c r="B13" s="81"/>
      <c r="C13" s="81"/>
      <c r="D13" s="81"/>
      <c r="E13" s="82"/>
      <c r="F13" s="102" t="s">
        <v>139</v>
      </c>
      <c r="G13" s="95"/>
      <c r="H13" s="95"/>
      <c r="I13" s="95"/>
      <c r="J13" s="95"/>
      <c r="K13" s="17"/>
    </row>
    <row r="14" spans="1:11" ht="15" customHeight="1" thickTop="1" thickBot="1" x14ac:dyDescent="0.35">
      <c r="A14" s="81" t="s">
        <v>114</v>
      </c>
      <c r="B14" s="81"/>
      <c r="C14" s="81"/>
      <c r="D14" s="81"/>
      <c r="E14" s="82"/>
      <c r="F14" s="101" t="s">
        <v>210</v>
      </c>
      <c r="G14" s="77"/>
      <c r="H14" s="77"/>
      <c r="I14" s="77"/>
      <c r="J14" s="77"/>
      <c r="K14" s="17"/>
    </row>
    <row r="15" spans="1:11" ht="15" thickTop="1" thickBot="1" x14ac:dyDescent="0.35">
      <c r="A15" s="79"/>
      <c r="B15" s="79"/>
      <c r="C15" s="79"/>
      <c r="D15" s="79"/>
      <c r="E15" s="80"/>
      <c r="F15" s="101" t="s">
        <v>138</v>
      </c>
      <c r="G15" s="77"/>
      <c r="H15" s="77"/>
      <c r="I15" s="77"/>
      <c r="J15" s="77"/>
      <c r="K15" s="17"/>
    </row>
    <row r="16" spans="1:11" ht="15" thickTop="1" thickBot="1" x14ac:dyDescent="0.35">
      <c r="A16" s="83" t="s">
        <v>111</v>
      </c>
      <c r="B16" s="83"/>
      <c r="C16" s="81"/>
      <c r="D16" s="81"/>
      <c r="E16" s="82"/>
      <c r="F16" s="101" t="s">
        <v>137</v>
      </c>
      <c r="G16" s="77"/>
      <c r="H16" s="77"/>
      <c r="I16" s="77"/>
      <c r="J16" s="77"/>
      <c r="K16" s="17"/>
    </row>
    <row r="17" spans="1:11" ht="15" thickTop="1" thickBot="1" x14ac:dyDescent="0.35">
      <c r="A17" s="81" t="s">
        <v>134</v>
      </c>
      <c r="B17" s="81"/>
      <c r="C17" s="81"/>
      <c r="D17" s="81"/>
      <c r="E17" s="82"/>
      <c r="F17" s="96" t="s">
        <v>136</v>
      </c>
      <c r="G17" s="78"/>
      <c r="H17" s="78"/>
      <c r="I17" s="78"/>
      <c r="J17" s="78"/>
      <c r="K17" s="17"/>
    </row>
    <row r="18" spans="1:11" ht="15" thickTop="1" thickBot="1" x14ac:dyDescent="0.35">
      <c r="A18" s="81" t="s">
        <v>116</v>
      </c>
      <c r="B18" s="81"/>
      <c r="C18" s="81"/>
      <c r="D18" s="81"/>
      <c r="E18" s="82"/>
      <c r="F18" s="96"/>
      <c r="G18" s="78"/>
      <c r="H18" s="78"/>
      <c r="I18" s="78"/>
      <c r="J18" s="78"/>
      <c r="K18" s="17"/>
    </row>
    <row r="19" spans="1:11" ht="15" thickTop="1" thickBot="1" x14ac:dyDescent="0.35">
      <c r="A19" s="81"/>
      <c r="B19" s="81"/>
      <c r="C19" s="81"/>
      <c r="D19" s="81"/>
      <c r="E19" s="82"/>
      <c r="F19" s="95" t="s">
        <v>157</v>
      </c>
      <c r="G19" s="95"/>
      <c r="H19" s="95"/>
      <c r="I19" s="95"/>
      <c r="J19" s="95"/>
      <c r="K19" s="17"/>
    </row>
    <row r="20" spans="1:11" ht="15" thickTop="1" thickBot="1" x14ac:dyDescent="0.35">
      <c r="A20" s="83" t="s">
        <v>205</v>
      </c>
      <c r="B20" s="83"/>
      <c r="C20" s="83"/>
      <c r="D20" s="83"/>
      <c r="E20" s="90"/>
      <c r="F20" s="78" t="s">
        <v>159</v>
      </c>
      <c r="G20" s="78"/>
      <c r="H20" s="78"/>
      <c r="I20" s="78"/>
      <c r="J20" s="78"/>
      <c r="K20" s="17"/>
    </row>
    <row r="21" spans="1:11" ht="15" thickTop="1" thickBot="1" x14ac:dyDescent="0.35">
      <c r="A21" s="91" t="s">
        <v>206</v>
      </c>
      <c r="B21" s="91"/>
      <c r="C21" s="91"/>
      <c r="D21" s="91"/>
      <c r="E21" s="92"/>
      <c r="F21" s="78"/>
      <c r="G21" s="78"/>
      <c r="H21" s="78"/>
      <c r="I21" s="78"/>
      <c r="J21" s="78"/>
      <c r="K21" s="17"/>
    </row>
    <row r="22" spans="1:11" ht="15" thickTop="1" thickBot="1" x14ac:dyDescent="0.35">
      <c r="A22" s="81" t="s">
        <v>207</v>
      </c>
      <c r="B22" s="81"/>
      <c r="C22" s="81"/>
      <c r="D22" s="81"/>
      <c r="E22" s="82"/>
      <c r="F22" s="95" t="s">
        <v>202</v>
      </c>
      <c r="G22" s="95"/>
      <c r="H22" s="95"/>
      <c r="I22" s="95"/>
      <c r="J22" s="95"/>
      <c r="K22" s="17"/>
    </row>
    <row r="23" spans="1:11" ht="15" thickTop="1" thickBot="1" x14ac:dyDescent="0.35">
      <c r="A23" s="84" t="s">
        <v>208</v>
      </c>
      <c r="B23" s="84"/>
      <c r="C23" s="73"/>
      <c r="D23" s="73"/>
      <c r="E23" s="74"/>
      <c r="F23" s="77" t="s">
        <v>234</v>
      </c>
      <c r="G23" s="78"/>
      <c r="H23" s="78"/>
      <c r="I23" s="78"/>
      <c r="J23" s="78"/>
      <c r="K23" s="17"/>
    </row>
    <row r="24" spans="1:11" ht="15" thickTop="1" thickBot="1" x14ac:dyDescent="0.35">
      <c r="A24" s="84"/>
      <c r="B24" s="84"/>
      <c r="C24" s="73"/>
      <c r="D24" s="73"/>
      <c r="E24" s="74"/>
      <c r="F24" s="77" t="s">
        <v>235</v>
      </c>
      <c r="G24" s="78"/>
      <c r="H24" s="78"/>
      <c r="I24" s="78"/>
      <c r="J24" s="78"/>
      <c r="K24" s="17"/>
    </row>
    <row r="25" spans="1:11" ht="15" thickTop="1" thickBot="1" x14ac:dyDescent="0.35">
      <c r="A25" s="84" t="s">
        <v>209</v>
      </c>
      <c r="B25" s="84"/>
      <c r="C25" s="73"/>
      <c r="D25" s="73"/>
      <c r="E25" s="74"/>
      <c r="F25" s="77" t="s">
        <v>241</v>
      </c>
      <c r="G25" s="78"/>
      <c r="H25" s="78"/>
      <c r="I25" s="78"/>
      <c r="J25" s="78"/>
      <c r="K25" s="17"/>
    </row>
    <row r="26" spans="1:11" ht="15" thickTop="1" thickBot="1" x14ac:dyDescent="0.35">
      <c r="A26" s="85" t="s">
        <v>227</v>
      </c>
      <c r="B26" s="85"/>
      <c r="C26" s="85"/>
      <c r="D26" s="85"/>
      <c r="E26" s="86"/>
      <c r="F26" s="77"/>
      <c r="G26" s="78"/>
      <c r="H26" s="78"/>
      <c r="I26" s="78"/>
      <c r="J26" s="78"/>
      <c r="K26" s="17"/>
    </row>
    <row r="27" spans="1:11" ht="15" thickTop="1" thickBot="1" x14ac:dyDescent="0.35">
      <c r="A27" s="85" t="s">
        <v>232</v>
      </c>
      <c r="B27" s="85"/>
      <c r="C27" s="85"/>
      <c r="D27" s="85"/>
      <c r="E27" s="86"/>
      <c r="F27" s="77"/>
      <c r="G27" s="78"/>
      <c r="H27" s="78"/>
      <c r="I27" s="78"/>
      <c r="J27" s="78"/>
      <c r="K27" s="17"/>
    </row>
    <row r="28" spans="1:11" ht="15" thickTop="1" thickBot="1" x14ac:dyDescent="0.35">
      <c r="A28" s="85" t="s">
        <v>233</v>
      </c>
      <c r="B28" s="85"/>
      <c r="C28" s="85"/>
      <c r="D28" s="85"/>
      <c r="E28" s="86"/>
      <c r="F28" s="77"/>
      <c r="G28" s="78"/>
      <c r="H28" s="78"/>
      <c r="I28" s="78"/>
      <c r="J28" s="78"/>
    </row>
    <row r="29" spans="1:11" ht="15" thickTop="1" thickBot="1" x14ac:dyDescent="0.35">
      <c r="A29" s="81"/>
      <c r="B29" s="81"/>
      <c r="C29" s="81"/>
      <c r="D29" s="81"/>
      <c r="E29" s="82"/>
      <c r="F29" s="77"/>
      <c r="G29" s="78"/>
      <c r="H29" s="78"/>
      <c r="I29" s="78"/>
      <c r="J29" s="78"/>
    </row>
    <row r="30" spans="1:11" ht="15" thickTop="1" thickBot="1" x14ac:dyDescent="0.35">
      <c r="A30" s="73"/>
      <c r="B30" s="73"/>
      <c r="C30" s="73"/>
      <c r="D30" s="73"/>
      <c r="E30" s="74"/>
      <c r="F30" s="77"/>
      <c r="G30" s="78"/>
      <c r="H30" s="78"/>
      <c r="I30" s="78"/>
      <c r="J30" s="78"/>
    </row>
    <row r="31" spans="1:11" ht="15" thickTop="1" thickBot="1" x14ac:dyDescent="0.35">
      <c r="A31" s="73"/>
      <c r="B31" s="73"/>
      <c r="C31" s="73"/>
      <c r="D31" s="73"/>
      <c r="E31" s="74"/>
      <c r="F31" s="77"/>
      <c r="G31" s="78"/>
      <c r="H31" s="78"/>
      <c r="I31" s="78"/>
      <c r="J31" s="78"/>
    </row>
    <row r="32" spans="1:11" ht="15" thickTop="1" thickBot="1" x14ac:dyDescent="0.35">
      <c r="A32" s="73"/>
      <c r="B32" s="73"/>
      <c r="C32" s="73"/>
      <c r="D32" s="73"/>
      <c r="E32" s="74"/>
      <c r="F32" s="77"/>
      <c r="G32" s="78"/>
      <c r="H32" s="78"/>
      <c r="I32" s="78"/>
      <c r="J32" s="78"/>
    </row>
    <row r="33" spans="1:10" ht="15" thickTop="1" thickBot="1" x14ac:dyDescent="0.35">
      <c r="A33" s="73"/>
      <c r="B33" s="73"/>
      <c r="C33" s="73"/>
      <c r="D33" s="73"/>
      <c r="E33" s="74"/>
      <c r="F33" s="77"/>
      <c r="G33" s="78"/>
      <c r="H33" s="78"/>
      <c r="I33" s="78"/>
      <c r="J33" s="78"/>
    </row>
    <row r="34" spans="1:10" ht="15" thickTop="1" thickBot="1" x14ac:dyDescent="0.35">
      <c r="A34" s="73"/>
      <c r="B34" s="73"/>
      <c r="C34" s="73"/>
      <c r="D34" s="73"/>
      <c r="E34" s="74"/>
      <c r="F34" s="77"/>
      <c r="G34" s="78"/>
      <c r="H34" s="78"/>
      <c r="I34" s="78"/>
      <c r="J34" s="78"/>
    </row>
    <row r="35" spans="1:10" ht="15" thickTop="1" thickBot="1" x14ac:dyDescent="0.35">
      <c r="A35" s="73"/>
      <c r="B35" s="73"/>
      <c r="C35" s="73"/>
      <c r="D35" s="73"/>
      <c r="E35" s="74"/>
      <c r="F35" s="77"/>
      <c r="G35" s="78"/>
      <c r="H35" s="78"/>
      <c r="I35" s="78"/>
      <c r="J35" s="78"/>
    </row>
    <row r="36" spans="1:10" ht="15" thickTop="1" thickBot="1" x14ac:dyDescent="0.35">
      <c r="A36" s="73"/>
      <c r="B36" s="73"/>
      <c r="C36" s="73"/>
      <c r="D36" s="73"/>
      <c r="E36" s="74"/>
      <c r="F36" s="77"/>
      <c r="G36" s="78"/>
      <c r="H36" s="78"/>
      <c r="I36" s="78"/>
      <c r="J36" s="78"/>
    </row>
    <row r="37" spans="1:10" ht="15" thickTop="1" thickBot="1" x14ac:dyDescent="0.35">
      <c r="A37" s="73"/>
      <c r="B37" s="73"/>
      <c r="C37" s="73"/>
      <c r="D37" s="73"/>
      <c r="E37" s="74"/>
      <c r="F37" s="77"/>
      <c r="G37" s="78"/>
      <c r="H37" s="78"/>
      <c r="I37" s="78"/>
      <c r="J37" s="78"/>
    </row>
    <row r="38" spans="1:10" ht="15" thickTop="1" thickBot="1" x14ac:dyDescent="0.35">
      <c r="A38" s="73"/>
      <c r="B38" s="73"/>
      <c r="C38" s="73"/>
      <c r="D38" s="73"/>
      <c r="E38" s="74"/>
      <c r="F38" s="75"/>
      <c r="G38" s="76"/>
      <c r="H38" s="76"/>
      <c r="I38" s="76"/>
      <c r="J38" s="76"/>
    </row>
    <row r="39" spans="1:10" ht="15" thickTop="1" thickBot="1" x14ac:dyDescent="0.35">
      <c r="A39" s="73"/>
      <c r="B39" s="73"/>
      <c r="C39" s="73"/>
      <c r="D39" s="73"/>
      <c r="E39" s="74"/>
      <c r="F39" s="75"/>
      <c r="G39" s="76"/>
      <c r="H39" s="76"/>
      <c r="I39" s="76"/>
      <c r="J39" s="76"/>
    </row>
    <row r="40" spans="1:10" ht="15" thickTop="1" thickBot="1" x14ac:dyDescent="0.35">
      <c r="A40" s="73"/>
      <c r="B40" s="73"/>
      <c r="C40" s="73"/>
      <c r="D40" s="73"/>
      <c r="E40" s="74"/>
      <c r="F40" s="75"/>
      <c r="G40" s="76"/>
      <c r="H40" s="76"/>
      <c r="I40" s="76"/>
      <c r="J40" s="76"/>
    </row>
    <row r="41" spans="1:10" ht="15" thickTop="1" thickBot="1" x14ac:dyDescent="0.35">
      <c r="A41" s="73"/>
      <c r="B41" s="73"/>
      <c r="C41" s="73"/>
      <c r="D41" s="73"/>
      <c r="E41" s="74"/>
      <c r="F41" s="75"/>
      <c r="G41" s="76"/>
      <c r="H41" s="76"/>
      <c r="I41" s="76"/>
      <c r="J41" s="76"/>
    </row>
    <row r="42" spans="1:10" ht="15" thickTop="1" thickBot="1" x14ac:dyDescent="0.35">
      <c r="A42" s="73"/>
      <c r="B42" s="73"/>
      <c r="C42" s="73"/>
      <c r="D42" s="73"/>
      <c r="E42" s="74"/>
      <c r="F42" s="75"/>
      <c r="G42" s="76"/>
      <c r="H42" s="76"/>
      <c r="I42" s="76"/>
      <c r="J42" s="76"/>
    </row>
    <row r="43" spans="1:10" ht="15" thickTop="1" thickBot="1" x14ac:dyDescent="0.35">
      <c r="A43" s="73"/>
      <c r="B43" s="73"/>
      <c r="C43" s="73"/>
      <c r="D43" s="73"/>
      <c r="E43" s="74"/>
      <c r="F43" s="75"/>
      <c r="G43" s="76"/>
      <c r="H43" s="76"/>
      <c r="I43" s="76"/>
      <c r="J43" s="76"/>
    </row>
    <row r="44" spans="1:10" ht="15" thickTop="1" thickBot="1" x14ac:dyDescent="0.35">
      <c r="A44" s="73"/>
      <c r="B44" s="73"/>
      <c r="C44" s="73"/>
      <c r="D44" s="73"/>
      <c r="E44" s="74"/>
      <c r="F44" s="75"/>
      <c r="G44" s="76"/>
      <c r="H44" s="76"/>
      <c r="I44" s="76"/>
      <c r="J44" s="76"/>
    </row>
    <row r="45" spans="1:10" ht="15" thickTop="1" thickBot="1" x14ac:dyDescent="0.35">
      <c r="A45" s="73"/>
      <c r="B45" s="73"/>
      <c r="C45" s="73"/>
      <c r="D45" s="73"/>
      <c r="E45" s="74"/>
      <c r="F45" s="75"/>
      <c r="G45" s="76"/>
      <c r="H45" s="76"/>
      <c r="I45" s="76"/>
      <c r="J45" s="76"/>
    </row>
    <row r="46" spans="1:10" ht="15" thickTop="1" thickBot="1" x14ac:dyDescent="0.35">
      <c r="A46" s="73"/>
      <c r="B46" s="73"/>
      <c r="C46" s="73"/>
      <c r="D46" s="73"/>
      <c r="E46" s="74"/>
      <c r="F46" s="75"/>
      <c r="G46" s="76"/>
      <c r="H46" s="76"/>
      <c r="I46" s="76"/>
      <c r="J46" s="76"/>
    </row>
    <row r="47" spans="1:10" ht="14.5" thickTop="1" x14ac:dyDescent="0.3">
      <c r="A47" s="73"/>
      <c r="B47" s="73"/>
      <c r="C47" s="73"/>
      <c r="D47" s="73"/>
      <c r="E47" s="74"/>
      <c r="F47" s="75"/>
      <c r="G47" s="76"/>
      <c r="H47" s="76"/>
      <c r="I47" s="76"/>
      <c r="J47" s="76"/>
    </row>
  </sheetData>
  <mergeCells count="85">
    <mergeCell ref="A10:E10"/>
    <mergeCell ref="F11:J11"/>
    <mergeCell ref="F9:J9"/>
    <mergeCell ref="F10:J10"/>
    <mergeCell ref="A12:E12"/>
    <mergeCell ref="F45:J45"/>
    <mergeCell ref="F43:J43"/>
    <mergeCell ref="F18:J18"/>
    <mergeCell ref="F6:J6"/>
    <mergeCell ref="F12:J12"/>
    <mergeCell ref="F16:J16"/>
    <mergeCell ref="F15:J15"/>
    <mergeCell ref="F14:J14"/>
    <mergeCell ref="F13:J13"/>
    <mergeCell ref="F30:J30"/>
    <mergeCell ref="F31:J31"/>
    <mergeCell ref="F32:J32"/>
    <mergeCell ref="F33:J33"/>
    <mergeCell ref="F34:J34"/>
    <mergeCell ref="F29:J29"/>
    <mergeCell ref="F19:J19"/>
    <mergeCell ref="F25:J25"/>
    <mergeCell ref="F26:J26"/>
    <mergeCell ref="F27:J27"/>
    <mergeCell ref="F1:J1"/>
    <mergeCell ref="F4:J4"/>
    <mergeCell ref="F5:J5"/>
    <mergeCell ref="F7:J7"/>
    <mergeCell ref="F8:J8"/>
    <mergeCell ref="F2:J2"/>
    <mergeCell ref="F3:J3"/>
    <mergeCell ref="F17:J17"/>
    <mergeCell ref="F20:J20"/>
    <mergeCell ref="F21:J21"/>
    <mergeCell ref="F22:J22"/>
    <mergeCell ref="F23:J23"/>
    <mergeCell ref="F24:J24"/>
    <mergeCell ref="F28:J28"/>
    <mergeCell ref="A11:E11"/>
    <mergeCell ref="A31:E31"/>
    <mergeCell ref="A32:E32"/>
    <mergeCell ref="A33:E33"/>
    <mergeCell ref="A17:E17"/>
    <mergeCell ref="A18:E18"/>
    <mergeCell ref="A19:E19"/>
    <mergeCell ref="A20:E20"/>
    <mergeCell ref="A21:E21"/>
    <mergeCell ref="A27:E27"/>
    <mergeCell ref="A28:E28"/>
    <mergeCell ref="A29:E29"/>
    <mergeCell ref="A30:E30"/>
    <mergeCell ref="A22:E22"/>
    <mergeCell ref="A23:E23"/>
    <mergeCell ref="A34:E34"/>
    <mergeCell ref="A15:E15"/>
    <mergeCell ref="A13:E13"/>
    <mergeCell ref="A14:E14"/>
    <mergeCell ref="A16:E16"/>
    <mergeCell ref="A24:E24"/>
    <mergeCell ref="A25:E25"/>
    <mergeCell ref="A26:E26"/>
    <mergeCell ref="A35:E35"/>
    <mergeCell ref="A38:E38"/>
    <mergeCell ref="A36:E36"/>
    <mergeCell ref="A37:E37"/>
    <mergeCell ref="F38:J38"/>
    <mergeCell ref="F36:J36"/>
    <mergeCell ref="F37:J37"/>
    <mergeCell ref="F35:J35"/>
    <mergeCell ref="A47:E47"/>
    <mergeCell ref="A46:E46"/>
    <mergeCell ref="F39:J39"/>
    <mergeCell ref="A41:E41"/>
    <mergeCell ref="A42:E42"/>
    <mergeCell ref="A43:E43"/>
    <mergeCell ref="A44:E44"/>
    <mergeCell ref="A45:E45"/>
    <mergeCell ref="A39:E39"/>
    <mergeCell ref="A40:E40"/>
    <mergeCell ref="F40:J40"/>
    <mergeCell ref="F41:J41"/>
    <mergeCell ref="F42:J42"/>
    <mergeCell ref="F46:J46"/>
    <mergeCell ref="F47:J47"/>
    <mergeCell ref="F44:J4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2C145-E2FD-4EEB-88B8-9D05AF36BDD9}">
  <sheetPr>
    <tabColor theme="4" tint="-0.249977111117893"/>
  </sheetPr>
  <dimension ref="A1:V62"/>
  <sheetViews>
    <sheetView topLeftCell="A22" workbookViewId="0">
      <selection activeCell="R55" sqref="R55"/>
    </sheetView>
  </sheetViews>
  <sheetFormatPr defaultRowHeight="11.5" x14ac:dyDescent="0.25"/>
  <cols>
    <col min="1" max="1" width="3.9140625" style="46" customWidth="1"/>
    <col min="2" max="2" width="5.58203125" style="46" customWidth="1"/>
    <col min="3" max="8" width="4.5" style="46" customWidth="1"/>
    <col min="9" max="9" width="5.08203125" style="46" customWidth="1"/>
    <col min="10" max="10" width="5" style="46" customWidth="1"/>
    <col min="11" max="12" width="3.58203125" style="46" customWidth="1"/>
    <col min="13" max="19" width="5" style="46" customWidth="1"/>
    <col min="20" max="21" width="5.58203125" style="46" customWidth="1"/>
    <col min="22" max="22" width="17.25" style="47" customWidth="1"/>
    <col min="23" max="16384" width="8.6640625" style="46"/>
  </cols>
  <sheetData>
    <row r="1" spans="22:22" s="45" customFormat="1" ht="26.5" customHeight="1" x14ac:dyDescent="0.3">
      <c r="V1" s="44"/>
    </row>
    <row r="29" ht="12" thickBot="1" x14ac:dyDescent="0.3"/>
    <row r="30" s="56" customFormat="1" ht="12" thickBot="1" x14ac:dyDescent="0.3"/>
    <row r="44" spans="1:22" s="48" customFormat="1" ht="12" thickBot="1" x14ac:dyDescent="0.3"/>
    <row r="45" spans="1:22" ht="12" thickTop="1" x14ac:dyDescent="0.25"/>
    <row r="47" spans="1:22" ht="8.5" customHeight="1" thickBot="1" x14ac:dyDescent="0.3"/>
    <row r="48" spans="1:22" ht="23" x14ac:dyDescent="0.25">
      <c r="A48" s="54" t="s">
        <v>169</v>
      </c>
      <c r="B48" s="54" t="s">
        <v>181</v>
      </c>
      <c r="C48" s="54" t="s">
        <v>187</v>
      </c>
      <c r="D48" s="54" t="s">
        <v>188</v>
      </c>
      <c r="E48" s="54" t="s">
        <v>186</v>
      </c>
      <c r="F48" s="54" t="s">
        <v>189</v>
      </c>
      <c r="G48" s="54" t="s">
        <v>87</v>
      </c>
      <c r="H48" s="54" t="s">
        <v>150</v>
      </c>
      <c r="I48" s="54" t="s">
        <v>86</v>
      </c>
      <c r="J48" s="54" t="s">
        <v>168</v>
      </c>
      <c r="K48" s="54" t="s">
        <v>147</v>
      </c>
      <c r="L48" s="54" t="s">
        <v>148</v>
      </c>
      <c r="M48" s="54" t="s">
        <v>149</v>
      </c>
      <c r="N48" s="54" t="s">
        <v>201</v>
      </c>
      <c r="O48" s="54" t="s">
        <v>185</v>
      </c>
      <c r="P48" s="54" t="s">
        <v>192</v>
      </c>
      <c r="Q48" s="54" t="s">
        <v>194</v>
      </c>
      <c r="R48" s="54" t="s">
        <v>191</v>
      </c>
      <c r="S48" s="54" t="s">
        <v>190</v>
      </c>
      <c r="T48" s="54" t="s">
        <v>167</v>
      </c>
      <c r="U48" s="63" t="s">
        <v>193</v>
      </c>
      <c r="V48" s="55" t="s">
        <v>64</v>
      </c>
    </row>
    <row r="49" spans="1:22" x14ac:dyDescent="0.25">
      <c r="A49" s="49" t="s">
        <v>170</v>
      </c>
      <c r="B49" s="50">
        <v>0</v>
      </c>
      <c r="C49" s="51">
        <v>346.7</v>
      </c>
      <c r="D49" s="51">
        <f>C49</f>
        <v>346.7</v>
      </c>
      <c r="E49" s="51"/>
      <c r="F49" s="51">
        <v>0</v>
      </c>
      <c r="G49" s="51"/>
      <c r="H49" s="51">
        <f t="shared" ref="H49:H56" si="0">C49+E49+G49</f>
        <v>346.7</v>
      </c>
      <c r="I49" s="50">
        <v>3484.91</v>
      </c>
      <c r="J49" s="51">
        <f t="shared" ref="J49:J56" si="1">I49+B49</f>
        <v>3484.91</v>
      </c>
      <c r="K49" s="51">
        <v>15</v>
      </c>
      <c r="L49" s="51">
        <v>100</v>
      </c>
      <c r="M49" s="52">
        <f>L49+K49+(1050+90)/2</f>
        <v>685</v>
      </c>
      <c r="N49" s="52"/>
      <c r="O49" s="52"/>
      <c r="P49" s="52">
        <f>T49-O49-N49-M49-Q49-R49-S49</f>
        <v>1099.9099999999999</v>
      </c>
      <c r="Q49" s="52">
        <v>498</v>
      </c>
      <c r="R49" s="52"/>
      <c r="S49" s="52"/>
      <c r="T49" s="52">
        <f t="shared" ref="T49:T55" si="2">J49-B50</f>
        <v>2282.91</v>
      </c>
      <c r="U49" s="64">
        <f>P49/T49</f>
        <v>0.48180173550424676</v>
      </c>
      <c r="V49" s="53"/>
    </row>
    <row r="50" spans="1:22" x14ac:dyDescent="0.25">
      <c r="A50" s="49" t="s">
        <v>171</v>
      </c>
      <c r="B50" s="50">
        <v>1202</v>
      </c>
      <c r="C50" s="51">
        <v>346.7</v>
      </c>
      <c r="D50" s="51">
        <f>C50+D49</f>
        <v>693.4</v>
      </c>
      <c r="E50" s="51"/>
      <c r="F50" s="51">
        <v>0</v>
      </c>
      <c r="G50" s="51">
        <v>195.33</v>
      </c>
      <c r="H50" s="51">
        <f t="shared" si="0"/>
        <v>542.03</v>
      </c>
      <c r="I50" s="50">
        <v>6307.97</v>
      </c>
      <c r="J50" s="51">
        <f t="shared" si="1"/>
        <v>7509.97</v>
      </c>
      <c r="K50" s="51">
        <v>8</v>
      </c>
      <c r="L50" s="51">
        <v>56</v>
      </c>
      <c r="M50" s="52">
        <f>L50+K50+(1050+90)/2</f>
        <v>634</v>
      </c>
      <c r="N50" s="52"/>
      <c r="O50" s="52"/>
      <c r="P50" s="52">
        <f t="shared" ref="P50:P55" si="3">T50-O50-N50-M50-Q50-R50-S50</f>
        <v>540.97000000000025</v>
      </c>
      <c r="Q50" s="52"/>
      <c r="R50" s="52"/>
      <c r="S50" s="52"/>
      <c r="T50" s="52">
        <f t="shared" si="2"/>
        <v>1174.9700000000003</v>
      </c>
      <c r="U50" s="64">
        <f t="shared" ref="U50:U55" si="4">P50/T50</f>
        <v>0.46041175519374977</v>
      </c>
      <c r="V50" s="53"/>
    </row>
    <row r="51" spans="1:22" x14ac:dyDescent="0.25">
      <c r="A51" s="49" t="s">
        <v>172</v>
      </c>
      <c r="B51" s="50">
        <v>6335</v>
      </c>
      <c r="C51" s="51">
        <v>346.7</v>
      </c>
      <c r="D51" s="51">
        <f t="shared" ref="D51:D56" si="5">C51+D50</f>
        <v>1040.0999999999999</v>
      </c>
      <c r="E51" s="51"/>
      <c r="F51" s="51">
        <v>0</v>
      </c>
      <c r="G51" s="51">
        <v>164.24</v>
      </c>
      <c r="H51" s="51">
        <f t="shared" si="0"/>
        <v>510.94</v>
      </c>
      <c r="I51" s="50">
        <v>6028.14</v>
      </c>
      <c r="J51" s="51">
        <f t="shared" si="1"/>
        <v>12363.14</v>
      </c>
      <c r="K51" s="51">
        <v>10</v>
      </c>
      <c r="L51" s="51">
        <v>68</v>
      </c>
      <c r="M51" s="52">
        <f>L51+K51+(1050+90)/2</f>
        <v>648</v>
      </c>
      <c r="N51" s="52">
        <v>3000</v>
      </c>
      <c r="O51" s="52"/>
      <c r="P51" s="52">
        <f t="shared" si="3"/>
        <v>5946.1399999999994</v>
      </c>
      <c r="Q51" s="52">
        <v>520</v>
      </c>
      <c r="R51" s="52">
        <v>239</v>
      </c>
      <c r="S51" s="52"/>
      <c r="T51" s="52">
        <f t="shared" si="2"/>
        <v>10353.14</v>
      </c>
      <c r="U51" s="64">
        <f t="shared" si="4"/>
        <v>0.57433203839608082</v>
      </c>
      <c r="V51" s="53"/>
    </row>
    <row r="52" spans="1:22" x14ac:dyDescent="0.25">
      <c r="A52" s="49" t="s">
        <v>173</v>
      </c>
      <c r="B52" s="50">
        <v>2010</v>
      </c>
      <c r="C52" s="51">
        <v>346.7</v>
      </c>
      <c r="D52" s="51">
        <f t="shared" si="5"/>
        <v>1386.8</v>
      </c>
      <c r="E52" s="51">
        <v>350</v>
      </c>
      <c r="F52" s="51">
        <f>E52*2+F51</f>
        <v>700</v>
      </c>
      <c r="G52" s="51">
        <v>148.33000000000001</v>
      </c>
      <c r="H52" s="51">
        <f t="shared" si="0"/>
        <v>845.03000000000009</v>
      </c>
      <c r="I52" s="50">
        <v>5884.97</v>
      </c>
      <c r="J52" s="51">
        <f t="shared" si="1"/>
        <v>7894.97</v>
      </c>
      <c r="K52" s="51">
        <v>4</v>
      </c>
      <c r="L52" s="51">
        <v>30</v>
      </c>
      <c r="M52" s="52">
        <f>800+K52+L52+656</f>
        <v>1490</v>
      </c>
      <c r="N52" s="52"/>
      <c r="O52" s="52"/>
      <c r="P52" s="52">
        <f t="shared" si="3"/>
        <v>2342.9700000000003</v>
      </c>
      <c r="Q52" s="52"/>
      <c r="R52" s="52">
        <v>238</v>
      </c>
      <c r="S52" s="52"/>
      <c r="T52" s="52">
        <f t="shared" si="2"/>
        <v>4070.9700000000003</v>
      </c>
      <c r="U52" s="64">
        <f t="shared" si="4"/>
        <v>0.57553113877036677</v>
      </c>
      <c r="V52" s="53"/>
    </row>
    <row r="53" spans="1:22" x14ac:dyDescent="0.25">
      <c r="A53" s="49" t="s">
        <v>174</v>
      </c>
      <c r="B53" s="50">
        <v>3824</v>
      </c>
      <c r="C53" s="51">
        <v>346.7</v>
      </c>
      <c r="D53" s="51">
        <f t="shared" si="5"/>
        <v>1733.5</v>
      </c>
      <c r="E53" s="51">
        <v>350</v>
      </c>
      <c r="F53" s="51">
        <f t="shared" ref="F53:F56" si="6">E53*2+F52</f>
        <v>1400</v>
      </c>
      <c r="G53" s="51">
        <v>295.33</v>
      </c>
      <c r="H53" s="51">
        <f t="shared" si="0"/>
        <v>992.03</v>
      </c>
      <c r="I53" s="50">
        <v>7207.97</v>
      </c>
      <c r="J53" s="51">
        <f t="shared" si="1"/>
        <v>11031.970000000001</v>
      </c>
      <c r="K53" s="51">
        <v>16</v>
      </c>
      <c r="L53" s="51">
        <v>131</v>
      </c>
      <c r="M53" s="52">
        <f>800+K53+L53+706</f>
        <v>1653</v>
      </c>
      <c r="N53" s="52">
        <v>4000</v>
      </c>
      <c r="O53" s="52"/>
      <c r="P53" s="52">
        <f t="shared" si="3"/>
        <v>2998.9700000000012</v>
      </c>
      <c r="Q53" s="52"/>
      <c r="R53" s="52"/>
      <c r="S53" s="52"/>
      <c r="T53" s="52">
        <f t="shared" si="2"/>
        <v>8651.9700000000012</v>
      </c>
      <c r="U53" s="64">
        <f t="shared" si="4"/>
        <v>0.34662279226580778</v>
      </c>
      <c r="V53" s="53"/>
    </row>
    <row r="54" spans="1:22" x14ac:dyDescent="0.25">
      <c r="A54" s="49" t="s">
        <v>175</v>
      </c>
      <c r="B54" s="50">
        <v>2380</v>
      </c>
      <c r="C54" s="51">
        <v>346.7</v>
      </c>
      <c r="D54" s="51">
        <f t="shared" si="5"/>
        <v>2080.1999999999998</v>
      </c>
      <c r="E54" s="51">
        <v>350</v>
      </c>
      <c r="F54" s="51">
        <f t="shared" si="6"/>
        <v>2100</v>
      </c>
      <c r="G54" s="51">
        <v>245.33</v>
      </c>
      <c r="H54" s="51">
        <f t="shared" si="0"/>
        <v>942.03000000000009</v>
      </c>
      <c r="I54" s="50">
        <v>6757.97</v>
      </c>
      <c r="J54" s="51">
        <f t="shared" si="1"/>
        <v>9137.9700000000012</v>
      </c>
      <c r="K54" s="51">
        <v>12</v>
      </c>
      <c r="L54" s="51">
        <v>162</v>
      </c>
      <c r="M54" s="52">
        <f>800+K54+L54</f>
        <v>974</v>
      </c>
      <c r="N54" s="52"/>
      <c r="O54" s="52">
        <f>5199+49</f>
        <v>5248</v>
      </c>
      <c r="P54" s="52">
        <f t="shared" si="3"/>
        <v>894.97000000000116</v>
      </c>
      <c r="Q54" s="52">
        <v>498</v>
      </c>
      <c r="R54" s="52">
        <v>300</v>
      </c>
      <c r="S54" s="52"/>
      <c r="T54" s="52">
        <f t="shared" si="2"/>
        <v>7914.9700000000012</v>
      </c>
      <c r="U54" s="64">
        <f t="shared" si="4"/>
        <v>0.11307307545069673</v>
      </c>
      <c r="V54" s="53" t="s">
        <v>223</v>
      </c>
    </row>
    <row r="55" spans="1:22" x14ac:dyDescent="0.25">
      <c r="A55" s="49" t="s">
        <v>176</v>
      </c>
      <c r="B55" s="50">
        <v>1223</v>
      </c>
      <c r="C55" s="51">
        <v>380.34</v>
      </c>
      <c r="D55" s="51">
        <f t="shared" si="5"/>
        <v>2460.54</v>
      </c>
      <c r="E55" s="51">
        <v>350</v>
      </c>
      <c r="F55" s="51">
        <f t="shared" si="6"/>
        <v>2800</v>
      </c>
      <c r="G55" s="51">
        <v>253.97</v>
      </c>
      <c r="H55" s="51">
        <f t="shared" si="0"/>
        <v>984.31</v>
      </c>
      <c r="I55" s="50">
        <v>6835.69</v>
      </c>
      <c r="J55" s="51">
        <f t="shared" si="1"/>
        <v>8058.69</v>
      </c>
      <c r="K55" s="51">
        <v>32</v>
      </c>
      <c r="L55" s="51">
        <v>170</v>
      </c>
      <c r="M55" s="52">
        <f>800+K55+L55</f>
        <v>1002</v>
      </c>
      <c r="N55" s="52"/>
      <c r="O55" s="52">
        <v>1040</v>
      </c>
      <c r="P55" s="52">
        <f t="shared" si="3"/>
        <v>2417.2799999999997</v>
      </c>
      <c r="Q55" s="52">
        <v>128</v>
      </c>
      <c r="R55" s="52"/>
      <c r="S55" s="52"/>
      <c r="T55" s="52">
        <f t="shared" si="2"/>
        <v>4587.28</v>
      </c>
      <c r="U55" s="64">
        <f t="shared" si="4"/>
        <v>0.52695279119652605</v>
      </c>
      <c r="V55" s="53" t="s">
        <v>224</v>
      </c>
    </row>
    <row r="56" spans="1:22" x14ac:dyDescent="0.25">
      <c r="A56" s="49" t="s">
        <v>177</v>
      </c>
      <c r="B56" s="50">
        <f>3379.37+92.04</f>
        <v>3471.41</v>
      </c>
      <c r="C56" s="51">
        <v>380.34</v>
      </c>
      <c r="D56" s="51">
        <f t="shared" si="5"/>
        <v>2840.88</v>
      </c>
      <c r="E56" s="51">
        <v>350</v>
      </c>
      <c r="F56" s="51">
        <f t="shared" si="6"/>
        <v>3500</v>
      </c>
      <c r="G56" s="51">
        <v>303.97000000000003</v>
      </c>
      <c r="H56" s="51">
        <f t="shared" si="0"/>
        <v>1034.31</v>
      </c>
      <c r="I56" s="50">
        <v>7285.69</v>
      </c>
      <c r="J56" s="51">
        <f t="shared" si="1"/>
        <v>10757.099999999999</v>
      </c>
      <c r="K56" s="51">
        <v>24</v>
      </c>
      <c r="L56" s="51">
        <v>120</v>
      </c>
      <c r="M56" s="52">
        <f>800+K56+L56</f>
        <v>944</v>
      </c>
      <c r="N56" s="52"/>
      <c r="O56" s="52">
        <f>2398+10</f>
        <v>2408</v>
      </c>
      <c r="P56" s="52"/>
      <c r="Q56" s="52"/>
      <c r="R56" s="52">
        <v>72</v>
      </c>
      <c r="S56" s="52"/>
      <c r="T56" s="52"/>
      <c r="U56" s="65"/>
      <c r="V56" s="53" t="s">
        <v>225</v>
      </c>
    </row>
    <row r="57" spans="1:22" x14ac:dyDescent="0.25">
      <c r="A57" s="49" t="s">
        <v>178</v>
      </c>
      <c r="B57" s="51"/>
      <c r="C57" s="51"/>
      <c r="D57" s="51"/>
      <c r="E57" s="51"/>
      <c r="F57" s="51"/>
      <c r="G57" s="51"/>
      <c r="H57" s="51"/>
      <c r="I57" s="50"/>
      <c r="J57" s="51"/>
      <c r="K57" s="51"/>
      <c r="L57" s="51"/>
      <c r="M57" s="52"/>
      <c r="N57" s="52"/>
      <c r="O57" s="52"/>
      <c r="P57" s="51"/>
      <c r="Q57" s="52">
        <v>436</v>
      </c>
      <c r="R57" s="52">
        <f>269+149</f>
        <v>418</v>
      </c>
      <c r="S57" s="52">
        <f>128+15.5+10+9+17+100+8.8</f>
        <v>288.3</v>
      </c>
      <c r="T57" s="51"/>
      <c r="U57" s="65"/>
      <c r="V57" s="53"/>
    </row>
    <row r="58" spans="1:22" x14ac:dyDescent="0.25">
      <c r="A58" s="49" t="s">
        <v>179</v>
      </c>
      <c r="B58" s="51"/>
      <c r="C58" s="51"/>
      <c r="D58" s="51"/>
      <c r="E58" s="51"/>
      <c r="F58" s="51"/>
      <c r="G58" s="51"/>
      <c r="H58" s="51"/>
      <c r="I58" s="50"/>
      <c r="J58" s="51"/>
      <c r="K58" s="51"/>
      <c r="L58" s="51"/>
      <c r="M58" s="52"/>
      <c r="N58" s="52"/>
      <c r="O58" s="52"/>
      <c r="P58" s="51"/>
      <c r="Q58" s="51"/>
      <c r="R58" s="51"/>
      <c r="S58" s="51"/>
      <c r="T58" s="51"/>
      <c r="U58" s="65"/>
      <c r="V58" s="53"/>
    </row>
    <row r="59" spans="1:22" x14ac:dyDescent="0.25">
      <c r="A59" s="49" t="s">
        <v>180</v>
      </c>
      <c r="B59" s="51"/>
      <c r="C59" s="51"/>
      <c r="D59" s="51"/>
      <c r="E59" s="51"/>
      <c r="F59" s="51"/>
      <c r="G59" s="51"/>
      <c r="H59" s="51"/>
      <c r="I59" s="50"/>
      <c r="J59" s="51"/>
      <c r="K59" s="51"/>
      <c r="L59" s="51"/>
      <c r="M59" s="52"/>
      <c r="N59" s="52"/>
      <c r="O59" s="52"/>
      <c r="P59" s="51"/>
      <c r="Q59" s="51"/>
      <c r="R59" s="51"/>
      <c r="S59" s="51"/>
      <c r="T59" s="51"/>
      <c r="U59" s="65"/>
      <c r="V59" s="53"/>
    </row>
    <row r="60" spans="1:22" x14ac:dyDescent="0.25">
      <c r="A60" s="49" t="s">
        <v>196</v>
      </c>
      <c r="B60" s="51"/>
      <c r="C60" s="51"/>
      <c r="D60" s="51"/>
      <c r="E60" s="51"/>
      <c r="F60" s="51"/>
      <c r="G60" s="51"/>
      <c r="H60" s="51"/>
      <c r="I60" s="50"/>
      <c r="J60" s="51"/>
      <c r="K60" s="51"/>
      <c r="L60" s="51"/>
      <c r="M60" s="52"/>
      <c r="N60" s="52"/>
      <c r="O60" s="52"/>
      <c r="P60" s="51"/>
      <c r="Q60" s="51"/>
      <c r="R60" s="51"/>
      <c r="S60" s="51"/>
      <c r="T60" s="51"/>
      <c r="U60" s="65"/>
      <c r="V60" s="53"/>
    </row>
    <row r="61" spans="1:22" x14ac:dyDescent="0.25">
      <c r="A61" s="49" t="s">
        <v>170</v>
      </c>
      <c r="B61" s="51"/>
      <c r="C61" s="51"/>
      <c r="D61" s="51"/>
      <c r="E61" s="51"/>
      <c r="F61" s="51"/>
      <c r="G61" s="51"/>
      <c r="H61" s="51"/>
      <c r="I61" s="50"/>
      <c r="J61" s="51"/>
      <c r="K61" s="51"/>
      <c r="L61" s="51"/>
      <c r="M61" s="52"/>
      <c r="N61" s="52"/>
      <c r="O61" s="52"/>
      <c r="P61" s="51"/>
      <c r="Q61" s="51"/>
      <c r="R61" s="51"/>
      <c r="S61" s="51"/>
      <c r="T61" s="51"/>
      <c r="U61" s="65"/>
      <c r="V61" s="53"/>
    </row>
    <row r="62" spans="1:22" x14ac:dyDescent="0.25">
      <c r="A62" s="57" t="s">
        <v>197</v>
      </c>
      <c r="B62" s="58">
        <f>LOOKUP(1,0/(ISNUMBER(B49:B61)),B49:B61)</f>
        <v>3471.41</v>
      </c>
      <c r="C62" s="59"/>
      <c r="D62" s="59">
        <f>MAX(D49:D61)</f>
        <v>2840.88</v>
      </c>
      <c r="E62" s="59"/>
      <c r="F62" s="59">
        <f>MAX(F49:F61)</f>
        <v>3500</v>
      </c>
      <c r="G62" s="59"/>
      <c r="H62" s="59"/>
      <c r="I62" s="58">
        <f>SUM(I49:I61)</f>
        <v>49793.310000000005</v>
      </c>
      <c r="J62" s="59"/>
      <c r="K62" s="59"/>
      <c r="L62" s="59"/>
      <c r="M62" s="60">
        <f t="shared" ref="M62:T62" si="7">SUM(M49:M61)</f>
        <v>8030</v>
      </c>
      <c r="N62" s="60">
        <f t="shared" si="7"/>
        <v>7000</v>
      </c>
      <c r="O62" s="60">
        <f t="shared" si="7"/>
        <v>8696</v>
      </c>
      <c r="P62" s="60">
        <f t="shared" si="7"/>
        <v>16241.210000000003</v>
      </c>
      <c r="Q62" s="60">
        <f t="shared" si="7"/>
        <v>2080</v>
      </c>
      <c r="R62" s="60">
        <f t="shared" si="7"/>
        <v>1267</v>
      </c>
      <c r="S62" s="60">
        <f t="shared" si="7"/>
        <v>288.3</v>
      </c>
      <c r="T62" s="61">
        <f t="shared" si="7"/>
        <v>39036.210000000006</v>
      </c>
      <c r="U62" s="66">
        <f>AVERAGE(U49:U55)</f>
        <v>0.43981790382535352</v>
      </c>
      <c r="V62" s="62">
        <f>3000000/(B62+F62)</f>
        <v>430.32901522073729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ACEE-FA30-4728-A112-2CCCD5F01CBB}">
  <sheetPr>
    <tabColor theme="4" tint="-0.249977111117893"/>
  </sheetPr>
  <dimension ref="A1:W66"/>
  <sheetViews>
    <sheetView tabSelected="1" topLeftCell="A19" zoomScaleNormal="100" zoomScalePageLayoutView="58" workbookViewId="0">
      <selection activeCell="K48" sqref="K48"/>
    </sheetView>
  </sheetViews>
  <sheetFormatPr defaultRowHeight="11.5" x14ac:dyDescent="0.25"/>
  <cols>
    <col min="1" max="1" width="3.25" style="46" customWidth="1"/>
    <col min="2" max="5" width="4.08203125" style="46" customWidth="1"/>
    <col min="6" max="6" width="5.08203125" style="46" customWidth="1"/>
    <col min="7" max="7" width="5.5" style="46" customWidth="1"/>
    <col min="8" max="10" width="4.25" style="46" customWidth="1"/>
    <col min="11" max="11" width="5.08203125" style="46" customWidth="1"/>
    <col min="12" max="16" width="4.25" style="46" customWidth="1"/>
    <col min="17" max="17" width="5.6640625" style="46" customWidth="1"/>
    <col min="18" max="18" width="5.1640625" style="46" customWidth="1"/>
    <col min="19" max="19" width="4.5" style="46" customWidth="1"/>
    <col min="20" max="21" width="5.58203125" style="46" customWidth="1"/>
    <col min="22" max="22" width="10.58203125" style="46" customWidth="1"/>
    <col min="23" max="23" width="10.58203125" style="47" customWidth="1"/>
    <col min="24" max="16384" width="8.6640625" style="46"/>
  </cols>
  <sheetData>
    <row r="1" spans="23:23" s="45" customFormat="1" ht="26.5" customHeight="1" x14ac:dyDescent="0.3">
      <c r="W1" s="44"/>
    </row>
    <row r="29" spans="1:23" ht="12" thickBot="1" x14ac:dyDescent="0.3"/>
    <row r="30" spans="1:23" s="56" customFormat="1" ht="25" customHeight="1" thickBot="1" x14ac:dyDescent="0.3">
      <c r="A30" s="54" t="s">
        <v>169</v>
      </c>
      <c r="B30" s="63" t="s">
        <v>213</v>
      </c>
      <c r="C30" s="54" t="s">
        <v>214</v>
      </c>
      <c r="D30" s="54" t="s">
        <v>211</v>
      </c>
      <c r="E30" s="54" t="s">
        <v>220</v>
      </c>
      <c r="F30" s="54" t="s">
        <v>86</v>
      </c>
      <c r="G30" s="54" t="s">
        <v>216</v>
      </c>
      <c r="H30" s="63" t="s">
        <v>149</v>
      </c>
      <c r="I30" s="54" t="s">
        <v>201</v>
      </c>
      <c r="J30" s="54" t="s">
        <v>185</v>
      </c>
      <c r="K30" s="54" t="s">
        <v>215</v>
      </c>
      <c r="L30" s="54" t="s">
        <v>194</v>
      </c>
      <c r="M30" s="54" t="s">
        <v>222</v>
      </c>
      <c r="N30" s="54" t="s">
        <v>212</v>
      </c>
      <c r="O30" s="54" t="s">
        <v>221</v>
      </c>
      <c r="P30" s="54" t="s">
        <v>190</v>
      </c>
      <c r="Q30" s="54" t="s">
        <v>217</v>
      </c>
      <c r="R30" s="63" t="s">
        <v>181</v>
      </c>
      <c r="S30" s="54" t="s">
        <v>218</v>
      </c>
      <c r="T30" s="54" t="s">
        <v>219</v>
      </c>
      <c r="U30" s="63" t="s">
        <v>193</v>
      </c>
      <c r="V30" s="105" t="s">
        <v>228</v>
      </c>
      <c r="W30" s="106"/>
    </row>
    <row r="31" spans="1:23" ht="15" customHeight="1" x14ac:dyDescent="0.25">
      <c r="A31" s="122" t="s">
        <v>170</v>
      </c>
      <c r="B31" s="128">
        <v>346.7</v>
      </c>
      <c r="C31" s="123"/>
      <c r="D31" s="123"/>
      <c r="E31" s="123">
        <f t="shared" ref="E31:E38" si="0">B31+C31+D31</f>
        <v>346.7</v>
      </c>
      <c r="F31" s="123">
        <v>3484.91</v>
      </c>
      <c r="G31" s="123">
        <f t="shared" ref="G31:G37" si="1">F31+R31</f>
        <v>3484.91</v>
      </c>
      <c r="H31" s="128">
        <v>685</v>
      </c>
      <c r="I31" s="123"/>
      <c r="J31" s="123"/>
      <c r="K31" s="123">
        <f t="shared" ref="K31:K37" si="2">Q31-J31-I31-H31-L31-M31-P31</f>
        <v>1099.9099999999999</v>
      </c>
      <c r="L31" s="123">
        <v>498</v>
      </c>
      <c r="M31" s="123"/>
      <c r="N31" s="123"/>
      <c r="O31" s="123"/>
      <c r="P31" s="123"/>
      <c r="Q31" s="129">
        <f t="shared" ref="Q31:Q35" si="3">G31-R32</f>
        <v>2282.91</v>
      </c>
      <c r="R31" s="128">
        <v>0</v>
      </c>
      <c r="S31" s="130"/>
      <c r="T31" s="131"/>
      <c r="U31" s="132">
        <f t="shared" ref="U31:U37" si="4">K31/Q31</f>
        <v>0.48180173550424676</v>
      </c>
      <c r="V31" s="141" t="s">
        <v>229</v>
      </c>
      <c r="W31" s="142" t="s">
        <v>231</v>
      </c>
    </row>
    <row r="32" spans="1:23" ht="15" customHeight="1" x14ac:dyDescent="0.25">
      <c r="A32" s="122" t="s">
        <v>171</v>
      </c>
      <c r="B32" s="128">
        <v>346.7</v>
      </c>
      <c r="C32" s="123"/>
      <c r="D32" s="123">
        <v>195.33</v>
      </c>
      <c r="E32" s="123">
        <f t="shared" si="0"/>
        <v>542.03</v>
      </c>
      <c r="F32" s="123">
        <v>6307.97</v>
      </c>
      <c r="G32" s="123">
        <f t="shared" si="1"/>
        <v>7509.97</v>
      </c>
      <c r="H32" s="128">
        <v>634</v>
      </c>
      <c r="I32" s="123"/>
      <c r="J32" s="123"/>
      <c r="K32" s="123">
        <f t="shared" si="2"/>
        <v>540.97000000000025</v>
      </c>
      <c r="L32" s="123"/>
      <c r="M32" s="123"/>
      <c r="N32" s="123"/>
      <c r="O32" s="123"/>
      <c r="P32" s="123"/>
      <c r="Q32" s="129">
        <f t="shared" si="3"/>
        <v>1174.9700000000003</v>
      </c>
      <c r="R32" s="128">
        <v>1202</v>
      </c>
      <c r="S32" s="130"/>
      <c r="T32" s="131"/>
      <c r="U32" s="132">
        <f t="shared" si="4"/>
        <v>0.46041175519374977</v>
      </c>
      <c r="V32" s="108">
        <f>3000000/(R43+C43)</f>
        <v>430.32901522073729</v>
      </c>
      <c r="W32" s="107">
        <f>200000/R43</f>
        <v>57.613476944526866</v>
      </c>
    </row>
    <row r="33" spans="1:23" ht="15" customHeight="1" x14ac:dyDescent="0.25">
      <c r="A33" s="122" t="s">
        <v>172</v>
      </c>
      <c r="B33" s="128">
        <v>346.7</v>
      </c>
      <c r="C33" s="123"/>
      <c r="D33" s="123">
        <v>164.24</v>
      </c>
      <c r="E33" s="123">
        <f t="shared" si="0"/>
        <v>510.94</v>
      </c>
      <c r="F33" s="123">
        <v>6028.14</v>
      </c>
      <c r="G33" s="123">
        <f t="shared" si="1"/>
        <v>12363.14</v>
      </c>
      <c r="H33" s="128">
        <v>648</v>
      </c>
      <c r="I33" s="123">
        <v>3000</v>
      </c>
      <c r="J33" s="123"/>
      <c r="K33" s="123">
        <f t="shared" si="2"/>
        <v>5946.1399999999994</v>
      </c>
      <c r="L33" s="123">
        <v>520</v>
      </c>
      <c r="M33" s="123">
        <v>239</v>
      </c>
      <c r="N33" s="123"/>
      <c r="O33" s="123"/>
      <c r="P33" s="123"/>
      <c r="Q33" s="129">
        <f t="shared" si="3"/>
        <v>10353.14</v>
      </c>
      <c r="R33" s="128">
        <v>6335</v>
      </c>
      <c r="S33" s="130">
        <f>(R33-R32)/R32</f>
        <v>4.2703826955074877</v>
      </c>
      <c r="T33" s="131">
        <f>R33/R32</f>
        <v>5.2703826955074877</v>
      </c>
      <c r="U33" s="132">
        <f t="shared" si="4"/>
        <v>0.57433203839608082</v>
      </c>
      <c r="V33" s="108"/>
      <c r="W33" s="107"/>
    </row>
    <row r="34" spans="1:23" ht="15" customHeight="1" x14ac:dyDescent="0.25">
      <c r="A34" s="122" t="s">
        <v>173</v>
      </c>
      <c r="B34" s="128">
        <v>346.7</v>
      </c>
      <c r="C34" s="123">
        <v>350</v>
      </c>
      <c r="D34" s="123">
        <v>148.33000000000001</v>
      </c>
      <c r="E34" s="123">
        <f t="shared" si="0"/>
        <v>845.03000000000009</v>
      </c>
      <c r="F34" s="123">
        <v>5884.97</v>
      </c>
      <c r="G34" s="123">
        <f t="shared" si="1"/>
        <v>7894.97</v>
      </c>
      <c r="H34" s="128">
        <v>1490</v>
      </c>
      <c r="I34" s="123"/>
      <c r="J34" s="123"/>
      <c r="K34" s="123">
        <f t="shared" si="2"/>
        <v>2342.9700000000003</v>
      </c>
      <c r="L34" s="123"/>
      <c r="M34" s="123">
        <v>238</v>
      </c>
      <c r="N34" s="123"/>
      <c r="O34" s="123"/>
      <c r="P34" s="123"/>
      <c r="Q34" s="129">
        <f t="shared" si="3"/>
        <v>4070.9700000000003</v>
      </c>
      <c r="R34" s="128">
        <v>2010</v>
      </c>
      <c r="S34" s="130">
        <f>(R34-R33)/R33</f>
        <v>-0.6827150749802684</v>
      </c>
      <c r="T34" s="131">
        <f>R34/R33</f>
        <v>0.31728492501973166</v>
      </c>
      <c r="U34" s="132">
        <f t="shared" si="4"/>
        <v>0.57553113877036677</v>
      </c>
      <c r="V34" s="143" t="s">
        <v>230</v>
      </c>
      <c r="W34" s="144" t="s">
        <v>226</v>
      </c>
    </row>
    <row r="35" spans="1:23" ht="15" customHeight="1" x14ac:dyDescent="0.25">
      <c r="A35" s="122" t="s">
        <v>174</v>
      </c>
      <c r="B35" s="128">
        <v>346.7</v>
      </c>
      <c r="C35" s="123">
        <v>350</v>
      </c>
      <c r="D35" s="123">
        <v>295.33</v>
      </c>
      <c r="E35" s="123">
        <f t="shared" si="0"/>
        <v>992.03</v>
      </c>
      <c r="F35" s="123">
        <v>7207.97</v>
      </c>
      <c r="G35" s="123">
        <f t="shared" si="1"/>
        <v>11031.970000000001</v>
      </c>
      <c r="H35" s="128">
        <v>1653</v>
      </c>
      <c r="I35" s="123">
        <v>4000</v>
      </c>
      <c r="J35" s="123"/>
      <c r="K35" s="123">
        <f t="shared" si="2"/>
        <v>2998.9700000000012</v>
      </c>
      <c r="L35" s="123"/>
      <c r="M35" s="123"/>
      <c r="N35" s="123"/>
      <c r="O35" s="123"/>
      <c r="P35" s="123"/>
      <c r="Q35" s="129">
        <f t="shared" si="3"/>
        <v>8651.9700000000012</v>
      </c>
      <c r="R35" s="128">
        <v>3824</v>
      </c>
      <c r="S35" s="130">
        <f t="shared" ref="S35:S37" si="5">(R35-R34)/R34</f>
        <v>0.90248756218905468</v>
      </c>
      <c r="T35" s="131">
        <f t="shared" ref="T35:T38" si="6">R35/R34</f>
        <v>1.9024875621890547</v>
      </c>
      <c r="U35" s="132">
        <f t="shared" si="4"/>
        <v>0.34662279226580778</v>
      </c>
      <c r="V35" s="108">
        <f>56000/R43</f>
        <v>16.131773544467521</v>
      </c>
      <c r="W35" s="107">
        <f>K43/Q43</f>
        <v>0.41105131798579053</v>
      </c>
    </row>
    <row r="36" spans="1:23" ht="15" customHeight="1" x14ac:dyDescent="0.25">
      <c r="A36" s="122" t="s">
        <v>175</v>
      </c>
      <c r="B36" s="128">
        <v>346.7</v>
      </c>
      <c r="C36" s="123">
        <v>350</v>
      </c>
      <c r="D36" s="123">
        <v>245.33</v>
      </c>
      <c r="E36" s="123">
        <f t="shared" si="0"/>
        <v>942.03000000000009</v>
      </c>
      <c r="F36" s="123">
        <v>6757.97</v>
      </c>
      <c r="G36" s="123">
        <f t="shared" si="1"/>
        <v>9137.9700000000012</v>
      </c>
      <c r="H36" s="128">
        <v>974</v>
      </c>
      <c r="I36" s="123"/>
      <c r="J36" s="123">
        <f>5199+49</f>
        <v>5248</v>
      </c>
      <c r="K36" s="123">
        <f>Q36-J36-I36-H36-L36-M36-P36</f>
        <v>894.97000000000116</v>
      </c>
      <c r="L36" s="123">
        <v>498</v>
      </c>
      <c r="M36" s="123">
        <v>300</v>
      </c>
      <c r="N36" s="123"/>
      <c r="O36" s="123"/>
      <c r="P36" s="123"/>
      <c r="Q36" s="129">
        <f>G36-R37</f>
        <v>7914.9700000000012</v>
      </c>
      <c r="R36" s="128">
        <v>2380</v>
      </c>
      <c r="S36" s="130">
        <f t="shared" si="5"/>
        <v>-0.3776150627615063</v>
      </c>
      <c r="T36" s="131">
        <f t="shared" si="6"/>
        <v>0.62238493723849375</v>
      </c>
      <c r="U36" s="132">
        <f t="shared" si="4"/>
        <v>0.11307307545069673</v>
      </c>
      <c r="V36" s="108"/>
      <c r="W36" s="107"/>
    </row>
    <row r="37" spans="1:23" ht="15" customHeight="1" x14ac:dyDescent="0.25">
      <c r="A37" s="122" t="s">
        <v>176</v>
      </c>
      <c r="B37" s="128">
        <v>380.34</v>
      </c>
      <c r="C37" s="123">
        <v>350</v>
      </c>
      <c r="D37" s="123">
        <v>253.97</v>
      </c>
      <c r="E37" s="123">
        <f t="shared" si="0"/>
        <v>984.31</v>
      </c>
      <c r="F37" s="123">
        <v>6835.69</v>
      </c>
      <c r="G37" s="123">
        <f t="shared" si="1"/>
        <v>8058.69</v>
      </c>
      <c r="H37" s="128">
        <v>1002</v>
      </c>
      <c r="I37" s="123"/>
      <c r="J37" s="123">
        <v>1040</v>
      </c>
      <c r="K37" s="123">
        <f>Q37-J37-I37-H37-L37-M37-P37</f>
        <v>2417.2799999999997</v>
      </c>
      <c r="L37" s="123">
        <v>128</v>
      </c>
      <c r="M37" s="123"/>
      <c r="N37" s="123"/>
      <c r="O37" s="123"/>
      <c r="P37" s="123"/>
      <c r="Q37" s="129">
        <f>G37-R38</f>
        <v>4587.28</v>
      </c>
      <c r="R37" s="128">
        <v>1223</v>
      </c>
      <c r="S37" s="130">
        <f t="shared" si="5"/>
        <v>-0.4861344537815126</v>
      </c>
      <c r="T37" s="131">
        <f t="shared" si="6"/>
        <v>0.51386554621848735</v>
      </c>
      <c r="U37" s="132">
        <f t="shared" si="4"/>
        <v>0.52695279119652605</v>
      </c>
      <c r="V37" s="143" t="s">
        <v>245</v>
      </c>
      <c r="W37" s="144"/>
    </row>
    <row r="38" spans="1:23" ht="15" customHeight="1" x14ac:dyDescent="0.25">
      <c r="A38" s="122" t="s">
        <v>177</v>
      </c>
      <c r="B38" s="128">
        <v>380.34</v>
      </c>
      <c r="C38" s="123">
        <v>350</v>
      </c>
      <c r="D38" s="123">
        <v>303.97000000000003</v>
      </c>
      <c r="E38" s="123">
        <f t="shared" si="0"/>
        <v>1034.31</v>
      </c>
      <c r="F38" s="123">
        <v>7285.69</v>
      </c>
      <c r="G38" s="123">
        <f>F38+R38</f>
        <v>10757.099999999999</v>
      </c>
      <c r="H38" s="128">
        <v>944</v>
      </c>
      <c r="I38" s="123"/>
      <c r="J38" s="123">
        <f>2398+10</f>
        <v>2408</v>
      </c>
      <c r="K38" s="123">
        <f>Q38-J38-I38-H38-L38-M38-P38</f>
        <v>2058.0999999999985</v>
      </c>
      <c r="L38" s="123"/>
      <c r="M38" s="123">
        <v>72</v>
      </c>
      <c r="N38" s="123"/>
      <c r="O38" s="123"/>
      <c r="P38" s="123"/>
      <c r="Q38" s="129">
        <f>G38-1275-4000</f>
        <v>5482.0999999999985</v>
      </c>
      <c r="R38" s="128">
        <f>3379.37+92.04</f>
        <v>3471.41</v>
      </c>
      <c r="S38" s="130">
        <f>(R38-R37)/R37</f>
        <v>1.8384382665576451</v>
      </c>
      <c r="T38" s="131">
        <f t="shared" si="6"/>
        <v>2.8384382665576449</v>
      </c>
      <c r="U38" s="132">
        <f>J38/Q38</f>
        <v>0.43924773353277041</v>
      </c>
      <c r="V38" s="109">
        <f ca="1">DATEDIF(NOW(),"2019/02/28","m")</f>
        <v>4</v>
      </c>
      <c r="W38" s="107"/>
    </row>
    <row r="39" spans="1:23" ht="15" customHeight="1" x14ac:dyDescent="0.25">
      <c r="A39" s="133" t="s">
        <v>178</v>
      </c>
      <c r="B39" s="134"/>
      <c r="C39" s="135"/>
      <c r="D39" s="135"/>
      <c r="E39" s="135"/>
      <c r="F39" s="135">
        <v>7026.97</v>
      </c>
      <c r="G39" s="135">
        <v>12595</v>
      </c>
      <c r="H39" s="134"/>
      <c r="I39" s="135"/>
      <c r="J39" s="135"/>
      <c r="K39" s="135"/>
      <c r="L39" s="135">
        <v>436</v>
      </c>
      <c r="M39" s="135">
        <f>269+149</f>
        <v>418</v>
      </c>
      <c r="N39" s="135"/>
      <c r="O39" s="135"/>
      <c r="P39" s="135">
        <f>128+15.5+10+9+17+100+8.8</f>
        <v>288.3</v>
      </c>
      <c r="Q39" s="136"/>
      <c r="R39" s="134"/>
      <c r="S39" s="137"/>
      <c r="T39" s="138"/>
      <c r="U39" s="139"/>
      <c r="V39" s="109"/>
      <c r="W39" s="107"/>
    </row>
    <row r="40" spans="1:23" ht="15" customHeight="1" x14ac:dyDescent="0.25">
      <c r="A40" s="122" t="s">
        <v>179</v>
      </c>
      <c r="B40" s="128"/>
      <c r="C40" s="123"/>
      <c r="D40" s="123"/>
      <c r="E40" s="123"/>
      <c r="F40" s="123"/>
      <c r="G40" s="123"/>
      <c r="H40" s="128"/>
      <c r="I40" s="123"/>
      <c r="J40" s="123"/>
      <c r="K40" s="123"/>
      <c r="L40" s="123"/>
      <c r="M40" s="123"/>
      <c r="N40" s="123"/>
      <c r="O40" s="123"/>
      <c r="P40" s="123"/>
      <c r="Q40" s="129"/>
      <c r="R40" s="128"/>
      <c r="S40" s="130"/>
      <c r="T40" s="131"/>
      <c r="U40" s="132"/>
      <c r="V40" s="143"/>
      <c r="W40" s="144"/>
    </row>
    <row r="41" spans="1:23" ht="15" customHeight="1" x14ac:dyDescent="0.25">
      <c r="A41" s="122" t="s">
        <v>180</v>
      </c>
      <c r="B41" s="140"/>
      <c r="C41" s="123"/>
      <c r="D41" s="123"/>
      <c r="E41" s="123"/>
      <c r="F41" s="123"/>
      <c r="G41" s="123"/>
      <c r="H41" s="128"/>
      <c r="I41" s="123"/>
      <c r="J41" s="123"/>
      <c r="K41" s="123"/>
      <c r="L41" s="123"/>
      <c r="M41" s="123"/>
      <c r="N41" s="123"/>
      <c r="O41" s="123"/>
      <c r="P41" s="123"/>
      <c r="Q41" s="129"/>
      <c r="R41" s="128"/>
      <c r="S41" s="130"/>
      <c r="T41" s="131"/>
      <c r="U41" s="132"/>
      <c r="V41" s="121"/>
      <c r="W41" s="120"/>
    </row>
    <row r="42" spans="1:23" s="69" customFormat="1" ht="16" customHeight="1" thickBot="1" x14ac:dyDescent="0.35">
      <c r="A42" s="124" t="s">
        <v>242</v>
      </c>
      <c r="B42" s="70">
        <f>AVERAGE(B31:B41)</f>
        <v>355.11</v>
      </c>
      <c r="C42" s="67">
        <f>AVERAGEA(C31:C41)</f>
        <v>350</v>
      </c>
      <c r="D42" s="67">
        <f>AVERAGEA(D31:D41)</f>
        <v>229.5</v>
      </c>
      <c r="E42" s="67">
        <f>AVERAGEA(E31:E41)</f>
        <v>774.6724999999999</v>
      </c>
      <c r="F42" s="67">
        <f>AVERAGEA(F32:F41)</f>
        <v>6666.9212500000012</v>
      </c>
      <c r="G42" s="71">
        <f>AVERAGE(G32:G41)</f>
        <v>9918.6012499999997</v>
      </c>
      <c r="H42" s="67">
        <f>AVERAGE(H31:H41)</f>
        <v>1003.75</v>
      </c>
      <c r="I42" s="67">
        <f>AVERAGE(I31:I41)</f>
        <v>3500</v>
      </c>
      <c r="J42" s="67">
        <f t="shared" ref="J42:P42" si="7">AVERAGE(J31:J41)</f>
        <v>2898.6666666666665</v>
      </c>
      <c r="K42" s="67">
        <f t="shared" si="7"/>
        <v>2287.4137500000002</v>
      </c>
      <c r="L42" s="67">
        <f t="shared" si="7"/>
        <v>416</v>
      </c>
      <c r="M42" s="67">
        <f t="shared" si="7"/>
        <v>253.4</v>
      </c>
      <c r="N42" s="67"/>
      <c r="O42" s="67"/>
      <c r="P42" s="67">
        <f t="shared" si="7"/>
        <v>288.3</v>
      </c>
      <c r="Q42" s="127">
        <f>AVERAGE(Q31:Q41)</f>
        <v>5564.7887500000006</v>
      </c>
      <c r="R42" s="126">
        <f>AVERAGEA(R32:R41)</f>
        <v>2920.772857142857</v>
      </c>
      <c r="S42" s="67"/>
      <c r="T42" s="72">
        <f>GEOMEAN(T31:T41)</f>
        <v>1.1933474435696101</v>
      </c>
      <c r="U42" s="68">
        <f>AVERAGE(U31:U41)</f>
        <v>0.43974663253878066</v>
      </c>
      <c r="V42" s="121"/>
      <c r="W42" s="120"/>
    </row>
    <row r="43" spans="1:23" ht="16" customHeight="1" thickTop="1" x14ac:dyDescent="0.25">
      <c r="A43" s="124" t="s">
        <v>243</v>
      </c>
      <c r="B43" s="70">
        <f>SUM(B31:B41)</f>
        <v>2840.88</v>
      </c>
      <c r="C43" s="67">
        <f>SUM(C31:C41)*2</f>
        <v>3500</v>
      </c>
      <c r="D43" s="67">
        <f>SUM(D31:D41)</f>
        <v>1606.5</v>
      </c>
      <c r="E43" s="67">
        <f>SUM(E31:E41)</f>
        <v>6197.3799999999992</v>
      </c>
      <c r="F43" s="67">
        <f>SUM(F31:F41)</f>
        <v>56820.280000000006</v>
      </c>
      <c r="G43" s="71"/>
      <c r="H43" s="67">
        <f>SUM(H31:H41)</f>
        <v>8030</v>
      </c>
      <c r="I43" s="67">
        <f>SUM(I31:I41)</f>
        <v>7000</v>
      </c>
      <c r="J43" s="67">
        <f>SUM(J31:J41)</f>
        <v>8696</v>
      </c>
      <c r="K43" s="67">
        <f>SUM(K31:K41)</f>
        <v>18299.310000000001</v>
      </c>
      <c r="L43" s="67">
        <f>SUM(L31:L41)</f>
        <v>2080</v>
      </c>
      <c r="M43" s="67">
        <f>SUM(M31:M41)</f>
        <v>1267</v>
      </c>
      <c r="N43" s="67">
        <f>SUM(N31:N41)</f>
        <v>0</v>
      </c>
      <c r="O43" s="67">
        <f>SUM(O31:O41)</f>
        <v>0</v>
      </c>
      <c r="P43" s="67">
        <f>SUM(P31:P41)</f>
        <v>288.3</v>
      </c>
      <c r="Q43" s="127">
        <f>SUM(Q31:Q41)</f>
        <v>44518.310000000005</v>
      </c>
      <c r="R43" s="126">
        <f>LOOKUP(1,0/(ISNUMBER(R31:R41)),R31:R41)</f>
        <v>3471.41</v>
      </c>
      <c r="S43" s="67"/>
      <c r="T43" s="72"/>
      <c r="U43" s="68"/>
      <c r="V43" s="121"/>
      <c r="W43" s="120"/>
    </row>
    <row r="44" spans="1:23" x14ac:dyDescent="0.25">
      <c r="A44" s="125" t="s">
        <v>240</v>
      </c>
      <c r="B44" s="125" t="s">
        <v>244</v>
      </c>
      <c r="C44" s="125"/>
      <c r="D44" s="125"/>
      <c r="E44" s="125"/>
      <c r="F44" s="125"/>
      <c r="G44" s="125"/>
      <c r="H44" s="125"/>
      <c r="I44" s="125"/>
    </row>
    <row r="45" spans="1:23" ht="8.5" customHeight="1" x14ac:dyDescent="0.25"/>
    <row r="65" spans="18:18" x14ac:dyDescent="0.25">
      <c r="R65" s="47"/>
    </row>
    <row r="66" spans="18:18" x14ac:dyDescent="0.25">
      <c r="R66" s="47"/>
    </row>
  </sheetData>
  <mergeCells count="7">
    <mergeCell ref="V30:W30"/>
    <mergeCell ref="W35:W36"/>
    <mergeCell ref="W32:W33"/>
    <mergeCell ref="W38:W39"/>
    <mergeCell ref="V32:V33"/>
    <mergeCell ref="V35:V36"/>
    <mergeCell ref="V38:V39"/>
  </mergeCells>
  <phoneticPr fontId="1" type="noConversion"/>
  <pageMargins left="0.7" right="0.7" top="0.75" bottom="0.75" header="0.3" footer="0.3"/>
  <pageSetup paperSize="9" orientation="portrait" r:id="rId1"/>
  <ignoredErrors>
    <ignoredError sqref="G42 C43" formula="1"/>
    <ignoredError sqref="F42" formulaRange="1"/>
  </ignoredError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  <pageSetUpPr fitToPage="1"/>
  </sheetPr>
  <dimension ref="B1:H17"/>
  <sheetViews>
    <sheetView showGridLines="0" zoomScaleNormal="100" workbookViewId="0">
      <selection activeCell="I8" sqref="I8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15" customHeight="1" x14ac:dyDescent="0.3">
      <c r="B1" s="11" t="s">
        <v>5</v>
      </c>
      <c r="C1" s="8"/>
      <c r="D1" s="8"/>
      <c r="E1" s="8"/>
      <c r="F1" s="8"/>
      <c r="G1" s="8"/>
      <c r="H1" s="8"/>
    </row>
    <row r="2" spans="2:8" ht="36" customHeight="1" x14ac:dyDescent="0.3">
      <c r="B2" s="10" t="s">
        <v>4</v>
      </c>
      <c r="C2" s="10">
        <f ca="1">YEAR(TODAY())</f>
        <v>2018</v>
      </c>
      <c r="D2" s="10" t="s">
        <v>3</v>
      </c>
      <c r="E2" s="10" t="s">
        <v>2</v>
      </c>
    </row>
    <row r="3" spans="2:8" ht="30" customHeight="1" x14ac:dyDescent="0.75">
      <c r="B3" s="9">
        <f ca="1">CalendarYear</f>
        <v>2018</v>
      </c>
      <c r="D3" s="7" t="s">
        <v>1</v>
      </c>
      <c r="E3" s="8"/>
      <c r="G3" s="7"/>
      <c r="H3" s="7"/>
    </row>
    <row r="4" spans="2:8" ht="45" customHeight="1" x14ac:dyDescent="0.3">
      <c r="B4" s="6" t="s">
        <v>0</v>
      </c>
      <c r="C4" s="6"/>
      <c r="D4" s="6"/>
      <c r="E4" s="6"/>
      <c r="F4" s="5"/>
    </row>
    <row r="5" spans="2:8" ht="18.75" customHeight="1" x14ac:dyDescent="0.3">
      <c r="B5" s="4" t="str">
        <f>周开始日期</f>
        <v>一</v>
      </c>
      <c r="C5" s="4" t="str">
        <f t="shared" ref="C5:H5" ca="1" si="0">LEFT(TEXT(C6,"aaa"),1)</f>
        <v>二</v>
      </c>
      <c r="D5" s="4" t="str">
        <f t="shared" ca="1" si="0"/>
        <v>三</v>
      </c>
      <c r="E5" s="4" t="str">
        <f t="shared" ca="1" si="0"/>
        <v>四</v>
      </c>
      <c r="F5" s="4" t="str">
        <f t="shared" ca="1" si="0"/>
        <v>五</v>
      </c>
      <c r="G5" s="4" t="str">
        <f t="shared" ca="1" si="0"/>
        <v>六</v>
      </c>
      <c r="H5" s="4" t="str">
        <f t="shared" ca="1" si="0"/>
        <v>日</v>
      </c>
    </row>
    <row r="6" spans="2:8" ht="16.5" customHeight="1" x14ac:dyDescent="0.45">
      <c r="B6" s="3">
        <f t="array" aca="1" ref="B6:H6" ca="1">星期日期和周+DATE(CalendarYear,1,1)-WEEKDAY(DATE(CalendarYear,1,1),(周开始日期="一")+1)+1</f>
        <v>43101</v>
      </c>
      <c r="C6" s="3">
        <f ca="1"/>
        <v>43102</v>
      </c>
      <c r="D6" s="3">
        <f ca="1"/>
        <v>43103</v>
      </c>
      <c r="E6" s="3">
        <f ca="1"/>
        <v>43104</v>
      </c>
      <c r="F6" s="3">
        <f ca="1"/>
        <v>43105</v>
      </c>
      <c r="G6" s="3">
        <f ca="1"/>
        <v>43106</v>
      </c>
      <c r="H6" s="3">
        <f ca="1"/>
        <v>43107</v>
      </c>
    </row>
    <row r="7" spans="2:8" ht="39.75" customHeight="1" x14ac:dyDescent="0.3">
      <c r="B7" s="2"/>
      <c r="C7" s="2"/>
      <c r="D7" s="2"/>
      <c r="E7" s="2"/>
      <c r="F7" s="2"/>
      <c r="G7" s="2"/>
      <c r="H7" s="2"/>
    </row>
    <row r="8" spans="2:8" ht="15" customHeight="1" x14ac:dyDescent="0.45">
      <c r="B8" s="3">
        <f t="array" aca="1" ref="B8:H8" ca="1">星期日期和周+DATE(CalendarYear,1,1)-WEEKDAY(DATE(CalendarYear,1,1),(周开始日期="一")+1)+8</f>
        <v>43108</v>
      </c>
      <c r="C8" s="3">
        <f ca="1"/>
        <v>43109</v>
      </c>
      <c r="D8" s="3">
        <f ca="1"/>
        <v>43110</v>
      </c>
      <c r="E8" s="3">
        <f ca="1"/>
        <v>43111</v>
      </c>
      <c r="F8" s="3">
        <f ca="1"/>
        <v>43112</v>
      </c>
      <c r="G8" s="3">
        <f ca="1"/>
        <v>43113</v>
      </c>
      <c r="H8" s="3">
        <f ca="1"/>
        <v>43114</v>
      </c>
    </row>
    <row r="9" spans="2:8" ht="39.75" customHeight="1" x14ac:dyDescent="0.3">
      <c r="B9" s="2"/>
      <c r="C9" s="2"/>
      <c r="D9" s="2"/>
      <c r="E9" s="2"/>
      <c r="F9" s="2"/>
      <c r="G9" s="2"/>
      <c r="H9" s="2"/>
    </row>
    <row r="10" spans="2:8" ht="15" customHeight="1" x14ac:dyDescent="0.45">
      <c r="B10" s="3">
        <f t="array" aca="1" ref="B10:H10" ca="1">星期日期和周+DATE(CalendarYear,1,1)-WEEKDAY(DATE(CalendarYear,1,1),(周开始日期="一")+1)+15</f>
        <v>43115</v>
      </c>
      <c r="C10" s="3">
        <f ca="1"/>
        <v>43116</v>
      </c>
      <c r="D10" s="3">
        <f ca="1"/>
        <v>43117</v>
      </c>
      <c r="E10" s="3">
        <f ca="1"/>
        <v>43118</v>
      </c>
      <c r="F10" s="3">
        <f ca="1"/>
        <v>43119</v>
      </c>
      <c r="G10" s="3">
        <f ca="1"/>
        <v>43120</v>
      </c>
      <c r="H10" s="3">
        <f ca="1"/>
        <v>43121</v>
      </c>
    </row>
    <row r="11" spans="2:8" ht="39.75" customHeight="1" x14ac:dyDescent="0.3">
      <c r="B11" s="2"/>
      <c r="C11" s="2"/>
      <c r="D11" s="2"/>
      <c r="E11" s="2"/>
      <c r="F11" s="2"/>
      <c r="G11" s="2"/>
      <c r="H11" s="2"/>
    </row>
    <row r="12" spans="2:8" ht="15" customHeight="1" x14ac:dyDescent="0.45">
      <c r="B12" s="3">
        <f t="array" aca="1" ref="B12:H12" ca="1">星期日期和周+DATE(CalendarYear,1,1)-WEEKDAY(DATE(CalendarYear,1,1),(周开始日期="一")+1)+22</f>
        <v>43122</v>
      </c>
      <c r="C12" s="3">
        <f ca="1"/>
        <v>43123</v>
      </c>
      <c r="D12" s="3">
        <f ca="1"/>
        <v>43124</v>
      </c>
      <c r="E12" s="3">
        <f ca="1"/>
        <v>43125</v>
      </c>
      <c r="F12" s="3">
        <f ca="1"/>
        <v>43126</v>
      </c>
      <c r="G12" s="3">
        <f ca="1"/>
        <v>43127</v>
      </c>
      <c r="H12" s="3">
        <f ca="1"/>
        <v>43128</v>
      </c>
    </row>
    <row r="13" spans="2:8" ht="40.5" customHeight="1" x14ac:dyDescent="0.3">
      <c r="B13" s="2"/>
      <c r="C13" s="2"/>
      <c r="D13" s="2"/>
      <c r="E13" s="2"/>
      <c r="F13" s="2"/>
      <c r="G13" s="2"/>
      <c r="H13" s="2"/>
    </row>
    <row r="14" spans="2:8" ht="15" customHeight="1" x14ac:dyDescent="0.45">
      <c r="B14" s="3">
        <f t="array" aca="1" ref="B14:H14" ca="1">星期日期和周+DATE(CalendarYear,1,1)-WEEKDAY(DATE(CalendarYear,1,1),(周开始日期="一")+1)+29</f>
        <v>43129</v>
      </c>
      <c r="C14" s="3">
        <f ca="1"/>
        <v>43130</v>
      </c>
      <c r="D14" s="3">
        <f ca="1"/>
        <v>43131</v>
      </c>
      <c r="E14" s="3">
        <f ca="1"/>
        <v>43132</v>
      </c>
      <c r="F14" s="3">
        <f ca="1"/>
        <v>43133</v>
      </c>
      <c r="G14" s="3">
        <f ca="1"/>
        <v>43134</v>
      </c>
      <c r="H14" s="3">
        <f ca="1"/>
        <v>43135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  <row r="16" spans="2:8" ht="15" customHeight="1" x14ac:dyDescent="0.45">
      <c r="B16" s="3">
        <f t="array" aca="1" ref="B16:H16" ca="1">星期日期和周+DATE(CalendarYear,1,1)-WEEKDAY(DATE(CalendarYear,1,1),(周开始日期="一")+1)+36</f>
        <v>43136</v>
      </c>
      <c r="C16" s="3">
        <f ca="1"/>
        <v>43137</v>
      </c>
      <c r="D16" s="3">
        <f ca="1"/>
        <v>43138</v>
      </c>
      <c r="E16" s="3">
        <f ca="1"/>
        <v>43139</v>
      </c>
      <c r="F16" s="3">
        <f ca="1"/>
        <v>43140</v>
      </c>
      <c r="G16" s="3">
        <f ca="1"/>
        <v>43141</v>
      </c>
      <c r="H16" s="3">
        <f ca="1"/>
        <v>43142</v>
      </c>
    </row>
    <row r="17" spans="2:8" ht="39.75" customHeight="1" x14ac:dyDescent="0.3">
      <c r="B17" s="2"/>
      <c r="C17" s="2"/>
      <c r="D17" s="2"/>
      <c r="E17" s="2"/>
      <c r="F17" s="2"/>
      <c r="G17" s="2"/>
      <c r="H17" s="2"/>
    </row>
  </sheetData>
  <dataConsolidate/>
  <phoneticPr fontId="1" type="noConversion"/>
  <conditionalFormatting sqref="B6:G6">
    <cfRule type="expression" dxfId="23" priority="2">
      <formula>DAY(B6)&gt;8</formula>
    </cfRule>
  </conditionalFormatting>
  <conditionalFormatting sqref="B14:H17">
    <cfRule type="expression" dxfId="22" priority="1">
      <formula>AND(DAY(B14)&gt;=1,DAY(B14)&lt;=15)</formula>
    </cfRule>
  </conditionalFormatting>
  <dataValidations count="9">
    <dataValidation allowBlank="1" showInputMessage="1" prompt="在列 B 到列 H 的第 7、9、11、13、15 和 17 行中输入每日备注" sqref="B7" xr:uid="{00000000-0002-0000-0100-000000000000}"/>
    <dataValidation allowBlank="1" showInputMessage="1" prompt="第 6、8、10、12、14 和 16 行包括月份日期，含上月和下月日期（如适用）" sqref="B6" xr:uid="{00000000-0002-0000-0100-000001000000}"/>
    <dataValidation allowBlank="1" showInputMessage="1" prompt="含显示一年中每个月的工作表的 12 个月日历工作簿。在 C2 中键入日历年，并在 E2 中选择一周的开始日期。使用 D3 中的导航链接导航到下个月" sqref="A1" xr:uid="{00000000-0002-0000-0100-000002000000}"/>
    <dataValidation allowBlank="1" showInputMessage="1" prompt="转到下月的导航链接" sqref="D3" xr:uid="{00000000-0002-0000-0100-000003000000}"/>
    <dataValidation allowBlank="1" showInputMessage="1" prompt="日历年由在 C2 中输入的年份自动确定" sqref="B3" xr:uid="{00000000-0002-0000-0100-000004000000}"/>
    <dataValidation allowBlank="1" showInputMessage="1" prompt="自动确定工作日" sqref="C5:H5" xr:uid="{00000000-0002-0000-0100-000005000000}"/>
    <dataValidation allowBlank="1" showInputMessage="1" prompt="自动确定一周的开始日期。若要更改工作日，请在 E2 单元格中选择一周的新开始日期" sqref="B5" xr:uid="{00000000-0002-0000-0100-000006000000}"/>
    <dataValidation allowBlank="1" showInputMessage="1" prompt="输入此日历的年份" sqref="C2" xr:uid="{00000000-0002-0000-0100-000007000000}"/>
    <dataValidation type="list" allowBlank="1" showInputMessage="1" showErrorMessage="1" errorTitle="日历不能使用此值。" error="从列表的条目中选择一天。选择“取消”，然后按 ALT+向下箭头键从下拉列表中选择" prompt="从下拉列表中选择一周的开始日期。按 Alt+向下箭头键打开下拉列表，然后按 Enter 选择其中一项" sqref="E2" xr:uid="{00000000-0002-0000-0100-000008000000}">
      <formula1>"一,日"</formula1>
    </dataValidation>
  </dataValidations>
  <hyperlinks>
    <hyperlink ref="D3" location="二月!A1" tooltip="转到下月的导航链接" display="二月 -&gt;" xr:uid="{00000000-0004-0000-0100-000000000000}"/>
  </hyperlinks>
  <printOptions horizontalCentered="1"/>
  <pageMargins left="0.5" right="0.5" top="0.4" bottom="0.4" header="0.3" footer="0.3"/>
  <pageSetup paperSize="9" fitToHeight="0" orientation="landscape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EE1F2"/>
    <pageSetUpPr fitToPage="1"/>
  </sheetPr>
  <dimension ref="B1:H15"/>
  <sheetViews>
    <sheetView showGridLines="0" zoomScaleNormal="100" workbookViewId="0">
      <selection activeCell="D12" sqref="D12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30" customHeight="1" x14ac:dyDescent="0.75">
      <c r="B1" s="9">
        <f ca="1">CalendarYear</f>
        <v>2018</v>
      </c>
      <c r="C1" s="7" t="s">
        <v>8</v>
      </c>
      <c r="D1" s="7" t="s">
        <v>7</v>
      </c>
      <c r="E1" s="8"/>
    </row>
    <row r="2" spans="2:8" ht="45" customHeight="1" x14ac:dyDescent="0.3">
      <c r="B2" s="6" t="s">
        <v>6</v>
      </c>
      <c r="C2" s="6"/>
      <c r="D2" s="6"/>
      <c r="E2" s="6"/>
      <c r="F2" s="5"/>
    </row>
    <row r="3" spans="2:8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</row>
    <row r="4" spans="2:8" ht="16.5" customHeight="1" x14ac:dyDescent="0.45">
      <c r="B4" s="12">
        <f t="array" aca="1" ref="B4:H4" ca="1">星期日期和周+DATE(CalendarYear,2,1)-WEEKDAY(DATE(CalendarYear,2,1),(周开始日期="一")+1)+1</f>
        <v>43129</v>
      </c>
      <c r="C4" s="12">
        <f ca="1"/>
        <v>43130</v>
      </c>
      <c r="D4" s="12">
        <f ca="1"/>
        <v>43131</v>
      </c>
      <c r="E4" s="12">
        <f ca="1"/>
        <v>43132</v>
      </c>
      <c r="F4" s="12">
        <f ca="1"/>
        <v>43133</v>
      </c>
      <c r="G4" s="12">
        <f ca="1"/>
        <v>43134</v>
      </c>
      <c r="H4" s="12">
        <f ca="1"/>
        <v>43135</v>
      </c>
    </row>
    <row r="5" spans="2:8" ht="39.75" customHeight="1" x14ac:dyDescent="0.3">
      <c r="B5" s="2"/>
      <c r="C5" s="2"/>
      <c r="D5" s="2"/>
      <c r="E5" s="2"/>
      <c r="F5" s="2"/>
      <c r="G5" s="2"/>
      <c r="H5" s="2"/>
    </row>
    <row r="6" spans="2:8" ht="15" customHeight="1" x14ac:dyDescent="0.45">
      <c r="B6" s="12">
        <f t="array" aca="1" ref="B6:H6" ca="1">星期日期和周+DATE(CalendarYear,2,1)-WEEKDAY(DATE(CalendarYear,2,1),(周开始日期="一")+1)+8</f>
        <v>43136</v>
      </c>
      <c r="C6" s="12">
        <f ca="1"/>
        <v>43137</v>
      </c>
      <c r="D6" s="12">
        <f ca="1"/>
        <v>43138</v>
      </c>
      <c r="E6" s="12">
        <f ca="1"/>
        <v>43139</v>
      </c>
      <c r="F6" s="12">
        <f ca="1"/>
        <v>43140</v>
      </c>
      <c r="G6" s="12">
        <f ca="1"/>
        <v>43141</v>
      </c>
      <c r="H6" s="12">
        <f ca="1"/>
        <v>43142</v>
      </c>
    </row>
    <row r="7" spans="2:8" ht="39.75" customHeight="1" x14ac:dyDescent="0.3">
      <c r="B7" s="2"/>
      <c r="C7" s="2"/>
      <c r="D7" s="2"/>
      <c r="E7" s="2"/>
      <c r="F7" s="2"/>
      <c r="G7" s="2"/>
      <c r="H7" s="2"/>
    </row>
    <row r="8" spans="2:8" ht="15" customHeight="1" x14ac:dyDescent="0.45">
      <c r="B8" s="12">
        <f t="array" aca="1" ref="B8:H8" ca="1">星期日期和周+DATE(CalendarYear,2,1)-WEEKDAY(DATE(CalendarYear,2,1),(周开始日期="一")+1)+15</f>
        <v>43143</v>
      </c>
      <c r="C8" s="12">
        <f ca="1"/>
        <v>43144</v>
      </c>
      <c r="D8" s="12">
        <f ca="1"/>
        <v>43145</v>
      </c>
      <c r="E8" s="12">
        <f ca="1"/>
        <v>43146</v>
      </c>
      <c r="F8" s="12">
        <f ca="1"/>
        <v>43147</v>
      </c>
      <c r="G8" s="12">
        <f ca="1"/>
        <v>43148</v>
      </c>
      <c r="H8" s="12">
        <f ca="1"/>
        <v>43149</v>
      </c>
    </row>
    <row r="9" spans="2:8" ht="39.75" customHeight="1" x14ac:dyDescent="0.3">
      <c r="B9" s="2"/>
      <c r="C9" s="2"/>
      <c r="D9" s="2"/>
      <c r="E9" s="2"/>
      <c r="F9" s="2"/>
      <c r="G9" s="2"/>
      <c r="H9" s="2"/>
    </row>
    <row r="10" spans="2:8" ht="15" customHeight="1" x14ac:dyDescent="0.45">
      <c r="B10" s="12">
        <f t="array" aca="1" ref="B10:H10" ca="1">星期日期和周+DATE(CalendarYear,2,1)-WEEKDAY(DATE(CalendarYear,2,1),(周开始日期="一")+1)+22</f>
        <v>43150</v>
      </c>
      <c r="C10" s="12">
        <f ca="1"/>
        <v>43151</v>
      </c>
      <c r="D10" s="12">
        <f ca="1"/>
        <v>43152</v>
      </c>
      <c r="E10" s="12">
        <f ca="1"/>
        <v>43153</v>
      </c>
      <c r="F10" s="12">
        <f ca="1"/>
        <v>43154</v>
      </c>
      <c r="G10" s="12">
        <f ca="1"/>
        <v>43155</v>
      </c>
      <c r="H10" s="12">
        <f ca="1"/>
        <v>43156</v>
      </c>
    </row>
    <row r="11" spans="2:8" ht="40.5" customHeight="1" x14ac:dyDescent="0.3">
      <c r="B11" s="2"/>
      <c r="C11" s="2"/>
      <c r="D11" s="2"/>
      <c r="E11" s="2"/>
      <c r="F11" s="2"/>
      <c r="G11" s="2"/>
      <c r="H11" s="2"/>
    </row>
    <row r="12" spans="2:8" ht="15" customHeight="1" x14ac:dyDescent="0.45">
      <c r="B12" s="12">
        <f t="array" aca="1" ref="B12:H12" ca="1">星期日期和周+DATE(CalendarYear,2,1)-WEEKDAY(DATE(CalendarYear,2,1),(周开始日期="一")+1)+29</f>
        <v>43157</v>
      </c>
      <c r="C12" s="12">
        <f ca="1"/>
        <v>43158</v>
      </c>
      <c r="D12" s="12">
        <f ca="1"/>
        <v>43159</v>
      </c>
      <c r="E12" s="12">
        <f ca="1"/>
        <v>43160</v>
      </c>
      <c r="F12" s="12">
        <f ca="1"/>
        <v>43161</v>
      </c>
      <c r="G12" s="12">
        <f ca="1"/>
        <v>43162</v>
      </c>
      <c r="H12" s="12">
        <f ca="1"/>
        <v>43163</v>
      </c>
    </row>
    <row r="13" spans="2:8" ht="39.75" customHeight="1" x14ac:dyDescent="0.3">
      <c r="B13" s="2"/>
      <c r="C13" s="2"/>
      <c r="D13" s="2"/>
      <c r="E13" s="2"/>
      <c r="F13" s="2"/>
      <c r="G13" s="2"/>
      <c r="H13" s="2"/>
    </row>
    <row r="14" spans="2:8" ht="15" customHeight="1" x14ac:dyDescent="0.45">
      <c r="B14" s="12">
        <f t="array" aca="1" ref="B14:H14" ca="1">星期日期和周+DATE(CalendarYear,2,1)-WEEKDAY(DATE(CalendarYear,2,1),(周开始日期="一")+1)+36</f>
        <v>43164</v>
      </c>
      <c r="C14" s="12">
        <f ca="1"/>
        <v>43165</v>
      </c>
      <c r="D14" s="12">
        <f ca="1"/>
        <v>43166</v>
      </c>
      <c r="E14" s="12">
        <f ca="1"/>
        <v>43167</v>
      </c>
      <c r="F14" s="12">
        <f ca="1"/>
        <v>43168</v>
      </c>
      <c r="G14" s="12">
        <f ca="1"/>
        <v>43169</v>
      </c>
      <c r="H14" s="12">
        <f ca="1"/>
        <v>43170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</sheetData>
  <phoneticPr fontId="1" type="noConversion"/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dataValidations count="8">
    <dataValidation allowBlank="1" showInputMessage="1" showErrorMessage="1" prompt="对此工作表中的二月进行规划。转到上月和下月的导航链接分别位于 C1 和 D1 " sqref="A1" xr:uid="{00000000-0002-0000-0200-000000000000}"/>
    <dataValidation allowBlank="1" showInputMessage="1" prompt="转到下月的导航链接" sqref="D1" xr:uid="{00000000-0002-0000-0200-000001000000}"/>
    <dataValidation allowBlank="1" showInputMessage="1" prompt="转到上月的导航链接" sqref="C1" xr:uid="{00000000-0002-0000-0200-000002000000}"/>
    <dataValidation allowBlank="1" showInputMessage="1" prompt="在列 B 到列 H 的第 5、7、9、11、13 和 15 行中输入每日备注" sqref="B5" xr:uid="{00000000-0002-0000-0200-000003000000}"/>
    <dataValidation allowBlank="1" showInputMessage="1" prompt="第 4、6、8、10、12 和 14 行包括月份日期，含上月和下月日期（如适用）" sqref="B4" xr:uid="{00000000-0002-0000-0200-000004000000}"/>
    <dataValidation allowBlank="1" showInputMessage="1" prompt="日历年由在“一月”工作表的 C2 中设置的年份自动确定" sqref="B1" xr:uid="{00000000-0002-0000-0200-000005000000}"/>
    <dataValidation allowBlank="1" showInputMessage="1" prompt="自动确定一周的开始日期。若要更改工作日，请在“一月”工作表的 E2 中选择一周的新开始日期" sqref="B3" xr:uid="{00000000-0002-0000-0200-000006000000}"/>
    <dataValidation allowBlank="1" showInputMessage="1" prompt="自动确定工作日" sqref="C3:H3" xr:uid="{00000000-0002-0000-0200-000007000000}"/>
  </dataValidations>
  <hyperlinks>
    <hyperlink ref="D1" location="三月!A1" tooltip="转到下月的导航链接" display="三月 -&gt;" xr:uid="{00000000-0004-0000-0200-000000000000}"/>
    <hyperlink ref="C1" location="一月!A1" tooltip="转到上月的导航链接" display="&lt;- 一月" xr:uid="{00000000-0004-0000-02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BC2E5"/>
    <pageSetUpPr fitToPage="1"/>
  </sheetPr>
  <dimension ref="B1:H15"/>
  <sheetViews>
    <sheetView showGridLines="0" topLeftCell="A5" zoomScaleNormal="100" workbookViewId="0">
      <selection activeCell="E13" sqref="E13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30" customHeight="1" x14ac:dyDescent="0.75">
      <c r="B1" s="9">
        <f ca="1">CalendarYear</f>
        <v>2018</v>
      </c>
      <c r="C1" s="7" t="s">
        <v>11</v>
      </c>
      <c r="D1" s="7" t="s">
        <v>10</v>
      </c>
      <c r="E1" s="8"/>
      <c r="F1" s="8"/>
      <c r="G1" s="8"/>
      <c r="H1" s="7"/>
    </row>
    <row r="2" spans="2:8" ht="45" customHeight="1" x14ac:dyDescent="0.3">
      <c r="B2" s="6" t="s">
        <v>9</v>
      </c>
      <c r="C2" s="6"/>
      <c r="D2" s="6"/>
      <c r="E2" s="6"/>
      <c r="F2" s="5"/>
    </row>
    <row r="3" spans="2:8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</row>
    <row r="4" spans="2:8" ht="16.5" customHeight="1" x14ac:dyDescent="0.45">
      <c r="B4" s="12">
        <f t="array" aca="1" ref="B4:H4" ca="1">星期日期和周+DATE(CalendarYear,3,1)-WEEKDAY(DATE(CalendarYear,3,1),(周开始日期="一")+1)+1</f>
        <v>43157</v>
      </c>
      <c r="C4" s="12">
        <f ca="1"/>
        <v>43158</v>
      </c>
      <c r="D4" s="12">
        <f ca="1"/>
        <v>43159</v>
      </c>
      <c r="E4" s="12">
        <f ca="1"/>
        <v>43160</v>
      </c>
      <c r="F4" s="12">
        <f ca="1"/>
        <v>43161</v>
      </c>
      <c r="G4" s="12">
        <f ca="1"/>
        <v>43162</v>
      </c>
      <c r="H4" s="12">
        <f ca="1"/>
        <v>43163</v>
      </c>
    </row>
    <row r="5" spans="2:8" ht="39.75" customHeight="1" x14ac:dyDescent="0.3">
      <c r="B5" s="2"/>
      <c r="C5" s="2"/>
      <c r="D5" s="2"/>
      <c r="E5" s="2"/>
      <c r="F5" s="2"/>
      <c r="G5" s="2"/>
      <c r="H5" s="2"/>
    </row>
    <row r="6" spans="2:8" ht="15" customHeight="1" x14ac:dyDescent="0.45">
      <c r="B6" s="12">
        <f t="array" aca="1" ref="B6:H6" ca="1">星期日期和周+DATE(CalendarYear,3,1)-WEEKDAY(DATE(CalendarYear,3,1),(周开始日期="一")+1)+8</f>
        <v>43164</v>
      </c>
      <c r="C6" s="12">
        <f ca="1"/>
        <v>43165</v>
      </c>
      <c r="D6" s="12">
        <f ca="1"/>
        <v>43166</v>
      </c>
      <c r="E6" s="12">
        <f ca="1"/>
        <v>43167</v>
      </c>
      <c r="F6" s="12">
        <f ca="1"/>
        <v>43168</v>
      </c>
      <c r="G6" s="12">
        <f ca="1"/>
        <v>43169</v>
      </c>
      <c r="H6" s="12">
        <f ca="1"/>
        <v>43170</v>
      </c>
    </row>
    <row r="7" spans="2:8" ht="39.75" customHeight="1" x14ac:dyDescent="0.3">
      <c r="B7" s="2"/>
      <c r="C7" s="2"/>
      <c r="D7" s="2"/>
      <c r="E7" s="2"/>
      <c r="F7" s="2"/>
      <c r="G7" s="2"/>
      <c r="H7" s="14" t="s">
        <v>39</v>
      </c>
    </row>
    <row r="8" spans="2:8" ht="15" customHeight="1" x14ac:dyDescent="0.45">
      <c r="B8" s="12">
        <f t="array" aca="1" ref="B8:H8" ca="1">星期日期和周+DATE(CalendarYear,3,1)-WEEKDAY(DATE(CalendarYear,3,1),(周开始日期="一")+1)+15</f>
        <v>43171</v>
      </c>
      <c r="C8" s="12">
        <f ca="1"/>
        <v>43172</v>
      </c>
      <c r="D8" s="12">
        <f ca="1"/>
        <v>43173</v>
      </c>
      <c r="E8" s="12">
        <f ca="1"/>
        <v>43174</v>
      </c>
      <c r="F8" s="12">
        <f ca="1"/>
        <v>43175</v>
      </c>
      <c r="G8" s="12">
        <f ca="1"/>
        <v>43176</v>
      </c>
      <c r="H8" s="12">
        <f ca="1"/>
        <v>43177</v>
      </c>
    </row>
    <row r="9" spans="2:8" ht="39.75" customHeight="1" x14ac:dyDescent="0.3">
      <c r="B9" s="14"/>
      <c r="C9" s="14"/>
      <c r="D9" s="14"/>
      <c r="E9" s="2"/>
      <c r="F9" s="14"/>
      <c r="G9" s="2"/>
      <c r="H9" s="14"/>
    </row>
    <row r="10" spans="2:8" ht="15" customHeight="1" x14ac:dyDescent="0.45">
      <c r="B10" s="12">
        <f t="array" aca="1" ref="B10:H10" ca="1">星期日期和周+DATE(CalendarYear,3,1)-WEEKDAY(DATE(CalendarYear,3,1),(周开始日期="一")+1)+22</f>
        <v>43178</v>
      </c>
      <c r="C10" s="12">
        <f ca="1"/>
        <v>43179</v>
      </c>
      <c r="D10" s="12">
        <f ca="1"/>
        <v>43180</v>
      </c>
      <c r="E10" s="12">
        <f ca="1"/>
        <v>43181</v>
      </c>
      <c r="F10" s="12">
        <f ca="1"/>
        <v>43182</v>
      </c>
      <c r="G10" s="12">
        <f ca="1"/>
        <v>43183</v>
      </c>
      <c r="H10" s="12">
        <f ca="1"/>
        <v>43184</v>
      </c>
    </row>
    <row r="11" spans="2:8" ht="40.5" customHeight="1" x14ac:dyDescent="0.3">
      <c r="B11" s="2"/>
      <c r="C11" s="14"/>
      <c r="D11" s="2"/>
      <c r="E11" s="14"/>
      <c r="F11" s="14" t="s">
        <v>40</v>
      </c>
      <c r="G11" s="2"/>
      <c r="H11" s="14"/>
    </row>
    <row r="12" spans="2:8" ht="15" customHeight="1" x14ac:dyDescent="0.45">
      <c r="B12" s="12">
        <f t="array" aca="1" ref="B12:H12" ca="1">星期日期和周+DATE(CalendarYear,3,1)-WEEKDAY(DATE(CalendarYear,3,1),(周开始日期="一")+1)+29</f>
        <v>43185</v>
      </c>
      <c r="C12" s="12">
        <f ca="1"/>
        <v>43186</v>
      </c>
      <c r="D12" s="12">
        <f ca="1"/>
        <v>43187</v>
      </c>
      <c r="E12" s="12">
        <f ca="1"/>
        <v>43188</v>
      </c>
      <c r="F12" s="12">
        <f ca="1"/>
        <v>43189</v>
      </c>
      <c r="G12" s="12">
        <f ca="1"/>
        <v>43190</v>
      </c>
      <c r="H12" s="12">
        <f ca="1"/>
        <v>43191</v>
      </c>
    </row>
    <row r="13" spans="2:8" ht="39.75" customHeight="1" x14ac:dyDescent="0.3">
      <c r="B13" s="14"/>
      <c r="C13" s="14"/>
      <c r="D13" s="14"/>
      <c r="E13" s="14"/>
      <c r="F13" s="2"/>
      <c r="G13" s="2"/>
      <c r="H13" s="14"/>
    </row>
    <row r="14" spans="2:8" ht="15" customHeight="1" x14ac:dyDescent="0.45">
      <c r="B14" s="12">
        <f t="array" aca="1" ref="B14:H14" ca="1">星期日期和周+DATE(CalendarYear,3,1)-WEEKDAY(DATE(CalendarYear,3,1),(周开始日期="一")+1)+36</f>
        <v>43192</v>
      </c>
      <c r="C14" s="12">
        <f ca="1"/>
        <v>43193</v>
      </c>
      <c r="D14" s="12">
        <f ca="1"/>
        <v>43194</v>
      </c>
      <c r="E14" s="12">
        <f ca="1"/>
        <v>43195</v>
      </c>
      <c r="F14" s="12">
        <f ca="1"/>
        <v>43196</v>
      </c>
      <c r="G14" s="12">
        <f ca="1"/>
        <v>43197</v>
      </c>
      <c r="H14" s="12">
        <f ca="1"/>
        <v>43198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</sheetData>
  <phoneticPr fontId="1" type="noConversion"/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dataValidations count="8">
    <dataValidation allowBlank="1" showInputMessage="1" showErrorMessage="1" prompt="对此工作表中的三月进行规划。转到上月和下月的导航链接分别位于 C1 和 D1 " sqref="A1" xr:uid="{00000000-0002-0000-0300-000000000000}"/>
    <dataValidation allowBlank="1" showInputMessage="1" prompt="转到上月的导航链接" sqref="C1" xr:uid="{00000000-0002-0000-0300-000001000000}"/>
    <dataValidation allowBlank="1" showInputMessage="1" prompt="转到下月的导航链接" sqref="D1" xr:uid="{00000000-0002-0000-0300-000002000000}"/>
    <dataValidation allowBlank="1" showInputMessage="1" prompt="在列 B 到列 H 的第 5、7、9、11、13 和 15 行中输入每日备注" sqref="B5" xr:uid="{00000000-0002-0000-0300-000003000000}"/>
    <dataValidation allowBlank="1" showInputMessage="1" prompt="第 4、6、8、10、12 和 14 行包括月份日期，含上月和下月日期（如适用）" sqref="B4" xr:uid="{00000000-0002-0000-0300-000004000000}"/>
    <dataValidation allowBlank="1" showInputMessage="1" prompt="日历年由在“一月”工作表的 C2 中设置的年份自动确定" sqref="B1" xr:uid="{00000000-0002-0000-0300-000005000000}"/>
    <dataValidation allowBlank="1" showInputMessage="1" prompt="自动确定一周的开始日期。若要更改工作日，请在“一月”工作表的 E2 中选择一周的新开始日期" sqref="B3" xr:uid="{00000000-0002-0000-0300-000006000000}"/>
    <dataValidation allowBlank="1" showInputMessage="1" prompt="自动确定工作日" sqref="C3:H3" xr:uid="{00000000-0002-0000-0300-000007000000}"/>
  </dataValidations>
  <hyperlinks>
    <hyperlink ref="D1" location="四月!A1" tooltip="转到下月的导航链接" display="四月 -&gt;" xr:uid="{00000000-0004-0000-0300-000000000000}"/>
    <hyperlink ref="C1" location="二月!A1" tooltip="转到上月的导航链接" display="&lt;- 二月" xr:uid="{00000000-0004-0000-03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88B6E0"/>
    <pageSetUpPr fitToPage="1"/>
  </sheetPr>
  <dimension ref="B1:M15"/>
  <sheetViews>
    <sheetView showGridLines="0" topLeftCell="B4" zoomScaleNormal="100" workbookViewId="0">
      <selection activeCell="E13" sqref="E13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14</v>
      </c>
      <c r="D1" s="7" t="s">
        <v>13</v>
      </c>
      <c r="E1" s="8"/>
      <c r="F1" s="8"/>
      <c r="G1" s="8"/>
      <c r="H1" s="7"/>
    </row>
    <row r="2" spans="2:13" ht="45" customHeight="1" x14ac:dyDescent="0.3">
      <c r="B2" s="6" t="s">
        <v>12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17" t="s">
        <v>41</v>
      </c>
      <c r="K3" s="118"/>
      <c r="L3" s="118"/>
      <c r="M3" s="119"/>
    </row>
    <row r="4" spans="2:13" ht="16.5" customHeight="1" x14ac:dyDescent="0.45">
      <c r="B4" s="12">
        <f t="array" aca="1" ref="B4:H4" ca="1">星期日期和周+DATE(CalendarYear,4,1)-WEEKDAY(DATE(CalendarYear,4,1),(周开始日期="一")+1)+1</f>
        <v>43185</v>
      </c>
      <c r="C4" s="12">
        <f ca="1"/>
        <v>43186</v>
      </c>
      <c r="D4" s="12">
        <f ca="1"/>
        <v>43187</v>
      </c>
      <c r="E4" s="12">
        <f ca="1"/>
        <v>43188</v>
      </c>
      <c r="F4" s="12">
        <f ca="1"/>
        <v>43189</v>
      </c>
      <c r="G4" s="12">
        <f ca="1"/>
        <v>43190</v>
      </c>
      <c r="H4" s="12">
        <f ca="1"/>
        <v>43191</v>
      </c>
      <c r="J4" s="110"/>
      <c r="K4" s="111"/>
      <c r="L4" s="111"/>
      <c r="M4" s="112"/>
    </row>
    <row r="5" spans="2:13" ht="39.75" customHeight="1" x14ac:dyDescent="0.3">
      <c r="B5" s="14"/>
      <c r="C5" s="14"/>
      <c r="D5" s="14"/>
      <c r="E5" s="14"/>
      <c r="F5" s="2"/>
      <c r="G5" s="2"/>
      <c r="H5" s="14"/>
      <c r="J5" s="113"/>
      <c r="K5" s="114"/>
      <c r="L5" s="114"/>
      <c r="M5" s="115"/>
    </row>
    <row r="6" spans="2:13" ht="15" customHeight="1" x14ac:dyDescent="0.45">
      <c r="B6" s="12">
        <f t="array" aca="1" ref="B6:H6" ca="1">星期日期和周+DATE(CalendarYear,4,1)-WEEKDAY(DATE(CalendarYear,4,1),(周开始日期="一")+1)+8</f>
        <v>43192</v>
      </c>
      <c r="C6" s="12">
        <f ca="1"/>
        <v>43193</v>
      </c>
      <c r="D6" s="12">
        <f ca="1"/>
        <v>43194</v>
      </c>
      <c r="E6" s="12">
        <f ca="1"/>
        <v>43195</v>
      </c>
      <c r="F6" s="12">
        <f ca="1"/>
        <v>43196</v>
      </c>
      <c r="G6" s="12">
        <f ca="1"/>
        <v>43197</v>
      </c>
      <c r="H6" s="12">
        <f ca="1"/>
        <v>43198</v>
      </c>
      <c r="J6" s="110"/>
      <c r="K6" s="111"/>
      <c r="L6" s="111"/>
      <c r="M6" s="112"/>
    </row>
    <row r="7" spans="2:13" ht="39.75" customHeight="1" x14ac:dyDescent="0.3">
      <c r="B7" s="2"/>
      <c r="C7" s="14"/>
      <c r="D7" s="2"/>
      <c r="E7" s="2"/>
      <c r="F7" s="2"/>
      <c r="G7" s="2"/>
      <c r="H7" s="2"/>
      <c r="J7" s="113"/>
      <c r="K7" s="114"/>
      <c r="L7" s="114"/>
      <c r="M7" s="115"/>
    </row>
    <row r="8" spans="2:13" ht="15" customHeight="1" x14ac:dyDescent="0.45">
      <c r="B8" s="12">
        <f t="array" aca="1" ref="B8:H8" ca="1">星期日期和周+DATE(CalendarYear,4,1)-WEEKDAY(DATE(CalendarYear,4,1),(周开始日期="一")+1)+15</f>
        <v>43199</v>
      </c>
      <c r="C8" s="12">
        <f ca="1"/>
        <v>43200</v>
      </c>
      <c r="D8" s="12">
        <f ca="1"/>
        <v>43201</v>
      </c>
      <c r="E8" s="12">
        <f ca="1"/>
        <v>43202</v>
      </c>
      <c r="F8" s="12">
        <f ca="1"/>
        <v>43203</v>
      </c>
      <c r="G8" s="12">
        <f ca="1"/>
        <v>43204</v>
      </c>
      <c r="H8" s="12">
        <f ca="1"/>
        <v>43205</v>
      </c>
      <c r="J8" s="110"/>
      <c r="K8" s="111"/>
      <c r="L8" s="111"/>
      <c r="M8" s="112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13"/>
      <c r="K9" s="114"/>
      <c r="L9" s="114"/>
      <c r="M9" s="115"/>
    </row>
    <row r="10" spans="2:13" ht="15" customHeight="1" x14ac:dyDescent="0.45">
      <c r="B10" s="12">
        <f t="array" aca="1" ref="B10:H10" ca="1">星期日期和周+DATE(CalendarYear,4,1)-WEEKDAY(DATE(CalendarYear,4,1),(周开始日期="一")+1)+22</f>
        <v>43206</v>
      </c>
      <c r="C10" s="12">
        <f ca="1"/>
        <v>43207</v>
      </c>
      <c r="D10" s="12">
        <f ca="1"/>
        <v>43208</v>
      </c>
      <c r="E10" s="12">
        <f ca="1"/>
        <v>43209</v>
      </c>
      <c r="F10" s="12">
        <f ca="1"/>
        <v>43210</v>
      </c>
      <c r="G10" s="12">
        <f ca="1"/>
        <v>43211</v>
      </c>
      <c r="H10" s="12">
        <f ca="1"/>
        <v>43212</v>
      </c>
      <c r="J10" s="110" t="s">
        <v>42</v>
      </c>
      <c r="K10" s="111"/>
      <c r="L10" s="111"/>
      <c r="M10" s="112"/>
    </row>
    <row r="11" spans="2:13" ht="40.5" customHeight="1" x14ac:dyDescent="0.3">
      <c r="B11" s="14"/>
      <c r="C11" s="2"/>
      <c r="D11" s="14"/>
      <c r="E11" s="2"/>
      <c r="F11" s="2"/>
      <c r="G11" s="2"/>
      <c r="H11" s="2"/>
      <c r="J11" s="113"/>
      <c r="K11" s="114"/>
      <c r="L11" s="114"/>
      <c r="M11" s="115"/>
    </row>
    <row r="12" spans="2:13" ht="15" customHeight="1" x14ac:dyDescent="0.45">
      <c r="B12" s="12">
        <f t="array" aca="1" ref="B12:H12" ca="1">星期日期和周+DATE(CalendarYear,4,1)-WEEKDAY(DATE(CalendarYear,4,1),(周开始日期="一")+1)+29</f>
        <v>43213</v>
      </c>
      <c r="C12" s="12">
        <f ca="1"/>
        <v>43214</v>
      </c>
      <c r="D12" s="12">
        <f ca="1"/>
        <v>43215</v>
      </c>
      <c r="E12" s="12">
        <f ca="1"/>
        <v>43216</v>
      </c>
      <c r="F12" s="12">
        <f ca="1"/>
        <v>43217</v>
      </c>
      <c r="G12" s="12">
        <f ca="1"/>
        <v>43218</v>
      </c>
      <c r="H12" s="12">
        <f ca="1"/>
        <v>43219</v>
      </c>
      <c r="J12" s="110" t="s">
        <v>43</v>
      </c>
      <c r="K12" s="111"/>
      <c r="L12" s="111"/>
      <c r="M12" s="112"/>
    </row>
    <row r="13" spans="2:13" ht="39.75" customHeight="1" x14ac:dyDescent="0.3">
      <c r="B13" s="2"/>
      <c r="C13" s="2"/>
      <c r="D13" s="2"/>
      <c r="E13" s="2"/>
      <c r="F13" s="2"/>
      <c r="G13" s="2" t="s">
        <v>52</v>
      </c>
      <c r="H13" s="2"/>
      <c r="J13" s="113"/>
      <c r="K13" s="114"/>
      <c r="L13" s="114"/>
      <c r="M13" s="115"/>
    </row>
    <row r="14" spans="2:13" ht="15" customHeight="1" x14ac:dyDescent="0.45">
      <c r="B14" s="12">
        <f t="array" aca="1" ref="B14:H14" ca="1">星期日期和周+DATE(CalendarYear,4,1)-WEEKDAY(DATE(CalendarYear,4,1),(周开始日期="一")+1)+36</f>
        <v>43220</v>
      </c>
      <c r="C14" s="12">
        <f ca="1"/>
        <v>43221</v>
      </c>
      <c r="D14" s="12">
        <f ca="1"/>
        <v>43222</v>
      </c>
      <c r="E14" s="12">
        <f ca="1"/>
        <v>43223</v>
      </c>
      <c r="F14" s="12">
        <f ca="1"/>
        <v>43224</v>
      </c>
      <c r="G14" s="12">
        <f ca="1"/>
        <v>43225</v>
      </c>
      <c r="H14" s="12">
        <f ca="1"/>
        <v>43226</v>
      </c>
      <c r="J14" s="111"/>
      <c r="K14" s="111"/>
      <c r="L14" s="111"/>
      <c r="M14" s="111"/>
    </row>
    <row r="15" spans="2:13" ht="39.75" customHeight="1" x14ac:dyDescent="0.3">
      <c r="B15" s="2" t="s">
        <v>44</v>
      </c>
      <c r="C15" s="2"/>
      <c r="D15" s="2"/>
      <c r="E15" s="2"/>
      <c r="F15" s="2"/>
      <c r="G15" s="2"/>
      <c r="H15" s="2"/>
      <c r="J15" s="116"/>
      <c r="K15" s="116"/>
      <c r="L15" s="116"/>
      <c r="M15" s="116"/>
    </row>
  </sheetData>
  <mergeCells count="7">
    <mergeCell ref="J4:M5"/>
    <mergeCell ref="J6:M7"/>
    <mergeCell ref="J12:M13"/>
    <mergeCell ref="J14:M15"/>
    <mergeCell ref="J3:M3"/>
    <mergeCell ref="J10:M11"/>
    <mergeCell ref="J8:M9"/>
  </mergeCells>
  <phoneticPr fontId="1" type="noConversion"/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dataValidations count="8">
    <dataValidation allowBlank="1" showInputMessage="1" showErrorMessage="1" prompt="对此工作表中的四月进行规划。转到上月和下月的导航链接分别位于 C1 和 D1 " sqref="A1" xr:uid="{00000000-0002-0000-0400-000000000000}"/>
    <dataValidation allowBlank="1" showInputMessage="1" prompt="转到下月的导航链接" sqref="D1" xr:uid="{00000000-0002-0000-0400-000001000000}"/>
    <dataValidation allowBlank="1" showInputMessage="1" prompt="转到上月的导航链接" sqref="C1" xr:uid="{00000000-0002-0000-0400-000002000000}"/>
    <dataValidation allowBlank="1" showInputMessage="1" prompt="在列 B 到列 H 的第 5、7、9、11、13 和 15 行中输入每日备注" sqref="B5" xr:uid="{00000000-0002-0000-0400-000003000000}"/>
    <dataValidation allowBlank="1" showInputMessage="1" prompt="第 4、6、8、10、12 和 14 行包括月份日期，含上月和下月日期（如适用）" sqref="B4" xr:uid="{00000000-0002-0000-0400-000004000000}"/>
    <dataValidation allowBlank="1" showInputMessage="1" prompt="日历年由在“一月”工作表的 C2 中设置的年份自动确定" sqref="B1" xr:uid="{00000000-0002-0000-0400-000005000000}"/>
    <dataValidation allowBlank="1" showInputMessage="1" prompt="自动确定一周的开始日期。若要更改工作日，请在“一月”工作表的 E2 中选择一周的新开始日期" sqref="B3" xr:uid="{00000000-0002-0000-0400-000006000000}"/>
    <dataValidation allowBlank="1" showInputMessage="1" prompt="自动确定工作日" sqref="C3:H3" xr:uid="{00000000-0002-0000-0400-000007000000}"/>
  </dataValidations>
  <hyperlinks>
    <hyperlink ref="D1" location="五月!A1" tooltip="转到下月的导航链接" display="五月 -&gt;" xr:uid="{00000000-0004-0000-0400-000000000000}"/>
    <hyperlink ref="C1" location="三月!A1" tooltip="转到上月的导航链接" display="&lt;- 三月" xr:uid="{00000000-0004-0000-04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6ABDC"/>
    <pageSetUpPr fitToPage="1"/>
  </sheetPr>
  <dimension ref="B1:M15"/>
  <sheetViews>
    <sheetView showGridLines="0" topLeftCell="A2" zoomScaleNormal="100" workbookViewId="0">
      <selection activeCell="J8" sqref="J8:M9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17</v>
      </c>
      <c r="D1" s="7" t="s">
        <v>16</v>
      </c>
      <c r="E1" s="8"/>
      <c r="F1" s="8"/>
      <c r="G1" s="8"/>
      <c r="H1" s="7"/>
    </row>
    <row r="2" spans="2:13" ht="45" customHeight="1" x14ac:dyDescent="0.3">
      <c r="B2" s="6" t="s">
        <v>15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17" t="s">
        <v>41</v>
      </c>
      <c r="K3" s="118"/>
      <c r="L3" s="118"/>
      <c r="M3" s="119"/>
    </row>
    <row r="4" spans="2:13" ht="16.5" customHeight="1" x14ac:dyDescent="0.45">
      <c r="B4" s="12">
        <f t="array" aca="1" ref="B4:H4" ca="1">星期日期和周+DATE(CalendarYear,5,1)-WEEKDAY(DATE(CalendarYear,5,1),(周开始日期="一")+1)+1</f>
        <v>43220</v>
      </c>
      <c r="C4" s="12">
        <f ca="1"/>
        <v>43221</v>
      </c>
      <c r="D4" s="12">
        <f ca="1"/>
        <v>43222</v>
      </c>
      <c r="E4" s="12">
        <f ca="1"/>
        <v>43223</v>
      </c>
      <c r="F4" s="12">
        <f ca="1"/>
        <v>43224</v>
      </c>
      <c r="G4" s="12">
        <f ca="1"/>
        <v>43225</v>
      </c>
      <c r="H4" s="12">
        <f ca="1"/>
        <v>43226</v>
      </c>
      <c r="J4" s="110" t="s">
        <v>45</v>
      </c>
      <c r="K4" s="111"/>
      <c r="L4" s="111"/>
      <c r="M4" s="112"/>
    </row>
    <row r="5" spans="2:13" ht="39.75" customHeight="1" x14ac:dyDescent="0.3">
      <c r="B5" s="2"/>
      <c r="C5" s="2"/>
      <c r="D5" s="2"/>
      <c r="E5" s="14"/>
      <c r="F5" s="2"/>
      <c r="G5" s="2"/>
      <c r="H5" s="2"/>
      <c r="J5" s="113"/>
      <c r="K5" s="114"/>
      <c r="L5" s="114"/>
      <c r="M5" s="115"/>
    </row>
    <row r="6" spans="2:13" ht="15" customHeight="1" x14ac:dyDescent="0.45">
      <c r="B6" s="12">
        <f t="array" aca="1" ref="B6:H6" ca="1">星期日期和周+DATE(CalendarYear,5,1)-WEEKDAY(DATE(CalendarYear,5,1),(周开始日期="一")+1)+8</f>
        <v>43227</v>
      </c>
      <c r="C6" s="12">
        <f ca="1"/>
        <v>43228</v>
      </c>
      <c r="D6" s="12">
        <f ca="1"/>
        <v>43229</v>
      </c>
      <c r="E6" s="12">
        <f ca="1"/>
        <v>43230</v>
      </c>
      <c r="F6" s="12">
        <f ca="1"/>
        <v>43231</v>
      </c>
      <c r="G6" s="12">
        <f ca="1"/>
        <v>43232</v>
      </c>
      <c r="H6" s="12">
        <f ca="1"/>
        <v>43233</v>
      </c>
      <c r="J6" s="110" t="s">
        <v>141</v>
      </c>
      <c r="K6" s="111"/>
      <c r="L6" s="111"/>
      <c r="M6" s="112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13"/>
      <c r="K7" s="114"/>
      <c r="L7" s="114"/>
      <c r="M7" s="115"/>
    </row>
    <row r="8" spans="2:13" ht="15" customHeight="1" x14ac:dyDescent="0.45">
      <c r="B8" s="12">
        <f t="array" aca="1" ref="B8:H8" ca="1">星期日期和周+DATE(CalendarYear,5,1)-WEEKDAY(DATE(CalendarYear,5,1),(周开始日期="一")+1)+15</f>
        <v>43234</v>
      </c>
      <c r="C8" s="12">
        <f ca="1"/>
        <v>43235</v>
      </c>
      <c r="D8" s="12">
        <f ca="1"/>
        <v>43236</v>
      </c>
      <c r="E8" s="12">
        <f ca="1"/>
        <v>43237</v>
      </c>
      <c r="F8" s="12">
        <f ca="1"/>
        <v>43238</v>
      </c>
      <c r="G8" s="12">
        <f ca="1"/>
        <v>43239</v>
      </c>
      <c r="H8" s="12">
        <f ca="1"/>
        <v>43240</v>
      </c>
      <c r="J8" s="110" t="s">
        <v>46</v>
      </c>
      <c r="K8" s="111"/>
      <c r="L8" s="111"/>
      <c r="M8" s="112"/>
    </row>
    <row r="9" spans="2:13" ht="39.75" customHeight="1" x14ac:dyDescent="0.3">
      <c r="B9" s="2"/>
      <c r="C9" s="2"/>
      <c r="D9" s="14"/>
      <c r="E9" s="2"/>
      <c r="F9" s="14"/>
      <c r="G9" s="2"/>
      <c r="H9" s="2"/>
      <c r="J9" s="113"/>
      <c r="K9" s="114"/>
      <c r="L9" s="114"/>
      <c r="M9" s="115"/>
    </row>
    <row r="10" spans="2:13" ht="15" customHeight="1" x14ac:dyDescent="0.45">
      <c r="B10" s="12">
        <f t="array" aca="1" ref="B10:H10" ca="1">星期日期和周+DATE(CalendarYear,5,1)-WEEKDAY(DATE(CalendarYear,5,1),(周开始日期="一")+1)+22</f>
        <v>43241</v>
      </c>
      <c r="C10" s="12">
        <f ca="1"/>
        <v>43242</v>
      </c>
      <c r="D10" s="12">
        <f ca="1"/>
        <v>43243</v>
      </c>
      <c r="E10" s="12">
        <f ca="1"/>
        <v>43244</v>
      </c>
      <c r="F10" s="12">
        <f ca="1"/>
        <v>43245</v>
      </c>
      <c r="G10" s="12">
        <f ca="1"/>
        <v>43246</v>
      </c>
      <c r="H10" s="12">
        <f ca="1"/>
        <v>43247</v>
      </c>
      <c r="J10" s="110" t="s">
        <v>47</v>
      </c>
      <c r="K10" s="111"/>
      <c r="L10" s="111"/>
      <c r="M10" s="112"/>
    </row>
    <row r="11" spans="2:13" ht="40.5" customHeight="1" x14ac:dyDescent="0.3">
      <c r="B11" s="14"/>
      <c r="C11" s="2"/>
      <c r="D11" s="14"/>
      <c r="E11" s="2"/>
      <c r="F11" s="2"/>
      <c r="G11" s="14"/>
      <c r="H11" s="2"/>
      <c r="J11" s="113"/>
      <c r="K11" s="114"/>
      <c r="L11" s="114"/>
      <c r="M11" s="115"/>
    </row>
    <row r="12" spans="2:13" ht="15" customHeight="1" x14ac:dyDescent="0.45">
      <c r="B12" s="12">
        <f t="array" aca="1" ref="B12:H12" ca="1">星期日期和周+DATE(CalendarYear,5,1)-WEEKDAY(DATE(CalendarYear,5,1),(周开始日期="一")+1)+29</f>
        <v>43248</v>
      </c>
      <c r="C12" s="12">
        <f ca="1"/>
        <v>43249</v>
      </c>
      <c r="D12" s="12">
        <f ca="1"/>
        <v>43250</v>
      </c>
      <c r="E12" s="12">
        <f ca="1"/>
        <v>43251</v>
      </c>
      <c r="F12" s="12">
        <f ca="1"/>
        <v>43252</v>
      </c>
      <c r="G12" s="12">
        <f ca="1"/>
        <v>43253</v>
      </c>
      <c r="H12" s="12">
        <f ca="1"/>
        <v>43254</v>
      </c>
      <c r="J12" s="110" t="s">
        <v>48</v>
      </c>
      <c r="K12" s="111"/>
      <c r="L12" s="111"/>
      <c r="M12" s="112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13"/>
      <c r="K13" s="114"/>
      <c r="L13" s="114"/>
      <c r="M13" s="115"/>
    </row>
    <row r="14" spans="2:13" ht="15" customHeight="1" x14ac:dyDescent="0.45">
      <c r="B14" s="12">
        <f t="array" aca="1" ref="B14:H14" ca="1">星期日期和周+DATE(CalendarYear,5,1)-WEEKDAY(DATE(CalendarYear,5,1),(周开始日期="一")+1)+36</f>
        <v>43255</v>
      </c>
      <c r="C14" s="12">
        <f ca="1"/>
        <v>43256</v>
      </c>
      <c r="D14" s="12">
        <f ca="1"/>
        <v>43257</v>
      </c>
      <c r="E14" s="12">
        <f ca="1"/>
        <v>43258</v>
      </c>
      <c r="F14" s="12">
        <f ca="1"/>
        <v>43259</v>
      </c>
      <c r="G14" s="12">
        <f ca="1"/>
        <v>43260</v>
      </c>
      <c r="H14" s="12">
        <f ca="1"/>
        <v>43261</v>
      </c>
    </row>
    <row r="15" spans="2:13" ht="39.75" customHeight="1" x14ac:dyDescent="0.3">
      <c r="B15" s="2"/>
      <c r="C15" s="2"/>
      <c r="D15" s="2"/>
      <c r="E15" s="2"/>
      <c r="F15" s="2"/>
      <c r="G15" s="2"/>
      <c r="H15" s="2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500-000000000000}"/>
    <dataValidation allowBlank="1" showInputMessage="1" prompt="转到下月的导航链接" sqref="D1" xr:uid="{00000000-0002-0000-0500-000001000000}"/>
    <dataValidation allowBlank="1" showInputMessage="1" prompt="对此工作表中的五月进行规划。转到上月和下月的导航链接分别位于 C1 和 D1 " sqref="A1" xr:uid="{00000000-0002-0000-0500-000002000000}"/>
    <dataValidation allowBlank="1" showInputMessage="1" prompt="在列 B 到列 H 的第 5、7、9、11、13 和 15 行中输入每日备注" sqref="B5" xr:uid="{00000000-0002-0000-0500-000003000000}"/>
    <dataValidation allowBlank="1" showInputMessage="1" prompt="第 4、6、8、10、12 和 14 行包括月份日期，含上月和下月日期（如适用）" sqref="B4" xr:uid="{00000000-0002-0000-0500-000004000000}"/>
    <dataValidation allowBlank="1" showInputMessage="1" prompt="日历年由在“一月”工作表的 C2 中设置的年份自动确定" sqref="B1" xr:uid="{00000000-0002-0000-0500-000005000000}"/>
    <dataValidation allowBlank="1" showInputMessage="1" prompt="自动确定一周的开始日期。若要更改工作日，请在“一月”工作表的 E2 中选择一周的新开始日期" sqref="B3" xr:uid="{00000000-0002-0000-0500-000006000000}"/>
    <dataValidation allowBlank="1" showInputMessage="1" prompt="自动确定工作日" sqref="C3:H3" xr:uid="{00000000-0002-0000-0500-000007000000}"/>
  </dataValidations>
  <hyperlinks>
    <hyperlink ref="D1" location="六月!A1" tooltip="转到下月的导航链接" display="六月 -&gt;" xr:uid="{00000000-0004-0000-0500-000000000000}"/>
    <hyperlink ref="C1" location="四月!A1" tooltip="转到上月的导航链接" display="&lt;- 四月" xr:uid="{00000000-0004-0000-05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63A0D7"/>
    <pageSetUpPr fitToPage="1"/>
  </sheetPr>
  <dimension ref="B1:M15"/>
  <sheetViews>
    <sheetView showGridLines="0" zoomScaleNormal="100" workbookViewId="0">
      <selection activeCell="E13" sqref="E13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20</v>
      </c>
      <c r="D1" s="7" t="s">
        <v>19</v>
      </c>
      <c r="E1" s="8"/>
      <c r="F1" s="8"/>
      <c r="G1" s="8"/>
      <c r="H1" s="7"/>
    </row>
    <row r="2" spans="2:13" ht="45" customHeight="1" x14ac:dyDescent="0.3">
      <c r="B2" s="6" t="s">
        <v>18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17" t="s">
        <v>41</v>
      </c>
      <c r="K3" s="118"/>
      <c r="L3" s="118"/>
      <c r="M3" s="119"/>
    </row>
    <row r="4" spans="2:13" ht="16.5" customHeight="1" x14ac:dyDescent="0.45">
      <c r="B4" s="12">
        <f t="array" aca="1" ref="B4:H4" ca="1">星期日期和周+DATE(CalendarYear,6,1)-WEEKDAY(DATE(CalendarYear,6,1),(周开始日期="一")+1)+1</f>
        <v>43248</v>
      </c>
      <c r="C4" s="12">
        <f ca="1"/>
        <v>43249</v>
      </c>
      <c r="D4" s="12">
        <f ca="1"/>
        <v>43250</v>
      </c>
      <c r="E4" s="12">
        <f ca="1"/>
        <v>43251</v>
      </c>
      <c r="F4" s="12">
        <f ca="1"/>
        <v>43252</v>
      </c>
      <c r="G4" s="12">
        <f ca="1"/>
        <v>43253</v>
      </c>
      <c r="H4" s="12">
        <f ca="1"/>
        <v>43254</v>
      </c>
      <c r="J4" s="110" t="s">
        <v>49</v>
      </c>
      <c r="K4" s="111"/>
      <c r="L4" s="111"/>
      <c r="M4" s="112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13"/>
      <c r="K5" s="114"/>
      <c r="L5" s="114"/>
      <c r="M5" s="115"/>
    </row>
    <row r="6" spans="2:13" ht="15" customHeight="1" x14ac:dyDescent="0.45">
      <c r="B6" s="12">
        <f t="array" aca="1" ref="B6:H6" ca="1">星期日期和周+DATE(CalendarYear,6,1)-WEEKDAY(DATE(CalendarYear,6,1),(周开始日期="一")+1)+8</f>
        <v>43255</v>
      </c>
      <c r="C6" s="12">
        <f ca="1"/>
        <v>43256</v>
      </c>
      <c r="D6" s="12">
        <f ca="1"/>
        <v>43257</v>
      </c>
      <c r="E6" s="12">
        <f ca="1"/>
        <v>43258</v>
      </c>
      <c r="F6" s="12">
        <f ca="1"/>
        <v>43259</v>
      </c>
      <c r="G6" s="12">
        <f ca="1"/>
        <v>43260</v>
      </c>
      <c r="H6" s="12">
        <f ca="1"/>
        <v>43261</v>
      </c>
      <c r="J6" s="110" t="s">
        <v>50</v>
      </c>
      <c r="K6" s="111"/>
      <c r="L6" s="111"/>
      <c r="M6" s="112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13"/>
      <c r="K7" s="114"/>
      <c r="L7" s="114"/>
      <c r="M7" s="115"/>
    </row>
    <row r="8" spans="2:13" ht="15" customHeight="1" x14ac:dyDescent="0.45">
      <c r="B8" s="12">
        <f t="array" aca="1" ref="B8:H8" ca="1">星期日期和周+DATE(CalendarYear,6,1)-WEEKDAY(DATE(CalendarYear,6,1),(周开始日期="一")+1)+15</f>
        <v>43262</v>
      </c>
      <c r="C8" s="12">
        <f ca="1"/>
        <v>43263</v>
      </c>
      <c r="D8" s="12">
        <f ca="1"/>
        <v>43264</v>
      </c>
      <c r="E8" s="12">
        <f ca="1"/>
        <v>43265</v>
      </c>
      <c r="F8" s="12">
        <f ca="1"/>
        <v>43266</v>
      </c>
      <c r="G8" s="12">
        <f ca="1"/>
        <v>43267</v>
      </c>
      <c r="H8" s="12">
        <f ca="1"/>
        <v>43268</v>
      </c>
      <c r="J8" s="110" t="s">
        <v>51</v>
      </c>
      <c r="K8" s="111"/>
      <c r="L8" s="111"/>
      <c r="M8" s="112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13"/>
      <c r="K9" s="114"/>
      <c r="L9" s="114"/>
      <c r="M9" s="115"/>
    </row>
    <row r="10" spans="2:13" ht="15" customHeight="1" x14ac:dyDescent="0.45">
      <c r="B10" s="12">
        <f t="array" aca="1" ref="B10:H10" ca="1">星期日期和周+DATE(CalendarYear,6,1)-WEEKDAY(DATE(CalendarYear,6,1),(周开始日期="一")+1)+22</f>
        <v>43269</v>
      </c>
      <c r="C10" s="12">
        <f ca="1"/>
        <v>43270</v>
      </c>
      <c r="D10" s="12">
        <f ca="1"/>
        <v>43271</v>
      </c>
      <c r="E10" s="12">
        <f ca="1"/>
        <v>43272</v>
      </c>
      <c r="F10" s="12">
        <f ca="1"/>
        <v>43273</v>
      </c>
      <c r="G10" s="12">
        <f ca="1"/>
        <v>43274</v>
      </c>
      <c r="H10" s="12">
        <f ca="1"/>
        <v>43275</v>
      </c>
      <c r="J10" s="110" t="s">
        <v>53</v>
      </c>
      <c r="K10" s="111"/>
      <c r="L10" s="111"/>
      <c r="M10" s="112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13"/>
      <c r="K11" s="114"/>
      <c r="L11" s="114"/>
      <c r="M11" s="115"/>
    </row>
    <row r="12" spans="2:13" ht="15" customHeight="1" x14ac:dyDescent="0.45">
      <c r="B12" s="12">
        <f t="array" aca="1" ref="B12:H12" ca="1">星期日期和周+DATE(CalendarYear,6,1)-WEEKDAY(DATE(CalendarYear,6,1),(周开始日期="一")+1)+29</f>
        <v>43276</v>
      </c>
      <c r="C12" s="12">
        <f ca="1"/>
        <v>43277</v>
      </c>
      <c r="D12" s="12">
        <f ca="1"/>
        <v>43278</v>
      </c>
      <c r="E12" s="12">
        <f ca="1"/>
        <v>43279</v>
      </c>
      <c r="F12" s="12">
        <f ca="1"/>
        <v>43280</v>
      </c>
      <c r="G12" s="12">
        <f ca="1"/>
        <v>43281</v>
      </c>
      <c r="H12" s="12">
        <f ca="1"/>
        <v>43282</v>
      </c>
      <c r="J12" s="110" t="s">
        <v>54</v>
      </c>
      <c r="K12" s="111"/>
      <c r="L12" s="111"/>
      <c r="M12" s="112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13"/>
      <c r="K13" s="114"/>
      <c r="L13" s="114"/>
      <c r="M13" s="115"/>
    </row>
    <row r="14" spans="2:13" ht="15" customHeight="1" x14ac:dyDescent="0.45">
      <c r="B14" s="12">
        <f t="array" aca="1" ref="B14:H14" ca="1">星期日期和周+DATE(CalendarYear,6,1)-WEEKDAY(DATE(CalendarYear,6,1),(周开始日期="一")+1)+36</f>
        <v>43283</v>
      </c>
      <c r="C14" s="12">
        <f ca="1"/>
        <v>43284</v>
      </c>
      <c r="D14" s="12">
        <f ca="1"/>
        <v>43285</v>
      </c>
      <c r="E14" s="12">
        <f ca="1"/>
        <v>43286</v>
      </c>
      <c r="F14" s="12">
        <f ca="1"/>
        <v>43287</v>
      </c>
      <c r="G14" s="12">
        <f ca="1"/>
        <v>43288</v>
      </c>
      <c r="H14" s="12">
        <f ca="1"/>
        <v>43289</v>
      </c>
    </row>
    <row r="15" spans="2:13" ht="39.75" customHeight="1" x14ac:dyDescent="0.3">
      <c r="B15" s="2"/>
      <c r="C15" s="2"/>
      <c r="D15" s="2"/>
      <c r="E15" s="2"/>
      <c r="F15" s="2"/>
      <c r="G15" s="2"/>
      <c r="H15" s="2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dataValidations count="8">
    <dataValidation allowBlank="1" showInputMessage="1" prompt="对此工作表中的六月进行规划。转到上月和下月的导航链接分别位于 C1 和 D1 " sqref="A1" xr:uid="{00000000-0002-0000-0600-000000000000}"/>
    <dataValidation allowBlank="1" showInputMessage="1" prompt="转到下月的导航链接" sqref="D1" xr:uid="{00000000-0002-0000-0600-000001000000}"/>
    <dataValidation allowBlank="1" showInputMessage="1" prompt="转到上月的导航链接" sqref="C1" xr:uid="{00000000-0002-0000-0600-000002000000}"/>
    <dataValidation allowBlank="1" showInputMessage="1" prompt="在列 B 到列 H 的第 5、7、9、11、13 和 15 行中输入每日备注" sqref="B5" xr:uid="{00000000-0002-0000-0600-000003000000}"/>
    <dataValidation allowBlank="1" showInputMessage="1" prompt="第 4、6、8、10、12 和 14 行包括月份日期，含上月和下月日期（如适用）" sqref="B4" xr:uid="{00000000-0002-0000-0600-000004000000}"/>
    <dataValidation allowBlank="1" showInputMessage="1" prompt="日历年由在“一月”工作表的 C2 中设置的年份自动确定" sqref="B1" xr:uid="{00000000-0002-0000-0600-000005000000}"/>
    <dataValidation allowBlank="1" showInputMessage="1" prompt="自动确定一周的开始日期。若要更改工作日，请在“一月”工作表的 E2 中选择一周的新开始日期" sqref="B3" xr:uid="{00000000-0002-0000-0600-000006000000}"/>
    <dataValidation allowBlank="1" showInputMessage="1" prompt="自动确定工作日" sqref="C3:H3" xr:uid="{00000000-0002-0000-0600-000007000000}"/>
  </dataValidations>
  <hyperlinks>
    <hyperlink ref="D1" location="七月!A1" tooltip="转到下月的导航链接" display="七月 -&gt;" xr:uid="{00000000-0004-0000-0600-000000000000}"/>
    <hyperlink ref="C1" location="五月!A1" tooltip="转到上月的导航链接" display="&lt;- 五月" xr:uid="{00000000-0004-0000-06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3F89CD"/>
  </sheetPr>
  <dimension ref="A1:G32"/>
  <sheetViews>
    <sheetView zoomScale="145" zoomScaleNormal="145" workbookViewId="0">
      <pane ySplit="1" topLeftCell="A19" activePane="bottomLeft" state="frozen"/>
      <selection activeCell="E13" sqref="E13"/>
      <selection pane="bottomLeft" activeCell="D32" sqref="D32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0" t="s">
        <v>71</v>
      </c>
      <c r="B1" s="21" t="s">
        <v>70</v>
      </c>
      <c r="C1" s="21" t="s">
        <v>69</v>
      </c>
      <c r="D1" s="21" t="s">
        <v>68</v>
      </c>
      <c r="E1" s="21" t="s">
        <v>67</v>
      </c>
      <c r="F1" s="21" t="s">
        <v>78</v>
      </c>
      <c r="G1" s="21" t="s">
        <v>65</v>
      </c>
    </row>
    <row r="2" spans="1:7" ht="15" thickTop="1" thickBot="1" x14ac:dyDescent="0.35">
      <c r="A2" s="22">
        <v>43282</v>
      </c>
      <c r="B2" s="23" t="s">
        <v>56</v>
      </c>
      <c r="C2" s="24"/>
      <c r="D2" s="24"/>
      <c r="E2" s="24"/>
      <c r="F2" s="24"/>
      <c r="G2" s="25"/>
    </row>
    <row r="3" spans="1:7" ht="14.5" thickBot="1" x14ac:dyDescent="0.35">
      <c r="A3" s="26">
        <v>43283</v>
      </c>
      <c r="B3" s="27" t="s">
        <v>2</v>
      </c>
      <c r="C3" s="28" t="s">
        <v>63</v>
      </c>
      <c r="D3" s="28"/>
      <c r="E3" s="28"/>
      <c r="F3" s="28"/>
      <c r="G3" s="29"/>
    </row>
    <row r="4" spans="1:7" ht="14.5" thickBot="1" x14ac:dyDescent="0.35">
      <c r="A4" s="26">
        <v>43284</v>
      </c>
      <c r="B4" s="27" t="s">
        <v>55</v>
      </c>
      <c r="C4" s="28"/>
      <c r="D4" s="28"/>
      <c r="E4" s="28"/>
      <c r="F4" s="28"/>
      <c r="G4" s="29"/>
    </row>
    <row r="5" spans="1:7" ht="14.5" thickBot="1" x14ac:dyDescent="0.35">
      <c r="A5" s="26">
        <v>43285</v>
      </c>
      <c r="B5" s="27" t="s">
        <v>60</v>
      </c>
      <c r="C5" s="28"/>
      <c r="D5" s="28"/>
      <c r="E5" s="28"/>
      <c r="F5" s="28"/>
      <c r="G5" s="29"/>
    </row>
    <row r="6" spans="1:7" ht="14.5" thickBot="1" x14ac:dyDescent="0.35">
      <c r="A6" s="26">
        <v>43286</v>
      </c>
      <c r="B6" s="27" t="s">
        <v>59</v>
      </c>
      <c r="C6" s="28"/>
      <c r="D6" s="28"/>
      <c r="E6" s="28"/>
      <c r="F6" s="28"/>
      <c r="G6" s="29"/>
    </row>
    <row r="7" spans="1:7" ht="14.5" thickBot="1" x14ac:dyDescent="0.35">
      <c r="A7" s="26">
        <v>43287</v>
      </c>
      <c r="B7" s="27" t="s">
        <v>58</v>
      </c>
      <c r="C7" s="28"/>
      <c r="D7" s="28"/>
      <c r="E7" s="28"/>
      <c r="F7" s="28"/>
      <c r="G7" s="29"/>
    </row>
    <row r="8" spans="1:7" s="15" customFormat="1" ht="14.5" thickBot="1" x14ac:dyDescent="0.35">
      <c r="A8" s="22">
        <v>43288</v>
      </c>
      <c r="B8" s="23" t="s">
        <v>57</v>
      </c>
      <c r="C8" s="24"/>
      <c r="D8" s="24"/>
      <c r="E8" s="24"/>
      <c r="F8" s="24" t="s">
        <v>62</v>
      </c>
      <c r="G8" s="25"/>
    </row>
    <row r="9" spans="1:7" s="15" customFormat="1" ht="14.5" thickBot="1" x14ac:dyDescent="0.35">
      <c r="A9" s="22">
        <v>43289</v>
      </c>
      <c r="B9" s="23" t="s">
        <v>56</v>
      </c>
      <c r="C9" s="24" t="s">
        <v>61</v>
      </c>
      <c r="D9" s="24" t="s">
        <v>75</v>
      </c>
      <c r="E9" s="24"/>
      <c r="F9" s="24" t="s">
        <v>76</v>
      </c>
      <c r="G9" s="25"/>
    </row>
    <row r="10" spans="1:7" ht="14.5" thickBot="1" x14ac:dyDescent="0.35">
      <c r="A10" s="26">
        <v>43290</v>
      </c>
      <c r="B10" s="27" t="s">
        <v>2</v>
      </c>
      <c r="C10" s="28"/>
      <c r="D10" s="28"/>
      <c r="E10" s="28"/>
      <c r="F10" s="28" t="s">
        <v>76</v>
      </c>
      <c r="G10" s="29"/>
    </row>
    <row r="11" spans="1:7" ht="14.5" thickBot="1" x14ac:dyDescent="0.35">
      <c r="A11" s="26">
        <v>43291</v>
      </c>
      <c r="B11" s="27" t="s">
        <v>55</v>
      </c>
      <c r="C11" s="28"/>
      <c r="D11" s="28"/>
      <c r="E11" s="28"/>
      <c r="F11" s="28" t="s">
        <v>76</v>
      </c>
      <c r="G11" s="29"/>
    </row>
    <row r="12" spans="1:7" ht="14.5" thickBot="1" x14ac:dyDescent="0.35">
      <c r="A12" s="26">
        <v>43292</v>
      </c>
      <c r="B12" s="27" t="s">
        <v>60</v>
      </c>
      <c r="C12" s="28"/>
      <c r="D12" s="35" t="s">
        <v>77</v>
      </c>
      <c r="E12" s="28"/>
      <c r="F12" s="28" t="s">
        <v>62</v>
      </c>
      <c r="G12" s="29"/>
    </row>
    <row r="13" spans="1:7" ht="14.5" thickBot="1" x14ac:dyDescent="0.35">
      <c r="A13" s="26">
        <v>43293</v>
      </c>
      <c r="B13" s="27" t="s">
        <v>59</v>
      </c>
      <c r="C13" s="28" t="s">
        <v>82</v>
      </c>
      <c r="D13" s="28"/>
      <c r="E13" s="28"/>
      <c r="F13" s="28"/>
      <c r="G13" s="29"/>
    </row>
    <row r="14" spans="1:7" ht="14.5" thickBot="1" x14ac:dyDescent="0.35">
      <c r="A14" s="26">
        <v>43294</v>
      </c>
      <c r="B14" s="27" t="s">
        <v>58</v>
      </c>
      <c r="C14" s="28"/>
      <c r="D14" s="28"/>
      <c r="E14" s="28"/>
      <c r="F14" s="28"/>
      <c r="G14" s="29"/>
    </row>
    <row r="15" spans="1:7" s="15" customFormat="1" ht="14.5" thickBot="1" x14ac:dyDescent="0.35">
      <c r="A15" s="22">
        <v>43295</v>
      </c>
      <c r="B15" s="23" t="s">
        <v>57</v>
      </c>
      <c r="C15" s="24"/>
      <c r="D15" s="24"/>
      <c r="E15" s="24"/>
      <c r="F15" s="24"/>
      <c r="G15" s="25"/>
    </row>
    <row r="16" spans="1:7" s="15" customFormat="1" ht="14.5" thickBot="1" x14ac:dyDescent="0.35">
      <c r="A16" s="22">
        <v>43296</v>
      </c>
      <c r="B16" s="23" t="s">
        <v>56</v>
      </c>
      <c r="C16" s="24"/>
      <c r="D16" s="24"/>
      <c r="E16" s="24"/>
      <c r="F16" s="24"/>
      <c r="G16" s="25"/>
    </row>
    <row r="17" spans="1:7" ht="14.5" thickBot="1" x14ac:dyDescent="0.35">
      <c r="A17" s="26">
        <v>43297</v>
      </c>
      <c r="B17" s="27" t="s">
        <v>2</v>
      </c>
      <c r="C17" s="28"/>
      <c r="D17" s="28"/>
      <c r="E17" s="28"/>
      <c r="F17" s="28" t="s">
        <v>62</v>
      </c>
      <c r="G17" s="29"/>
    </row>
    <row r="18" spans="1:7" ht="14.5" thickBot="1" x14ac:dyDescent="0.35">
      <c r="A18" s="26">
        <v>43298</v>
      </c>
      <c r="B18" s="27" t="s">
        <v>55</v>
      </c>
      <c r="C18" s="28" t="s">
        <v>79</v>
      </c>
      <c r="D18" s="28" t="s">
        <v>80</v>
      </c>
      <c r="E18" s="28"/>
      <c r="F18" s="28" t="s">
        <v>62</v>
      </c>
      <c r="G18" s="29"/>
    </row>
    <row r="19" spans="1:7" ht="14.5" thickBot="1" x14ac:dyDescent="0.35">
      <c r="A19" s="26">
        <v>43299</v>
      </c>
      <c r="B19" s="27" t="s">
        <v>60</v>
      </c>
      <c r="C19" s="28" t="s">
        <v>81</v>
      </c>
      <c r="D19" s="28"/>
      <c r="E19" s="28"/>
      <c r="F19" s="28"/>
      <c r="G19" s="29"/>
    </row>
    <row r="20" spans="1:7" ht="14.5" thickBot="1" x14ac:dyDescent="0.35">
      <c r="A20" s="26">
        <v>43300</v>
      </c>
      <c r="B20" s="27" t="s">
        <v>59</v>
      </c>
      <c r="C20" s="28"/>
      <c r="D20" s="28"/>
      <c r="E20" s="28"/>
      <c r="F20" s="28"/>
      <c r="G20" s="29"/>
    </row>
    <row r="21" spans="1:7" ht="14.5" thickBot="1" x14ac:dyDescent="0.35">
      <c r="A21" s="26">
        <v>43301</v>
      </c>
      <c r="B21" s="27" t="s">
        <v>58</v>
      </c>
      <c r="C21" s="28"/>
      <c r="D21" s="28"/>
      <c r="E21" s="28"/>
      <c r="F21" s="28"/>
      <c r="G21" s="29"/>
    </row>
    <row r="22" spans="1:7" s="15" customFormat="1" ht="14.5" thickBot="1" x14ac:dyDescent="0.35">
      <c r="A22" s="22">
        <v>43302</v>
      </c>
      <c r="B22" s="23" t="s">
        <v>57</v>
      </c>
      <c r="C22" s="24"/>
      <c r="D22" s="24"/>
      <c r="E22" s="24"/>
      <c r="F22" s="24" t="s">
        <v>62</v>
      </c>
      <c r="G22" s="25"/>
    </row>
    <row r="23" spans="1:7" s="15" customFormat="1" ht="14.5" thickBot="1" x14ac:dyDescent="0.35">
      <c r="A23" s="22">
        <v>43303</v>
      </c>
      <c r="B23" s="23" t="s">
        <v>56</v>
      </c>
      <c r="C23" s="24" t="s">
        <v>83</v>
      </c>
      <c r="D23" s="24" t="s">
        <v>84</v>
      </c>
      <c r="E23" s="24"/>
      <c r="F23" s="24"/>
      <c r="G23" s="25"/>
    </row>
    <row r="24" spans="1:7" ht="14.5" thickBot="1" x14ac:dyDescent="0.35">
      <c r="A24" s="26">
        <v>43304</v>
      </c>
      <c r="B24" s="27" t="s">
        <v>2</v>
      </c>
      <c r="C24" s="28"/>
      <c r="D24" s="28"/>
      <c r="E24" s="28"/>
      <c r="F24" s="28"/>
      <c r="G24" s="29"/>
    </row>
    <row r="25" spans="1:7" ht="14.5" thickBot="1" x14ac:dyDescent="0.35">
      <c r="A25" s="26">
        <v>43305</v>
      </c>
      <c r="B25" s="27" t="s">
        <v>55</v>
      </c>
      <c r="C25" s="28"/>
      <c r="D25" s="28"/>
      <c r="E25" s="28"/>
      <c r="F25" s="28"/>
      <c r="G25" s="29"/>
    </row>
    <row r="26" spans="1:7" ht="14.5" thickBot="1" x14ac:dyDescent="0.35">
      <c r="A26" s="26">
        <v>43306</v>
      </c>
      <c r="B26" s="27" t="s">
        <v>60</v>
      </c>
      <c r="C26" s="28"/>
      <c r="D26" s="28"/>
      <c r="E26" s="28"/>
      <c r="F26" s="28"/>
      <c r="G26" s="29"/>
    </row>
    <row r="27" spans="1:7" ht="14.5" thickBot="1" x14ac:dyDescent="0.35">
      <c r="A27" s="26">
        <v>43307</v>
      </c>
      <c r="B27" s="27" t="s">
        <v>59</v>
      </c>
      <c r="C27" s="28"/>
      <c r="D27" s="28"/>
      <c r="E27" s="28"/>
      <c r="F27" s="28"/>
      <c r="G27" s="29"/>
    </row>
    <row r="28" spans="1:7" ht="14.5" thickBot="1" x14ac:dyDescent="0.35">
      <c r="A28" s="26">
        <v>43308</v>
      </c>
      <c r="B28" s="27" t="s">
        <v>58</v>
      </c>
      <c r="C28" s="28"/>
      <c r="D28" s="28"/>
      <c r="E28" s="28"/>
      <c r="F28" s="28"/>
      <c r="G28" s="29"/>
    </row>
    <row r="29" spans="1:7" s="15" customFormat="1" ht="14.5" thickBot="1" x14ac:dyDescent="0.35">
      <c r="A29" s="22">
        <v>43309</v>
      </c>
      <c r="B29" s="23" t="s">
        <v>57</v>
      </c>
      <c r="C29" s="24"/>
      <c r="D29" s="24"/>
      <c r="E29" s="24"/>
      <c r="F29" s="24"/>
      <c r="G29" s="25"/>
    </row>
    <row r="30" spans="1:7" s="15" customFormat="1" ht="14.5" thickBot="1" x14ac:dyDescent="0.35">
      <c r="A30" s="22">
        <v>43310</v>
      </c>
      <c r="B30" s="23" t="s">
        <v>56</v>
      </c>
      <c r="C30" s="24"/>
      <c r="D30" s="24"/>
      <c r="E30" s="24"/>
      <c r="F30" s="24"/>
      <c r="G30" s="25"/>
    </row>
    <row r="31" spans="1:7" ht="14.5" thickBot="1" x14ac:dyDescent="0.35">
      <c r="A31" s="26">
        <v>43311</v>
      </c>
      <c r="B31" s="27" t="s">
        <v>2</v>
      </c>
      <c r="C31" s="28" t="s">
        <v>85</v>
      </c>
      <c r="D31" s="28" t="s">
        <v>155</v>
      </c>
      <c r="E31" s="28"/>
      <c r="F31" s="28"/>
      <c r="G31" s="29"/>
    </row>
    <row r="32" spans="1:7" ht="14.5" thickBot="1" x14ac:dyDescent="0.35">
      <c r="A32" s="26">
        <v>43312</v>
      </c>
      <c r="B32" s="27" t="s">
        <v>55</v>
      </c>
      <c r="C32" s="28"/>
      <c r="D32" s="28"/>
      <c r="E32" s="28"/>
      <c r="F32" s="28"/>
      <c r="G32" s="29"/>
    </row>
  </sheetData>
  <phoneticPr fontId="1" type="noConversion"/>
  <dataValidations count="1">
    <dataValidation type="list" allowBlank="1" showInputMessage="1" showErrorMessage="1" sqref="F2:F32" xr:uid="{00000000-0002-0000-07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3381C7"/>
  </sheetPr>
  <dimension ref="A1:G32"/>
  <sheetViews>
    <sheetView zoomScale="160" zoomScaleNormal="160" workbookViewId="0">
      <pane ySplit="1" topLeftCell="A7" activePane="bottomLeft" state="frozen"/>
      <selection activeCell="E13" sqref="E13"/>
      <selection pane="bottomLeft" activeCell="D9" sqref="D9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0" t="s">
        <v>129</v>
      </c>
      <c r="B1" s="21" t="s">
        <v>127</v>
      </c>
      <c r="C1" s="21" t="s">
        <v>126</v>
      </c>
      <c r="D1" s="21" t="s">
        <v>125</v>
      </c>
      <c r="E1" s="21" t="s">
        <v>73</v>
      </c>
      <c r="F1" s="21" t="s">
        <v>72</v>
      </c>
      <c r="G1" s="21" t="s">
        <v>122</v>
      </c>
    </row>
    <row r="2" spans="1:7" ht="15" thickTop="1" thickBot="1" x14ac:dyDescent="0.35">
      <c r="A2" s="26">
        <v>43313</v>
      </c>
      <c r="B2" s="27" t="s">
        <v>60</v>
      </c>
      <c r="C2" s="28" t="s">
        <v>85</v>
      </c>
      <c r="D2" s="28"/>
      <c r="E2" s="28"/>
      <c r="F2" s="28"/>
      <c r="G2" s="29"/>
    </row>
    <row r="3" spans="1:7" ht="14.5" thickBot="1" x14ac:dyDescent="0.35">
      <c r="A3" s="26">
        <v>43314</v>
      </c>
      <c r="B3" s="27" t="s">
        <v>59</v>
      </c>
      <c r="C3" s="28"/>
      <c r="D3" s="28"/>
      <c r="E3" s="28"/>
      <c r="F3" s="28"/>
      <c r="G3" s="29"/>
    </row>
    <row r="4" spans="1:7" ht="14.5" thickBot="1" x14ac:dyDescent="0.35">
      <c r="A4" s="26">
        <v>43315</v>
      </c>
      <c r="B4" s="27" t="s">
        <v>58</v>
      </c>
      <c r="C4" s="28"/>
      <c r="D4" s="28"/>
      <c r="E4" s="28"/>
      <c r="F4" s="28"/>
      <c r="G4" s="29"/>
    </row>
    <row r="5" spans="1:7" ht="14.5" thickBot="1" x14ac:dyDescent="0.35">
      <c r="A5" s="22">
        <v>43316</v>
      </c>
      <c r="B5" s="23" t="s">
        <v>57</v>
      </c>
      <c r="C5" s="24"/>
      <c r="D5" s="24"/>
      <c r="E5" s="24"/>
      <c r="F5" s="24"/>
      <c r="G5" s="25"/>
    </row>
    <row r="6" spans="1:7" ht="14.5" thickBot="1" x14ac:dyDescent="0.35">
      <c r="A6" s="22">
        <v>43317</v>
      </c>
      <c r="B6" s="23" t="s">
        <v>56</v>
      </c>
      <c r="C6" s="24"/>
      <c r="D6" s="24"/>
      <c r="E6" s="24"/>
      <c r="F6" s="24"/>
      <c r="G6" s="25" t="s">
        <v>156</v>
      </c>
    </row>
    <row r="7" spans="1:7" ht="14.5" thickBot="1" x14ac:dyDescent="0.35">
      <c r="A7" s="26">
        <v>43318</v>
      </c>
      <c r="B7" s="27" t="s">
        <v>2</v>
      </c>
      <c r="C7" s="28"/>
      <c r="D7" s="28" t="s">
        <v>89</v>
      </c>
      <c r="E7" s="28"/>
      <c r="F7" s="28"/>
      <c r="G7" s="29"/>
    </row>
    <row r="8" spans="1:7" ht="14.5" thickBot="1" x14ac:dyDescent="0.35">
      <c r="A8" s="26">
        <v>43319</v>
      </c>
      <c r="B8" s="27" t="s">
        <v>55</v>
      </c>
      <c r="C8" s="28"/>
      <c r="D8" s="28" t="s">
        <v>91</v>
      </c>
      <c r="E8" s="28"/>
      <c r="F8" s="28"/>
      <c r="G8" s="29"/>
    </row>
    <row r="9" spans="1:7" ht="14.5" thickBot="1" x14ac:dyDescent="0.35">
      <c r="A9" s="26">
        <v>43320</v>
      </c>
      <c r="B9" s="27" t="s">
        <v>60</v>
      </c>
      <c r="C9" s="28"/>
      <c r="D9" s="28" t="s">
        <v>90</v>
      </c>
      <c r="E9" s="28"/>
      <c r="F9" s="28" t="s">
        <v>62</v>
      </c>
      <c r="G9" s="29"/>
    </row>
    <row r="10" spans="1:7" ht="14.5" thickBot="1" x14ac:dyDescent="0.35">
      <c r="A10" s="26">
        <v>43321</v>
      </c>
      <c r="B10" s="27" t="s">
        <v>59</v>
      </c>
      <c r="C10" s="28" t="s">
        <v>92</v>
      </c>
      <c r="D10" s="28" t="s">
        <v>93</v>
      </c>
      <c r="E10" s="28"/>
      <c r="F10" s="28"/>
      <c r="G10" s="29"/>
    </row>
    <row r="11" spans="1:7" ht="14.5" thickBot="1" x14ac:dyDescent="0.35">
      <c r="A11" s="26">
        <v>43322</v>
      </c>
      <c r="B11" s="27" t="s">
        <v>58</v>
      </c>
      <c r="C11" s="28"/>
      <c r="D11" s="28"/>
      <c r="E11" s="28"/>
      <c r="F11" s="28"/>
      <c r="G11" s="29"/>
    </row>
    <row r="12" spans="1:7" ht="14.5" thickBot="1" x14ac:dyDescent="0.35">
      <c r="A12" s="22">
        <v>43323</v>
      </c>
      <c r="B12" s="23" t="s">
        <v>57</v>
      </c>
      <c r="C12" s="24"/>
      <c r="D12" s="24"/>
      <c r="E12" s="24"/>
      <c r="F12" s="24"/>
      <c r="G12" s="25"/>
    </row>
    <row r="13" spans="1:7" ht="14.5" thickBot="1" x14ac:dyDescent="0.35">
      <c r="A13" s="22">
        <v>43324</v>
      </c>
      <c r="B13" s="23" t="s">
        <v>56</v>
      </c>
      <c r="C13" s="24"/>
      <c r="D13" s="24"/>
      <c r="E13" s="24"/>
      <c r="F13" s="24"/>
      <c r="G13" s="25"/>
    </row>
    <row r="14" spans="1:7" ht="14.5" thickBot="1" x14ac:dyDescent="0.35">
      <c r="A14" s="26">
        <v>43325</v>
      </c>
      <c r="B14" s="27" t="s">
        <v>2</v>
      </c>
      <c r="C14" s="28"/>
      <c r="D14" s="28"/>
      <c r="E14" s="28"/>
      <c r="F14" s="28"/>
      <c r="G14" s="29"/>
    </row>
    <row r="15" spans="1:7" ht="14.5" thickBot="1" x14ac:dyDescent="0.35">
      <c r="A15" s="26">
        <v>43326</v>
      </c>
      <c r="B15" s="27" t="s">
        <v>55</v>
      </c>
      <c r="C15" s="28"/>
      <c r="D15" s="28"/>
      <c r="E15" s="28"/>
      <c r="F15" s="28"/>
      <c r="G15" s="29"/>
    </row>
    <row r="16" spans="1:7" ht="14.5" thickBot="1" x14ac:dyDescent="0.35">
      <c r="A16" s="26">
        <v>43327</v>
      </c>
      <c r="B16" s="27" t="s">
        <v>60</v>
      </c>
      <c r="C16" s="28"/>
      <c r="D16" s="28"/>
      <c r="E16" s="28"/>
      <c r="F16" s="28"/>
      <c r="G16" s="29"/>
    </row>
    <row r="17" spans="1:7" ht="14.5" thickBot="1" x14ac:dyDescent="0.35">
      <c r="A17" s="26">
        <v>43328</v>
      </c>
      <c r="B17" s="27" t="s">
        <v>59</v>
      </c>
      <c r="C17" s="28"/>
      <c r="D17" s="28"/>
      <c r="E17" s="28"/>
      <c r="F17" s="28"/>
      <c r="G17" s="29"/>
    </row>
    <row r="18" spans="1:7" ht="14.5" thickBot="1" x14ac:dyDescent="0.35">
      <c r="A18" s="26">
        <v>43329</v>
      </c>
      <c r="B18" s="27" t="s">
        <v>58</v>
      </c>
      <c r="C18" s="28"/>
      <c r="D18" s="28"/>
      <c r="E18" s="28"/>
      <c r="F18" s="28"/>
      <c r="G18" s="29"/>
    </row>
    <row r="19" spans="1:7" ht="14.5" thickBot="1" x14ac:dyDescent="0.35">
      <c r="A19" s="22">
        <v>43330</v>
      </c>
      <c r="B19" s="23" t="s">
        <v>57</v>
      </c>
      <c r="C19" s="24"/>
      <c r="D19" s="24"/>
      <c r="E19" s="24"/>
      <c r="F19" s="24"/>
      <c r="G19" s="25"/>
    </row>
    <row r="20" spans="1:7" ht="14.5" thickBot="1" x14ac:dyDescent="0.35">
      <c r="A20" s="22">
        <v>43331</v>
      </c>
      <c r="B20" s="23" t="s">
        <v>56</v>
      </c>
      <c r="C20" s="24" t="s">
        <v>154</v>
      </c>
      <c r="D20" s="24" t="s">
        <v>104</v>
      </c>
      <c r="E20" s="24"/>
      <c r="F20" s="24"/>
      <c r="G20" s="25"/>
    </row>
    <row r="21" spans="1:7" ht="14.5" thickBot="1" x14ac:dyDescent="0.35">
      <c r="A21" s="26">
        <v>43332</v>
      </c>
      <c r="B21" s="27" t="s">
        <v>2</v>
      </c>
      <c r="C21" s="28"/>
      <c r="D21" s="28"/>
      <c r="E21" s="28"/>
      <c r="F21" s="28"/>
      <c r="G21" s="29"/>
    </row>
    <row r="22" spans="1:7" ht="14.5" thickBot="1" x14ac:dyDescent="0.35">
      <c r="A22" s="26">
        <v>43333</v>
      </c>
      <c r="B22" s="27" t="s">
        <v>55</v>
      </c>
      <c r="C22" s="28"/>
      <c r="D22" s="28"/>
      <c r="E22" s="28"/>
      <c r="F22" s="28"/>
      <c r="G22" s="29"/>
    </row>
    <row r="23" spans="1:7" ht="14.5" thickBot="1" x14ac:dyDescent="0.35">
      <c r="A23" s="26">
        <v>43334</v>
      </c>
      <c r="B23" s="27" t="s">
        <v>60</v>
      </c>
      <c r="C23" s="28"/>
      <c r="D23" s="28"/>
      <c r="E23" s="28"/>
      <c r="F23" s="28"/>
      <c r="G23" s="29"/>
    </row>
    <row r="24" spans="1:7" ht="14.5" thickBot="1" x14ac:dyDescent="0.35">
      <c r="A24" s="26">
        <v>43335</v>
      </c>
      <c r="B24" s="27" t="s">
        <v>59</v>
      </c>
      <c r="C24" s="28"/>
      <c r="D24" s="28"/>
      <c r="E24" s="28"/>
      <c r="F24" s="28"/>
      <c r="G24" s="29"/>
    </row>
    <row r="25" spans="1:7" ht="14.5" thickBot="1" x14ac:dyDescent="0.35">
      <c r="A25" s="26">
        <v>43336</v>
      </c>
      <c r="B25" s="27" t="s">
        <v>58</v>
      </c>
      <c r="C25" s="28"/>
      <c r="D25" s="28"/>
      <c r="E25" s="28"/>
      <c r="F25" s="28"/>
      <c r="G25" s="29"/>
    </row>
    <row r="26" spans="1:7" ht="14.5" thickBot="1" x14ac:dyDescent="0.35">
      <c r="A26" s="22">
        <v>43337</v>
      </c>
      <c r="B26" s="23" t="s">
        <v>57</v>
      </c>
      <c r="C26" s="24"/>
      <c r="D26" s="24"/>
      <c r="E26" s="24"/>
      <c r="F26" s="24" t="s">
        <v>62</v>
      </c>
      <c r="G26" s="25"/>
    </row>
    <row r="27" spans="1:7" ht="14.5" thickBot="1" x14ac:dyDescent="0.35">
      <c r="A27" s="22">
        <v>43338</v>
      </c>
      <c r="B27" s="23" t="s">
        <v>56</v>
      </c>
      <c r="C27" s="24" t="s">
        <v>153</v>
      </c>
      <c r="D27" s="30" t="s">
        <v>106</v>
      </c>
      <c r="E27" s="24"/>
      <c r="F27" s="24" t="s">
        <v>62</v>
      </c>
      <c r="G27" s="25"/>
    </row>
    <row r="28" spans="1:7" ht="14.5" thickBot="1" x14ac:dyDescent="0.35">
      <c r="A28" s="26">
        <v>43339</v>
      </c>
      <c r="B28" s="27" t="s">
        <v>2</v>
      </c>
      <c r="C28" s="28"/>
      <c r="D28" s="28" t="s">
        <v>105</v>
      </c>
      <c r="E28" s="28"/>
      <c r="F28" s="28" t="s">
        <v>62</v>
      </c>
      <c r="G28" s="29"/>
    </row>
    <row r="29" spans="1:7" ht="14.5" thickBot="1" x14ac:dyDescent="0.35">
      <c r="A29" s="26">
        <v>43340</v>
      </c>
      <c r="B29" s="27" t="s">
        <v>55</v>
      </c>
      <c r="C29" s="28"/>
      <c r="D29" s="31">
        <v>6</v>
      </c>
      <c r="E29" s="28"/>
      <c r="F29" s="28" t="s">
        <v>62</v>
      </c>
      <c r="G29" s="29"/>
    </row>
    <row r="30" spans="1:7" ht="14.5" thickBot="1" x14ac:dyDescent="0.35">
      <c r="A30" s="26">
        <v>43341</v>
      </c>
      <c r="B30" s="27" t="s">
        <v>60</v>
      </c>
      <c r="C30" s="28" t="s">
        <v>123</v>
      </c>
      <c r="D30" s="28" t="s">
        <v>107</v>
      </c>
      <c r="E30" s="28"/>
      <c r="F30" s="28" t="s">
        <v>62</v>
      </c>
      <c r="G30" s="29"/>
    </row>
    <row r="31" spans="1:7" ht="14.5" thickBot="1" x14ac:dyDescent="0.35">
      <c r="A31" s="26">
        <v>43342</v>
      </c>
      <c r="B31" s="27" t="s">
        <v>59</v>
      </c>
      <c r="C31" s="28"/>
      <c r="D31" s="28"/>
      <c r="E31" s="28"/>
      <c r="F31" s="28"/>
      <c r="G31" s="29"/>
    </row>
    <row r="32" spans="1:7" ht="14.5" thickBot="1" x14ac:dyDescent="0.35">
      <c r="A32" s="26">
        <v>43343</v>
      </c>
      <c r="B32" s="27" t="s">
        <v>58</v>
      </c>
      <c r="C32" s="28"/>
      <c r="D32" s="28" t="s">
        <v>108</v>
      </c>
      <c r="E32" s="28"/>
      <c r="F32" s="28"/>
      <c r="G32" s="29"/>
    </row>
  </sheetData>
  <phoneticPr fontId="1" type="noConversion"/>
  <dataValidations count="1">
    <dataValidation type="list" allowBlank="1" showInputMessage="1" showErrorMessage="1" sqref="F2:F32" xr:uid="{00000000-0002-0000-08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327CC0"/>
  </sheetPr>
  <dimension ref="A1:G31"/>
  <sheetViews>
    <sheetView zoomScale="160" zoomScaleNormal="160" workbookViewId="0">
      <pane ySplit="1" topLeftCell="A9" activePane="bottomLeft" state="frozen"/>
      <selection activeCell="E13" sqref="E13"/>
      <selection pane="bottomLeft" activeCell="G25" sqref="G25"/>
    </sheetView>
  </sheetViews>
  <sheetFormatPr defaultRowHeight="14" x14ac:dyDescent="0.3"/>
  <cols>
    <col min="1" max="1" width="5.58203125" customWidth="1"/>
    <col min="2" max="2" width="5.33203125" customWidth="1"/>
    <col min="3" max="3" width="13.25" customWidth="1"/>
    <col min="4" max="4" width="42.08203125" customWidth="1"/>
    <col min="6" max="6" width="6.58203125" customWidth="1"/>
    <col min="7" max="7" width="13.58203125" customWidth="1"/>
  </cols>
  <sheetData>
    <row r="1" spans="1:7" ht="19.5" customHeight="1" thickBot="1" x14ac:dyDescent="0.35">
      <c r="A1" s="20" t="s">
        <v>128</v>
      </c>
      <c r="B1" s="21" t="s">
        <v>127</v>
      </c>
      <c r="C1" s="21" t="s">
        <v>126</v>
      </c>
      <c r="D1" s="21" t="s">
        <v>125</v>
      </c>
      <c r="E1" s="21" t="s">
        <v>74</v>
      </c>
      <c r="F1" s="21" t="s">
        <v>78</v>
      </c>
      <c r="G1" s="21" t="s">
        <v>122</v>
      </c>
    </row>
    <row r="2" spans="1:7" ht="15" thickTop="1" thickBot="1" x14ac:dyDescent="0.35">
      <c r="A2" s="37">
        <v>43344</v>
      </c>
      <c r="B2" s="23" t="s">
        <v>57</v>
      </c>
      <c r="C2" s="24"/>
      <c r="D2" s="24"/>
      <c r="E2" s="24"/>
      <c r="F2" s="24"/>
      <c r="G2" s="25"/>
    </row>
    <row r="3" spans="1:7" ht="14.5" thickBot="1" x14ac:dyDescent="0.35">
      <c r="A3" s="37">
        <v>43345</v>
      </c>
      <c r="B3" s="23" t="s">
        <v>56</v>
      </c>
      <c r="C3" s="24"/>
      <c r="D3" s="24"/>
      <c r="E3" s="24"/>
      <c r="F3" s="24"/>
      <c r="G3" s="25"/>
    </row>
    <row r="4" spans="1:7" ht="14.5" thickBot="1" x14ac:dyDescent="0.35">
      <c r="A4" s="36">
        <v>43346</v>
      </c>
      <c r="B4" s="27" t="s">
        <v>2</v>
      </c>
      <c r="C4" s="28"/>
      <c r="D4" s="28"/>
      <c r="E4" s="28"/>
      <c r="F4" s="28"/>
      <c r="G4" s="29"/>
    </row>
    <row r="5" spans="1:7" ht="14.5" thickBot="1" x14ac:dyDescent="0.35">
      <c r="A5" s="36">
        <v>43347</v>
      </c>
      <c r="B5" s="27" t="s">
        <v>55</v>
      </c>
      <c r="C5" s="28"/>
      <c r="D5" s="28"/>
      <c r="E5" s="28"/>
      <c r="F5" s="28"/>
      <c r="G5" s="29"/>
    </row>
    <row r="6" spans="1:7" ht="14.5" thickBot="1" x14ac:dyDescent="0.35">
      <c r="A6" s="36">
        <v>43348</v>
      </c>
      <c r="B6" s="27" t="s">
        <v>60</v>
      </c>
      <c r="C6" s="28"/>
      <c r="D6" s="28"/>
      <c r="E6" s="28"/>
      <c r="F6" s="28"/>
      <c r="G6" s="29"/>
    </row>
    <row r="7" spans="1:7" ht="14.5" thickBot="1" x14ac:dyDescent="0.35">
      <c r="A7" s="36">
        <v>43349</v>
      </c>
      <c r="B7" s="27" t="s">
        <v>59</v>
      </c>
      <c r="C7" s="28"/>
      <c r="D7" s="28"/>
      <c r="E7" s="28"/>
      <c r="F7" s="28"/>
      <c r="G7" s="29"/>
    </row>
    <row r="8" spans="1:7" ht="14.5" thickBot="1" x14ac:dyDescent="0.35">
      <c r="A8" s="36">
        <v>43350</v>
      </c>
      <c r="B8" s="27" t="s">
        <v>58</v>
      </c>
      <c r="C8" s="28"/>
      <c r="D8" s="28" t="s">
        <v>112</v>
      </c>
      <c r="E8" s="28"/>
      <c r="F8" s="28"/>
      <c r="G8" s="29"/>
    </row>
    <row r="9" spans="1:7" ht="14.5" thickBot="1" x14ac:dyDescent="0.35">
      <c r="A9" s="37">
        <v>43351</v>
      </c>
      <c r="B9" s="23" t="s">
        <v>57</v>
      </c>
      <c r="C9" s="24"/>
      <c r="D9" s="24"/>
      <c r="E9" s="24"/>
      <c r="F9" s="24"/>
      <c r="G9" s="25"/>
    </row>
    <row r="10" spans="1:7" ht="14.5" thickBot="1" x14ac:dyDescent="0.35">
      <c r="A10" s="37">
        <v>43352</v>
      </c>
      <c r="B10" s="23" t="s">
        <v>56</v>
      </c>
      <c r="C10" s="24"/>
      <c r="D10" s="24"/>
      <c r="E10" s="24"/>
      <c r="F10" s="24"/>
      <c r="G10" s="25"/>
    </row>
    <row r="11" spans="1:7" ht="14.5" thickBot="1" x14ac:dyDescent="0.35">
      <c r="A11" s="36">
        <v>43353</v>
      </c>
      <c r="B11" s="27" t="s">
        <v>2</v>
      </c>
      <c r="C11" s="28"/>
      <c r="D11" s="28" t="s">
        <v>124</v>
      </c>
      <c r="E11" s="28"/>
      <c r="F11" s="28"/>
      <c r="G11" s="29"/>
    </row>
    <row r="12" spans="1:7" ht="14.5" thickBot="1" x14ac:dyDescent="0.35">
      <c r="A12" s="36">
        <v>43354</v>
      </c>
      <c r="B12" s="27" t="s">
        <v>55</v>
      </c>
      <c r="C12" s="28"/>
      <c r="D12" s="28"/>
      <c r="E12" s="28"/>
      <c r="F12" s="28"/>
      <c r="G12" s="29"/>
    </row>
    <row r="13" spans="1:7" ht="14.5" thickBot="1" x14ac:dyDescent="0.35">
      <c r="A13" s="36">
        <v>43355</v>
      </c>
      <c r="B13" s="27" t="s">
        <v>60</v>
      </c>
      <c r="C13" s="28"/>
      <c r="D13" s="28"/>
      <c r="E13" s="28"/>
      <c r="F13" s="28"/>
      <c r="G13" s="29"/>
    </row>
    <row r="14" spans="1:7" ht="14.5" thickBot="1" x14ac:dyDescent="0.35">
      <c r="A14" s="36">
        <v>43356</v>
      </c>
      <c r="B14" s="27" t="s">
        <v>59</v>
      </c>
      <c r="C14" s="28" t="s">
        <v>118</v>
      </c>
      <c r="D14" s="28" t="s">
        <v>119</v>
      </c>
      <c r="E14" s="28"/>
      <c r="F14" s="28"/>
      <c r="G14" s="29"/>
    </row>
    <row r="15" spans="1:7" ht="14.5" thickBot="1" x14ac:dyDescent="0.35">
      <c r="A15" s="36">
        <v>43357</v>
      </c>
      <c r="B15" s="27" t="s">
        <v>58</v>
      </c>
      <c r="C15" s="28"/>
      <c r="D15" s="28"/>
      <c r="E15" s="28"/>
      <c r="F15" s="28"/>
      <c r="G15" s="29"/>
    </row>
    <row r="16" spans="1:7" ht="14.5" thickBot="1" x14ac:dyDescent="0.35">
      <c r="A16" s="37">
        <v>43358</v>
      </c>
      <c r="B16" s="23" t="s">
        <v>57</v>
      </c>
      <c r="C16" s="24"/>
      <c r="D16" s="24"/>
      <c r="E16" s="24"/>
      <c r="F16" s="24"/>
      <c r="G16" s="25"/>
    </row>
    <row r="17" spans="1:7" ht="14.5" thickBot="1" x14ac:dyDescent="0.35">
      <c r="A17" s="37">
        <v>43359</v>
      </c>
      <c r="B17" s="23" t="s">
        <v>56</v>
      </c>
      <c r="C17" s="24"/>
      <c r="D17" s="24"/>
      <c r="E17" s="24"/>
      <c r="F17" s="24"/>
      <c r="G17" s="25"/>
    </row>
    <row r="18" spans="1:7" ht="14.5" thickBot="1" x14ac:dyDescent="0.35">
      <c r="A18" s="36">
        <v>43360</v>
      </c>
      <c r="B18" s="27" t="s">
        <v>2</v>
      </c>
      <c r="C18" s="28"/>
      <c r="D18" s="28" t="s">
        <v>120</v>
      </c>
      <c r="E18" s="28"/>
      <c r="F18" s="28"/>
      <c r="G18" s="29"/>
    </row>
    <row r="19" spans="1:7" ht="14.5" thickBot="1" x14ac:dyDescent="0.35">
      <c r="A19" s="36">
        <v>43361</v>
      </c>
      <c r="B19" s="27" t="s">
        <v>55</v>
      </c>
      <c r="C19" s="28"/>
      <c r="D19" s="28" t="s">
        <v>121</v>
      </c>
      <c r="E19" s="28"/>
      <c r="F19" s="28" t="s">
        <v>62</v>
      </c>
      <c r="G19" s="29"/>
    </row>
    <row r="20" spans="1:7" ht="14.5" thickBot="1" x14ac:dyDescent="0.35">
      <c r="A20" s="36">
        <v>43362</v>
      </c>
      <c r="B20" s="27" t="s">
        <v>60</v>
      </c>
      <c r="C20" s="28" t="s">
        <v>117</v>
      </c>
      <c r="D20" s="28"/>
      <c r="E20" s="28"/>
      <c r="F20" s="28"/>
      <c r="G20" s="29"/>
    </row>
    <row r="21" spans="1:7" ht="14.5" thickBot="1" x14ac:dyDescent="0.35">
      <c r="A21" s="36">
        <v>43363</v>
      </c>
      <c r="B21" s="27" t="s">
        <v>59</v>
      </c>
      <c r="C21" s="28"/>
      <c r="D21" s="28" t="s">
        <v>152</v>
      </c>
      <c r="E21" s="28"/>
      <c r="F21" s="28"/>
      <c r="G21" s="29"/>
    </row>
    <row r="22" spans="1:7" ht="14.5" thickBot="1" x14ac:dyDescent="0.35">
      <c r="A22" s="36">
        <v>43364</v>
      </c>
      <c r="B22" s="27" t="s">
        <v>58</v>
      </c>
      <c r="C22" s="28"/>
      <c r="D22" s="28"/>
      <c r="E22" s="28"/>
      <c r="F22" s="28"/>
      <c r="G22" s="29"/>
    </row>
    <row r="23" spans="1:7" ht="14.5" thickBot="1" x14ac:dyDescent="0.35">
      <c r="A23" s="37">
        <v>43365</v>
      </c>
      <c r="B23" s="23" t="s">
        <v>57</v>
      </c>
      <c r="C23" s="24"/>
      <c r="D23" s="42" t="s">
        <v>145</v>
      </c>
      <c r="E23" s="24"/>
      <c r="F23" s="24"/>
      <c r="G23" s="25" t="s">
        <v>158</v>
      </c>
    </row>
    <row r="24" spans="1:7" ht="14.5" thickBot="1" x14ac:dyDescent="0.35">
      <c r="A24" s="37">
        <v>43366</v>
      </c>
      <c r="B24" s="23" t="s">
        <v>56</v>
      </c>
      <c r="C24" s="24"/>
      <c r="D24" s="42" t="s">
        <v>145</v>
      </c>
      <c r="E24" s="24"/>
      <c r="F24" s="24"/>
      <c r="G24" s="25"/>
    </row>
    <row r="25" spans="1:7" ht="14.5" thickBot="1" x14ac:dyDescent="0.35">
      <c r="A25" s="36">
        <v>43367</v>
      </c>
      <c r="B25" s="27" t="s">
        <v>2</v>
      </c>
      <c r="C25" s="28"/>
      <c r="D25" s="43" t="s">
        <v>145</v>
      </c>
      <c r="E25" s="28"/>
      <c r="F25" s="28"/>
      <c r="G25" s="29"/>
    </row>
    <row r="26" spans="1:7" ht="14.5" thickBot="1" x14ac:dyDescent="0.35">
      <c r="A26" s="36">
        <v>43368</v>
      </c>
      <c r="B26" s="27" t="s">
        <v>55</v>
      </c>
      <c r="C26" s="28"/>
      <c r="D26" s="28" t="s">
        <v>151</v>
      </c>
      <c r="E26" s="28"/>
      <c r="F26" s="28"/>
      <c r="G26" s="29"/>
    </row>
    <row r="27" spans="1:7" ht="14.5" thickBot="1" x14ac:dyDescent="0.35">
      <c r="A27" s="36">
        <v>43369</v>
      </c>
      <c r="B27" s="27" t="s">
        <v>60</v>
      </c>
      <c r="C27" s="28"/>
      <c r="D27" s="28"/>
      <c r="E27" s="28"/>
      <c r="F27" s="28"/>
      <c r="G27" s="29"/>
    </row>
    <row r="28" spans="1:7" ht="14.5" thickBot="1" x14ac:dyDescent="0.35">
      <c r="A28" s="36">
        <v>43370</v>
      </c>
      <c r="B28" s="27" t="s">
        <v>59</v>
      </c>
      <c r="C28" s="28"/>
      <c r="D28" s="28"/>
      <c r="E28" s="28"/>
      <c r="F28" s="28"/>
      <c r="G28" s="29"/>
    </row>
    <row r="29" spans="1:7" ht="14.5" thickBot="1" x14ac:dyDescent="0.35">
      <c r="A29" s="36">
        <v>43371</v>
      </c>
      <c r="B29" s="27" t="s">
        <v>58</v>
      </c>
      <c r="C29" s="28"/>
      <c r="D29" s="28"/>
      <c r="E29" s="28"/>
      <c r="F29" s="28" t="s">
        <v>62</v>
      </c>
      <c r="G29" s="29"/>
    </row>
    <row r="30" spans="1:7" ht="14.5" thickBot="1" x14ac:dyDescent="0.35">
      <c r="A30" s="37">
        <v>43372</v>
      </c>
      <c r="B30" s="23" t="s">
        <v>57</v>
      </c>
      <c r="C30" s="24"/>
      <c r="D30" s="24"/>
      <c r="E30" s="24"/>
      <c r="F30" s="24"/>
      <c r="G30" s="25"/>
    </row>
    <row r="31" spans="1:7" ht="14.5" thickBot="1" x14ac:dyDescent="0.35">
      <c r="A31" s="37">
        <v>43373</v>
      </c>
      <c r="B31" s="23" t="s">
        <v>56</v>
      </c>
      <c r="C31" s="24"/>
      <c r="D31" s="24" t="s">
        <v>144</v>
      </c>
      <c r="E31" s="24"/>
      <c r="F31" s="24" t="s">
        <v>160</v>
      </c>
      <c r="G31" s="25"/>
    </row>
  </sheetData>
  <phoneticPr fontId="1" type="noConversion"/>
  <dataValidations count="1">
    <dataValidation type="list" allowBlank="1" showInputMessage="1" showErrorMessage="1" sqref="F2:F31" xr:uid="{00000000-0002-0000-09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2C6EAA"/>
  </sheetPr>
  <dimension ref="A1:G32"/>
  <sheetViews>
    <sheetView zoomScale="160" zoomScaleNormal="160" workbookViewId="0">
      <pane ySplit="1" topLeftCell="A7" activePane="bottomLeft" state="frozen"/>
      <selection activeCell="E13" sqref="E13"/>
      <selection pane="bottomLeft" activeCell="D20" sqref="D20"/>
    </sheetView>
  </sheetViews>
  <sheetFormatPr defaultRowHeight="14" x14ac:dyDescent="0.3"/>
  <cols>
    <col min="1" max="1" width="5.58203125" customWidth="1"/>
    <col min="2" max="2" width="5.33203125" customWidth="1"/>
    <col min="3" max="3" width="13.25" customWidth="1"/>
    <col min="4" max="4" width="42.08203125" customWidth="1"/>
    <col min="6" max="6" width="6.58203125" customWidth="1"/>
    <col min="7" max="7" width="13.58203125" customWidth="1"/>
  </cols>
  <sheetData>
    <row r="1" spans="1:7" ht="19.5" customHeight="1" thickBot="1" x14ac:dyDescent="0.35">
      <c r="A1" s="20" t="s">
        <v>128</v>
      </c>
      <c r="B1" s="21" t="s">
        <v>127</v>
      </c>
      <c r="C1" s="21" t="s">
        <v>126</v>
      </c>
      <c r="D1" s="21" t="s">
        <v>125</v>
      </c>
      <c r="E1" s="21" t="s">
        <v>66</v>
      </c>
      <c r="F1" s="21" t="s">
        <v>78</v>
      </c>
      <c r="G1" s="21" t="s">
        <v>122</v>
      </c>
    </row>
    <row r="2" spans="1:7" ht="15" thickTop="1" thickBot="1" x14ac:dyDescent="0.35">
      <c r="A2" s="36">
        <v>43374</v>
      </c>
      <c r="B2" s="27">
        <v>1</v>
      </c>
      <c r="C2" s="28"/>
      <c r="D2" s="28"/>
      <c r="E2" s="28"/>
      <c r="F2" s="28"/>
      <c r="G2" s="29"/>
    </row>
    <row r="3" spans="1:7" ht="14.5" thickBot="1" x14ac:dyDescent="0.35">
      <c r="A3" s="36">
        <v>43375</v>
      </c>
      <c r="B3" s="27">
        <v>2</v>
      </c>
      <c r="C3" s="28"/>
      <c r="D3" s="28"/>
      <c r="E3" s="28"/>
      <c r="F3" s="28"/>
      <c r="G3" s="29" t="s">
        <v>146</v>
      </c>
    </row>
    <row r="4" spans="1:7" ht="14.5" thickBot="1" x14ac:dyDescent="0.35">
      <c r="A4" s="36">
        <v>43376</v>
      </c>
      <c r="B4" s="27">
        <v>3</v>
      </c>
      <c r="C4" s="28"/>
      <c r="D4" s="28"/>
      <c r="E4" s="28"/>
      <c r="F4" s="28"/>
      <c r="G4" s="29"/>
    </row>
    <row r="5" spans="1:7" ht="14.5" thickBot="1" x14ac:dyDescent="0.35">
      <c r="A5" s="36">
        <v>43377</v>
      </c>
      <c r="B5" s="27">
        <v>4</v>
      </c>
      <c r="C5" s="28"/>
      <c r="D5" s="28"/>
      <c r="E5" s="28"/>
      <c r="F5" s="28"/>
      <c r="G5" s="29" t="s">
        <v>163</v>
      </c>
    </row>
    <row r="6" spans="1:7" ht="14.5" thickBot="1" x14ac:dyDescent="0.35">
      <c r="A6" s="36">
        <v>43378</v>
      </c>
      <c r="B6" s="27">
        <v>5</v>
      </c>
      <c r="C6" s="28"/>
      <c r="D6" s="28"/>
      <c r="E6" s="28"/>
      <c r="F6" s="28"/>
      <c r="G6" s="29" t="s">
        <v>163</v>
      </c>
    </row>
    <row r="7" spans="1:7" ht="14.5" thickBot="1" x14ac:dyDescent="0.35">
      <c r="A7" s="37">
        <v>43379</v>
      </c>
      <c r="B7" s="23">
        <v>6</v>
      </c>
      <c r="C7" s="24"/>
      <c r="D7" s="24"/>
      <c r="E7" s="24"/>
      <c r="F7" s="24"/>
      <c r="G7" s="25" t="s">
        <v>164</v>
      </c>
    </row>
    <row r="8" spans="1:7" ht="14.5" thickBot="1" x14ac:dyDescent="0.35">
      <c r="A8" s="37">
        <v>43380</v>
      </c>
      <c r="B8" s="23">
        <v>7</v>
      </c>
      <c r="C8" s="24"/>
      <c r="D8" s="24"/>
      <c r="E8" s="24"/>
      <c r="F8" s="24"/>
      <c r="G8" s="25" t="s">
        <v>162</v>
      </c>
    </row>
    <row r="9" spans="1:7" ht="14.5" thickBot="1" x14ac:dyDescent="0.35">
      <c r="A9" s="36">
        <v>43381</v>
      </c>
      <c r="B9" s="27">
        <v>1</v>
      </c>
      <c r="C9" s="28" t="s">
        <v>161</v>
      </c>
      <c r="D9" s="28"/>
      <c r="E9" s="28"/>
      <c r="F9" s="28"/>
      <c r="G9" s="29"/>
    </row>
    <row r="10" spans="1:7" ht="14.5" thickBot="1" x14ac:dyDescent="0.35">
      <c r="A10" s="36">
        <v>43382</v>
      </c>
      <c r="B10" s="27">
        <v>2</v>
      </c>
      <c r="C10" s="28"/>
      <c r="D10" s="28" t="s">
        <v>182</v>
      </c>
      <c r="E10" s="28"/>
      <c r="F10" s="28" t="s">
        <v>166</v>
      </c>
      <c r="G10" s="29"/>
    </row>
    <row r="11" spans="1:7" ht="14.5" thickBot="1" x14ac:dyDescent="0.35">
      <c r="A11" s="36">
        <v>43383</v>
      </c>
      <c r="B11" s="27">
        <v>3</v>
      </c>
      <c r="C11" s="28" t="s">
        <v>183</v>
      </c>
      <c r="D11" s="28" t="s">
        <v>184</v>
      </c>
      <c r="E11" s="28"/>
      <c r="F11" s="28"/>
      <c r="G11" s="29" t="s">
        <v>165</v>
      </c>
    </row>
    <row r="12" spans="1:7" ht="14.5" thickBot="1" x14ac:dyDescent="0.35">
      <c r="A12" s="36">
        <v>43384</v>
      </c>
      <c r="B12" s="27">
        <v>4</v>
      </c>
      <c r="C12" s="28"/>
      <c r="D12" s="28"/>
      <c r="E12" s="28"/>
      <c r="F12" s="28"/>
      <c r="G12" s="29"/>
    </row>
    <row r="13" spans="1:7" ht="14.5" thickBot="1" x14ac:dyDescent="0.35">
      <c r="A13" s="36">
        <v>43385</v>
      </c>
      <c r="B13" s="27">
        <v>5</v>
      </c>
      <c r="C13" s="28"/>
      <c r="D13" s="28" t="s">
        <v>195</v>
      </c>
      <c r="E13" s="28"/>
      <c r="F13" s="28"/>
      <c r="G13" s="29"/>
    </row>
    <row r="14" spans="1:7" ht="14.5" thickBot="1" x14ac:dyDescent="0.35">
      <c r="A14" s="37">
        <v>43386</v>
      </c>
      <c r="B14" s="23">
        <v>6</v>
      </c>
      <c r="C14" s="24"/>
      <c r="D14" s="24" t="s">
        <v>198</v>
      </c>
      <c r="E14" s="24"/>
      <c r="F14" s="24" t="s">
        <v>166</v>
      </c>
      <c r="G14" s="25"/>
    </row>
    <row r="15" spans="1:7" ht="14.5" thickBot="1" x14ac:dyDescent="0.35">
      <c r="A15" s="37">
        <v>43387</v>
      </c>
      <c r="B15" s="23">
        <v>7</v>
      </c>
      <c r="C15" s="24"/>
      <c r="D15" s="24" t="s">
        <v>199</v>
      </c>
      <c r="E15" s="24"/>
      <c r="F15" s="24" t="s">
        <v>200</v>
      </c>
      <c r="G15" s="25"/>
    </row>
    <row r="16" spans="1:7" ht="14.5" thickBot="1" x14ac:dyDescent="0.35">
      <c r="A16" s="36">
        <v>43388</v>
      </c>
      <c r="B16" s="27">
        <v>1</v>
      </c>
      <c r="C16" s="28"/>
      <c r="D16" s="28"/>
      <c r="E16" s="28"/>
      <c r="F16" s="28"/>
      <c r="G16" s="29"/>
    </row>
    <row r="17" spans="1:7" ht="14.5" thickBot="1" x14ac:dyDescent="0.35">
      <c r="A17" s="36">
        <v>43389</v>
      </c>
      <c r="B17" s="27">
        <v>2</v>
      </c>
      <c r="C17" s="28"/>
      <c r="D17" s="28"/>
      <c r="E17" s="28"/>
      <c r="F17" s="28"/>
      <c r="G17" s="29" t="s">
        <v>115</v>
      </c>
    </row>
    <row r="18" spans="1:7" ht="14.5" thickBot="1" x14ac:dyDescent="0.35">
      <c r="A18" s="36">
        <v>43390</v>
      </c>
      <c r="B18" s="27">
        <v>3</v>
      </c>
      <c r="C18" s="28"/>
      <c r="D18" s="28"/>
      <c r="E18" s="28"/>
      <c r="F18" s="28"/>
      <c r="G18" s="29"/>
    </row>
    <row r="19" spans="1:7" ht="14.5" thickBot="1" x14ac:dyDescent="0.35">
      <c r="A19" s="36">
        <v>43391</v>
      </c>
      <c r="B19" s="27">
        <v>4</v>
      </c>
      <c r="C19" s="28"/>
      <c r="D19" s="28"/>
      <c r="E19" s="28"/>
      <c r="F19" s="28"/>
      <c r="G19" s="29"/>
    </row>
    <row r="20" spans="1:7" ht="14.5" thickBot="1" x14ac:dyDescent="0.35">
      <c r="A20" s="36">
        <v>43392</v>
      </c>
      <c r="B20" s="27">
        <v>5</v>
      </c>
      <c r="C20" s="28"/>
      <c r="D20" s="28"/>
      <c r="E20" s="28"/>
      <c r="F20" s="28"/>
      <c r="G20" s="29"/>
    </row>
    <row r="21" spans="1:7" ht="14.5" thickBot="1" x14ac:dyDescent="0.35">
      <c r="A21" s="37">
        <v>43393</v>
      </c>
      <c r="B21" s="23">
        <v>6</v>
      </c>
      <c r="C21" s="24"/>
      <c r="D21" s="24"/>
      <c r="E21" s="24"/>
      <c r="F21" s="24"/>
      <c r="G21" s="25"/>
    </row>
    <row r="22" spans="1:7" ht="14.5" thickBot="1" x14ac:dyDescent="0.35">
      <c r="A22" s="37">
        <v>43394</v>
      </c>
      <c r="B22" s="23">
        <v>7</v>
      </c>
      <c r="C22" s="24"/>
      <c r="D22" s="24"/>
      <c r="E22" s="24"/>
      <c r="F22" s="24"/>
      <c r="G22" s="25"/>
    </row>
    <row r="23" spans="1:7" ht="14.5" thickBot="1" x14ac:dyDescent="0.35">
      <c r="A23" s="36">
        <v>43395</v>
      </c>
      <c r="B23" s="27">
        <v>1</v>
      </c>
      <c r="C23" s="28"/>
      <c r="D23" s="28"/>
      <c r="E23" s="28"/>
      <c r="F23" s="28"/>
      <c r="G23" s="29"/>
    </row>
    <row r="24" spans="1:7" ht="14.5" thickBot="1" x14ac:dyDescent="0.35">
      <c r="A24" s="36">
        <v>43396</v>
      </c>
      <c r="B24" s="27">
        <v>2</v>
      </c>
      <c r="C24" s="28"/>
      <c r="D24" s="28"/>
      <c r="E24" s="28"/>
      <c r="F24" s="28"/>
      <c r="G24" s="29"/>
    </row>
    <row r="25" spans="1:7" ht="14.5" thickBot="1" x14ac:dyDescent="0.35">
      <c r="A25" s="36">
        <v>43397</v>
      </c>
      <c r="B25" s="27">
        <v>3</v>
      </c>
      <c r="C25" s="28"/>
      <c r="D25" s="28"/>
      <c r="E25" s="28"/>
      <c r="F25" s="28"/>
      <c r="G25" s="29"/>
    </row>
    <row r="26" spans="1:7" ht="14.5" thickBot="1" x14ac:dyDescent="0.35">
      <c r="A26" s="36">
        <v>43398</v>
      </c>
      <c r="B26" s="27">
        <v>4</v>
      </c>
      <c r="C26" s="28"/>
      <c r="D26" s="28"/>
      <c r="E26" s="28"/>
      <c r="F26" s="28"/>
      <c r="G26" s="29"/>
    </row>
    <row r="27" spans="1:7" ht="14.5" thickBot="1" x14ac:dyDescent="0.35">
      <c r="A27" s="36">
        <v>43399</v>
      </c>
      <c r="B27" s="27">
        <v>5</v>
      </c>
      <c r="C27" s="28"/>
      <c r="D27" s="28"/>
      <c r="E27" s="28"/>
      <c r="F27" s="28"/>
      <c r="G27" s="29"/>
    </row>
    <row r="28" spans="1:7" ht="14.5" thickBot="1" x14ac:dyDescent="0.35">
      <c r="A28" s="37">
        <v>43400</v>
      </c>
      <c r="B28" s="23">
        <v>6</v>
      </c>
      <c r="C28" s="24"/>
      <c r="D28" s="24"/>
      <c r="E28" s="24"/>
      <c r="F28" s="24"/>
      <c r="G28" s="25"/>
    </row>
    <row r="29" spans="1:7" ht="14.5" thickBot="1" x14ac:dyDescent="0.35">
      <c r="A29" s="37">
        <v>43401</v>
      </c>
      <c r="B29" s="23">
        <v>7</v>
      </c>
      <c r="C29" s="24"/>
      <c r="D29" s="24"/>
      <c r="E29" s="24"/>
      <c r="F29" s="24"/>
      <c r="G29" s="25"/>
    </row>
    <row r="30" spans="1:7" ht="14.5" thickBot="1" x14ac:dyDescent="0.35">
      <c r="A30" s="36">
        <v>43402</v>
      </c>
      <c r="B30" s="27">
        <v>1</v>
      </c>
      <c r="C30" s="28"/>
      <c r="D30" s="28"/>
      <c r="E30" s="28"/>
      <c r="F30" s="28"/>
      <c r="G30" s="29"/>
    </row>
    <row r="31" spans="1:7" ht="14.5" thickBot="1" x14ac:dyDescent="0.35">
      <c r="A31" s="36">
        <v>43403</v>
      </c>
      <c r="B31" s="27">
        <v>2</v>
      </c>
      <c r="C31" s="28"/>
      <c r="D31" s="28"/>
      <c r="E31" s="28"/>
      <c r="F31" s="28"/>
      <c r="G31" s="29"/>
    </row>
    <row r="32" spans="1:7" ht="14.5" thickBot="1" x14ac:dyDescent="0.35">
      <c r="A32" s="36">
        <v>43404</v>
      </c>
      <c r="B32" s="27">
        <v>3</v>
      </c>
      <c r="C32" s="28"/>
      <c r="D32" s="28"/>
      <c r="E32" s="28"/>
      <c r="F32" s="28"/>
      <c r="G32" s="29"/>
    </row>
  </sheetData>
  <phoneticPr fontId="1" type="noConversion"/>
  <dataValidations count="2">
    <dataValidation type="list" allowBlank="1" showInputMessage="1" showErrorMessage="1" sqref="F3:F32" xr:uid="{00000000-0002-0000-0A00-000000000000}">
      <formula1>"Done,TBC,UFN"</formula1>
    </dataValidation>
    <dataValidation type="list" allowBlank="1" showInputMessage="1" showErrorMessage="1" sqref="F2" xr:uid="{491CD18E-2BF3-4D16-B251-640F443974DC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2A69A2"/>
  </sheetPr>
  <dimension ref="A1:G31"/>
  <sheetViews>
    <sheetView zoomScale="160" zoomScaleNormal="160" workbookViewId="0">
      <pane ySplit="1" topLeftCell="A2" activePane="bottomLeft" state="frozen"/>
      <selection activeCell="E13" sqref="E13"/>
      <selection pane="bottomLeft" activeCell="D16" sqref="D16"/>
    </sheetView>
  </sheetViews>
  <sheetFormatPr defaultRowHeight="14" x14ac:dyDescent="0.3"/>
  <cols>
    <col min="1" max="1" width="5.58203125" customWidth="1"/>
    <col min="2" max="2" width="5.33203125" customWidth="1"/>
    <col min="3" max="3" width="13.25" customWidth="1"/>
    <col min="4" max="4" width="42.08203125" customWidth="1"/>
    <col min="6" max="6" width="6.58203125" customWidth="1"/>
    <col min="7" max="7" width="13.58203125" customWidth="1"/>
  </cols>
  <sheetData>
    <row r="1" spans="1:7" ht="19.5" customHeight="1" thickBot="1" x14ac:dyDescent="0.35">
      <c r="A1" s="20" t="s">
        <v>128</v>
      </c>
      <c r="B1" s="21" t="s">
        <v>127</v>
      </c>
      <c r="C1" s="21" t="s">
        <v>126</v>
      </c>
      <c r="D1" s="21" t="s">
        <v>125</v>
      </c>
      <c r="E1" s="21" t="s">
        <v>66</v>
      </c>
      <c r="F1" s="21" t="s">
        <v>78</v>
      </c>
      <c r="G1" s="21" t="s">
        <v>122</v>
      </c>
    </row>
    <row r="2" spans="1:7" ht="15" thickTop="1" thickBot="1" x14ac:dyDescent="0.35">
      <c r="A2" s="36">
        <v>43405</v>
      </c>
      <c r="B2" s="27" t="s">
        <v>59</v>
      </c>
      <c r="C2" s="28"/>
      <c r="D2" s="28"/>
      <c r="E2" s="28"/>
      <c r="F2" s="28"/>
      <c r="G2" s="29"/>
    </row>
    <row r="3" spans="1:7" ht="14.5" thickBot="1" x14ac:dyDescent="0.35">
      <c r="A3" s="36">
        <v>43406</v>
      </c>
      <c r="B3" s="27" t="s">
        <v>58</v>
      </c>
      <c r="C3" s="28"/>
      <c r="D3" s="28"/>
      <c r="E3" s="28"/>
      <c r="F3" s="28"/>
      <c r="G3" s="29"/>
    </row>
    <row r="4" spans="1:7" ht="14.5" thickBot="1" x14ac:dyDescent="0.35">
      <c r="A4" s="37">
        <v>43407</v>
      </c>
      <c r="B4" s="23" t="s">
        <v>57</v>
      </c>
      <c r="C4" s="24"/>
      <c r="D4" s="24"/>
      <c r="E4" s="24"/>
      <c r="F4" s="24"/>
      <c r="G4" s="25"/>
    </row>
    <row r="5" spans="1:7" ht="14.5" thickBot="1" x14ac:dyDescent="0.35">
      <c r="A5" s="37">
        <v>43408</v>
      </c>
      <c r="B5" s="23" t="s">
        <v>56</v>
      </c>
      <c r="C5" s="24"/>
      <c r="D5" s="24"/>
      <c r="E5" s="24"/>
      <c r="F5" s="24"/>
      <c r="G5" s="25"/>
    </row>
    <row r="6" spans="1:7" ht="14.5" thickBot="1" x14ac:dyDescent="0.35">
      <c r="A6" s="36">
        <v>43409</v>
      </c>
      <c r="B6" s="27" t="s">
        <v>2</v>
      </c>
      <c r="C6" s="28"/>
      <c r="D6" s="28"/>
      <c r="E6" s="28"/>
      <c r="F6" s="28"/>
      <c r="G6" s="29"/>
    </row>
    <row r="7" spans="1:7" ht="14.5" thickBot="1" x14ac:dyDescent="0.35">
      <c r="A7" s="36">
        <v>43410</v>
      </c>
      <c r="B7" s="27" t="s">
        <v>55</v>
      </c>
      <c r="C7" s="28"/>
      <c r="D7" s="28"/>
      <c r="E7" s="28"/>
      <c r="F7" s="28"/>
      <c r="G7" s="29"/>
    </row>
    <row r="8" spans="1:7" ht="14.5" thickBot="1" x14ac:dyDescent="0.35">
      <c r="A8" s="36">
        <v>43411</v>
      </c>
      <c r="B8" s="27" t="s">
        <v>60</v>
      </c>
      <c r="C8" s="28"/>
      <c r="D8" s="28"/>
      <c r="E8" s="28"/>
      <c r="F8" s="28"/>
      <c r="G8" s="29"/>
    </row>
    <row r="9" spans="1:7" ht="14.5" thickBot="1" x14ac:dyDescent="0.35">
      <c r="A9" s="36">
        <v>43412</v>
      </c>
      <c r="B9" s="27" t="s">
        <v>59</v>
      </c>
      <c r="C9" s="28"/>
      <c r="D9" s="28"/>
      <c r="E9" s="28"/>
      <c r="F9" s="28"/>
      <c r="G9" s="29"/>
    </row>
    <row r="10" spans="1:7" ht="14.5" thickBot="1" x14ac:dyDescent="0.35">
      <c r="A10" s="36">
        <v>43413</v>
      </c>
      <c r="B10" s="27" t="s">
        <v>58</v>
      </c>
      <c r="C10" s="28"/>
      <c r="D10" s="28"/>
      <c r="E10" s="28"/>
      <c r="F10" s="28"/>
      <c r="G10" s="29"/>
    </row>
    <row r="11" spans="1:7" ht="14.5" thickBot="1" x14ac:dyDescent="0.35">
      <c r="A11" s="37">
        <v>43414</v>
      </c>
      <c r="B11" s="23" t="s">
        <v>57</v>
      </c>
      <c r="C11" s="24"/>
      <c r="D11" s="24"/>
      <c r="E11" s="24"/>
      <c r="F11" s="24"/>
      <c r="G11" s="25"/>
    </row>
    <row r="12" spans="1:7" ht="14.5" thickBot="1" x14ac:dyDescent="0.35">
      <c r="A12" s="37">
        <v>43415</v>
      </c>
      <c r="B12" s="23" t="s">
        <v>56</v>
      </c>
      <c r="C12" s="24"/>
      <c r="D12" s="24"/>
      <c r="E12" s="24"/>
      <c r="F12" s="24"/>
      <c r="G12" s="25"/>
    </row>
    <row r="13" spans="1:7" ht="14.5" thickBot="1" x14ac:dyDescent="0.35">
      <c r="A13" s="36">
        <v>43416</v>
      </c>
      <c r="B13" s="27" t="s">
        <v>2</v>
      </c>
      <c r="C13" s="28"/>
      <c r="D13" s="28"/>
      <c r="E13" s="28"/>
      <c r="F13" s="28"/>
      <c r="G13" s="29"/>
    </row>
    <row r="14" spans="1:7" ht="14.5" thickBot="1" x14ac:dyDescent="0.35">
      <c r="A14" s="36">
        <v>43417</v>
      </c>
      <c r="B14" s="27" t="s">
        <v>55</v>
      </c>
      <c r="C14" s="28"/>
      <c r="D14" s="28"/>
      <c r="E14" s="28"/>
      <c r="F14" s="28"/>
      <c r="G14" s="29"/>
    </row>
    <row r="15" spans="1:7" ht="14.5" thickBot="1" x14ac:dyDescent="0.35">
      <c r="A15" s="36">
        <v>43418</v>
      </c>
      <c r="B15" s="27" t="s">
        <v>88</v>
      </c>
      <c r="C15" s="28"/>
      <c r="D15" s="28"/>
      <c r="E15" s="28"/>
      <c r="F15" s="28"/>
      <c r="G15" s="29"/>
    </row>
    <row r="16" spans="1:7" ht="14.5" thickBot="1" x14ac:dyDescent="0.35">
      <c r="A16" s="36">
        <v>43419</v>
      </c>
      <c r="B16" s="27" t="s">
        <v>59</v>
      </c>
      <c r="C16" s="28"/>
      <c r="D16" s="28"/>
      <c r="E16" s="28"/>
      <c r="F16" s="28"/>
      <c r="G16" s="29"/>
    </row>
    <row r="17" spans="1:7" ht="14.5" thickBot="1" x14ac:dyDescent="0.35">
      <c r="A17" s="36">
        <v>43420</v>
      </c>
      <c r="B17" s="27" t="s">
        <v>58</v>
      </c>
      <c r="C17" s="28"/>
      <c r="D17" s="28"/>
      <c r="E17" s="28"/>
      <c r="F17" s="28"/>
      <c r="G17" s="29"/>
    </row>
    <row r="18" spans="1:7" ht="14.5" thickBot="1" x14ac:dyDescent="0.35">
      <c r="A18" s="37">
        <v>43421</v>
      </c>
      <c r="B18" s="23" t="s">
        <v>57</v>
      </c>
      <c r="C18" s="24"/>
      <c r="D18" s="24"/>
      <c r="E18" s="24"/>
      <c r="F18" s="24"/>
      <c r="G18" s="25"/>
    </row>
    <row r="19" spans="1:7" ht="14.5" thickBot="1" x14ac:dyDescent="0.35">
      <c r="A19" s="37">
        <v>43422</v>
      </c>
      <c r="B19" s="23" t="s">
        <v>56</v>
      </c>
      <c r="C19" s="24"/>
      <c r="D19" s="24"/>
      <c r="E19" s="24"/>
      <c r="F19" s="24"/>
      <c r="G19" s="25"/>
    </row>
    <row r="20" spans="1:7" ht="14.5" thickBot="1" x14ac:dyDescent="0.35">
      <c r="A20" s="36">
        <v>43423</v>
      </c>
      <c r="B20" s="27" t="s">
        <v>2</v>
      </c>
      <c r="C20" s="28"/>
      <c r="D20" s="28"/>
      <c r="E20" s="28"/>
      <c r="F20" s="28"/>
      <c r="G20" s="29"/>
    </row>
    <row r="21" spans="1:7" ht="14.5" thickBot="1" x14ac:dyDescent="0.35">
      <c r="A21" s="36">
        <v>43424</v>
      </c>
      <c r="B21" s="27" t="s">
        <v>55</v>
      </c>
      <c r="C21" s="28"/>
      <c r="D21" s="28"/>
      <c r="E21" s="28"/>
      <c r="F21" s="28"/>
      <c r="G21" s="29"/>
    </row>
    <row r="22" spans="1:7" ht="14.5" thickBot="1" x14ac:dyDescent="0.35">
      <c r="A22" s="36">
        <v>43425</v>
      </c>
      <c r="B22" s="27" t="s">
        <v>60</v>
      </c>
      <c r="C22" s="28"/>
      <c r="D22" s="28"/>
      <c r="E22" s="28"/>
      <c r="F22" s="28"/>
      <c r="G22" s="29"/>
    </row>
    <row r="23" spans="1:7" ht="14.5" thickBot="1" x14ac:dyDescent="0.35">
      <c r="A23" s="36">
        <v>43426</v>
      </c>
      <c r="B23" s="27" t="s">
        <v>59</v>
      </c>
      <c r="C23" s="28"/>
      <c r="D23" s="28"/>
      <c r="E23" s="28"/>
      <c r="F23" s="28"/>
      <c r="G23" s="29"/>
    </row>
    <row r="24" spans="1:7" ht="14.5" thickBot="1" x14ac:dyDescent="0.35">
      <c r="A24" s="36">
        <v>43427</v>
      </c>
      <c r="B24" s="27" t="s">
        <v>58</v>
      </c>
      <c r="C24" s="28"/>
      <c r="D24" s="28"/>
      <c r="E24" s="28"/>
      <c r="F24" s="28"/>
      <c r="G24" s="29"/>
    </row>
    <row r="25" spans="1:7" ht="14.5" thickBot="1" x14ac:dyDescent="0.35">
      <c r="A25" s="37">
        <v>43428</v>
      </c>
      <c r="B25" s="23" t="s">
        <v>57</v>
      </c>
      <c r="C25" s="24"/>
      <c r="D25" s="24"/>
      <c r="E25" s="24"/>
      <c r="F25" s="24"/>
      <c r="G25" s="25"/>
    </row>
    <row r="26" spans="1:7" ht="14.5" thickBot="1" x14ac:dyDescent="0.35">
      <c r="A26" s="37">
        <v>43429</v>
      </c>
      <c r="B26" s="23" t="s">
        <v>56</v>
      </c>
      <c r="C26" s="24"/>
      <c r="D26" s="24"/>
      <c r="E26" s="24"/>
      <c r="F26" s="24"/>
      <c r="G26" s="25"/>
    </row>
    <row r="27" spans="1:7" ht="14.5" thickBot="1" x14ac:dyDescent="0.35">
      <c r="A27" s="36">
        <v>43430</v>
      </c>
      <c r="B27" s="27" t="s">
        <v>2</v>
      </c>
      <c r="C27" s="28"/>
      <c r="D27" s="28"/>
      <c r="E27" s="28"/>
      <c r="F27" s="28"/>
      <c r="G27" s="29"/>
    </row>
    <row r="28" spans="1:7" ht="14.5" thickBot="1" x14ac:dyDescent="0.35">
      <c r="A28" s="36">
        <v>43431</v>
      </c>
      <c r="B28" s="27" t="s">
        <v>55</v>
      </c>
      <c r="C28" s="28"/>
      <c r="D28" s="28"/>
      <c r="E28" s="28"/>
      <c r="F28" s="28"/>
      <c r="G28" s="29"/>
    </row>
    <row r="29" spans="1:7" ht="14.5" thickBot="1" x14ac:dyDescent="0.35">
      <c r="A29" s="36">
        <v>43432</v>
      </c>
      <c r="B29" s="27" t="s">
        <v>60</v>
      </c>
      <c r="C29" s="28"/>
      <c r="D29" s="28"/>
      <c r="E29" s="28"/>
      <c r="F29" s="28"/>
      <c r="G29" s="29"/>
    </row>
    <row r="30" spans="1:7" ht="14.5" thickBot="1" x14ac:dyDescent="0.35">
      <c r="A30" s="36">
        <v>43433</v>
      </c>
      <c r="B30" s="27" t="s">
        <v>59</v>
      </c>
      <c r="C30" s="28"/>
      <c r="D30" s="28"/>
      <c r="E30" s="28"/>
      <c r="F30" s="28"/>
      <c r="G30" s="29"/>
    </row>
    <row r="31" spans="1:7" ht="14.5" thickBot="1" x14ac:dyDescent="0.35">
      <c r="A31" s="36">
        <v>43434</v>
      </c>
      <c r="B31" s="27" t="s">
        <v>58</v>
      </c>
      <c r="C31" s="28"/>
      <c r="D31" s="28"/>
      <c r="E31" s="28"/>
      <c r="F31" s="28"/>
      <c r="G31" s="29"/>
    </row>
  </sheetData>
  <phoneticPr fontId="1" type="noConversion"/>
  <dataValidations count="1">
    <dataValidation type="list" allowBlank="1" showInputMessage="1" showErrorMessage="1" sqref="F2:F31" xr:uid="{00000000-0002-0000-0B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-0.499984740745262"/>
  </sheetPr>
  <dimension ref="A1:G32"/>
  <sheetViews>
    <sheetView zoomScale="160" zoomScaleNormal="160" workbookViewId="0">
      <pane ySplit="1" topLeftCell="A5" activePane="bottomLeft" state="frozen"/>
      <selection activeCell="E13" sqref="E13"/>
      <selection pane="bottomLeft" activeCell="A5" sqref="A5:XFD5"/>
    </sheetView>
  </sheetViews>
  <sheetFormatPr defaultRowHeight="14" x14ac:dyDescent="0.3"/>
  <cols>
    <col min="1" max="1" width="5.58203125" customWidth="1"/>
    <col min="2" max="2" width="5.33203125" customWidth="1"/>
    <col min="3" max="3" width="13.25" customWidth="1"/>
    <col min="4" max="4" width="42.08203125" customWidth="1"/>
    <col min="6" max="6" width="6.58203125" customWidth="1"/>
    <col min="7" max="7" width="13.58203125" customWidth="1"/>
  </cols>
  <sheetData>
    <row r="1" spans="1:7" ht="19.5" customHeight="1" thickBot="1" x14ac:dyDescent="0.35">
      <c r="A1" s="20" t="s">
        <v>128</v>
      </c>
      <c r="B1" s="21" t="s">
        <v>127</v>
      </c>
      <c r="C1" s="21" t="s">
        <v>126</v>
      </c>
      <c r="D1" s="21" t="s">
        <v>125</v>
      </c>
      <c r="E1" s="21" t="s">
        <v>66</v>
      </c>
      <c r="F1" s="21" t="s">
        <v>78</v>
      </c>
      <c r="G1" s="21" t="s">
        <v>122</v>
      </c>
    </row>
    <row r="2" spans="1:7" ht="15" thickTop="1" thickBot="1" x14ac:dyDescent="0.35">
      <c r="A2" s="37">
        <v>43435</v>
      </c>
      <c r="B2" s="23" t="s">
        <v>57</v>
      </c>
      <c r="C2" s="24"/>
      <c r="D2" s="24"/>
      <c r="E2" s="24"/>
      <c r="F2" s="24"/>
      <c r="G2" s="25"/>
    </row>
    <row r="3" spans="1:7" ht="14.5" thickBot="1" x14ac:dyDescent="0.35">
      <c r="A3" s="37">
        <v>43436</v>
      </c>
      <c r="B3" s="23" t="s">
        <v>56</v>
      </c>
      <c r="C3" s="24"/>
      <c r="D3" s="24"/>
      <c r="E3" s="24"/>
      <c r="F3" s="24"/>
      <c r="G3" s="25"/>
    </row>
    <row r="4" spans="1:7" ht="14.5" thickBot="1" x14ac:dyDescent="0.35">
      <c r="A4" s="36">
        <v>43437</v>
      </c>
      <c r="B4" s="27" t="s">
        <v>2</v>
      </c>
      <c r="C4" s="28"/>
      <c r="D4" s="28"/>
      <c r="E4" s="28"/>
      <c r="F4" s="28"/>
      <c r="G4" s="29"/>
    </row>
    <row r="5" spans="1:7" ht="14.5" thickBot="1" x14ac:dyDescent="0.35">
      <c r="A5" s="36">
        <v>43438</v>
      </c>
      <c r="B5" s="27" t="s">
        <v>55</v>
      </c>
      <c r="C5" s="28"/>
      <c r="D5" s="28"/>
      <c r="E5" s="28"/>
      <c r="F5" s="28"/>
      <c r="G5" s="29"/>
    </row>
    <row r="6" spans="1:7" ht="14.5" thickBot="1" x14ac:dyDescent="0.35">
      <c r="A6" s="36">
        <v>43439</v>
      </c>
      <c r="B6" s="27" t="s">
        <v>60</v>
      </c>
      <c r="C6" s="28"/>
      <c r="D6" s="28"/>
      <c r="E6" s="28"/>
      <c r="F6" s="28"/>
      <c r="G6" s="29" t="s">
        <v>130</v>
      </c>
    </row>
    <row r="7" spans="1:7" ht="14.5" thickBot="1" x14ac:dyDescent="0.35">
      <c r="A7" s="36">
        <v>43440</v>
      </c>
      <c r="B7" s="27" t="s">
        <v>59</v>
      </c>
      <c r="C7" s="28"/>
      <c r="D7" s="28"/>
      <c r="E7" s="28"/>
      <c r="F7" s="28"/>
      <c r="G7" s="29"/>
    </row>
    <row r="8" spans="1:7" ht="14.5" thickBot="1" x14ac:dyDescent="0.35">
      <c r="A8" s="36">
        <v>43441</v>
      </c>
      <c r="B8" s="27" t="s">
        <v>58</v>
      </c>
      <c r="C8" s="28"/>
      <c r="D8" s="28"/>
      <c r="E8" s="28"/>
      <c r="F8" s="28"/>
      <c r="G8" s="29"/>
    </row>
    <row r="9" spans="1:7" ht="14.5" thickBot="1" x14ac:dyDescent="0.35">
      <c r="A9" s="37">
        <v>43442</v>
      </c>
      <c r="B9" s="23" t="s">
        <v>57</v>
      </c>
      <c r="C9" s="24"/>
      <c r="D9" s="24"/>
      <c r="E9" s="24"/>
      <c r="F9" s="24"/>
      <c r="G9" s="25"/>
    </row>
    <row r="10" spans="1:7" ht="14.5" thickBot="1" x14ac:dyDescent="0.35">
      <c r="A10" s="37">
        <v>43443</v>
      </c>
      <c r="B10" s="23" t="s">
        <v>56</v>
      </c>
      <c r="C10" s="24"/>
      <c r="D10" s="24"/>
      <c r="E10" s="24"/>
      <c r="F10" s="24"/>
      <c r="G10" s="25"/>
    </row>
    <row r="11" spans="1:7" ht="14.5" thickBot="1" x14ac:dyDescent="0.35">
      <c r="A11" s="36">
        <v>43444</v>
      </c>
      <c r="B11" s="27" t="s">
        <v>2</v>
      </c>
      <c r="C11" s="28"/>
      <c r="D11" s="28"/>
      <c r="E11" s="28"/>
      <c r="F11" s="28"/>
      <c r="G11" s="29"/>
    </row>
    <row r="12" spans="1:7" ht="14.5" thickBot="1" x14ac:dyDescent="0.35">
      <c r="A12" s="36">
        <v>43445</v>
      </c>
      <c r="B12" s="27" t="s">
        <v>55</v>
      </c>
      <c r="C12" s="28"/>
      <c r="D12" s="28"/>
      <c r="E12" s="28"/>
      <c r="F12" s="28"/>
      <c r="G12" s="29"/>
    </row>
    <row r="13" spans="1:7" ht="14.5" thickBot="1" x14ac:dyDescent="0.35">
      <c r="A13" s="36">
        <v>43446</v>
      </c>
      <c r="B13" s="27" t="s">
        <v>60</v>
      </c>
      <c r="C13" s="28"/>
      <c r="D13" s="28"/>
      <c r="E13" s="28"/>
      <c r="F13" s="28"/>
      <c r="G13" s="29"/>
    </row>
    <row r="14" spans="1:7" ht="14.5" thickBot="1" x14ac:dyDescent="0.35">
      <c r="A14" s="36">
        <v>43447</v>
      </c>
      <c r="B14" s="27" t="s">
        <v>59</v>
      </c>
      <c r="C14" s="28"/>
      <c r="D14" s="28"/>
      <c r="E14" s="28"/>
      <c r="F14" s="28"/>
      <c r="G14" s="29"/>
    </row>
    <row r="15" spans="1:7" ht="14.5" thickBot="1" x14ac:dyDescent="0.35">
      <c r="A15" s="36">
        <v>43448</v>
      </c>
      <c r="B15" s="27" t="s">
        <v>88</v>
      </c>
      <c r="C15" s="28"/>
      <c r="D15" s="28"/>
      <c r="E15" s="28"/>
      <c r="F15" s="28"/>
      <c r="G15" s="29"/>
    </row>
    <row r="16" spans="1:7" ht="14.5" thickBot="1" x14ac:dyDescent="0.35">
      <c r="A16" s="37">
        <v>43449</v>
      </c>
      <c r="B16" s="23" t="s">
        <v>57</v>
      </c>
      <c r="C16" s="24"/>
      <c r="D16" s="24"/>
      <c r="E16" s="24"/>
      <c r="F16" s="24"/>
      <c r="G16" s="25"/>
    </row>
    <row r="17" spans="1:7" ht="14.5" thickBot="1" x14ac:dyDescent="0.35">
      <c r="A17" s="37">
        <v>43450</v>
      </c>
      <c r="B17" s="23" t="s">
        <v>56</v>
      </c>
      <c r="C17" s="24"/>
      <c r="D17" s="24"/>
      <c r="E17" s="24"/>
      <c r="F17" s="24"/>
      <c r="G17" s="25"/>
    </row>
    <row r="18" spans="1:7" ht="14.5" thickBot="1" x14ac:dyDescent="0.35">
      <c r="A18" s="36">
        <v>43451</v>
      </c>
      <c r="B18" s="27" t="s">
        <v>2</v>
      </c>
      <c r="C18" s="28"/>
      <c r="D18" s="28"/>
      <c r="E18" s="28"/>
      <c r="F18" s="28"/>
      <c r="G18" s="29"/>
    </row>
    <row r="19" spans="1:7" ht="14.5" thickBot="1" x14ac:dyDescent="0.35">
      <c r="A19" s="36">
        <v>43452</v>
      </c>
      <c r="B19" s="27" t="s">
        <v>55</v>
      </c>
      <c r="C19" s="28"/>
      <c r="D19" s="28"/>
      <c r="E19" s="28"/>
      <c r="F19" s="28"/>
      <c r="G19" s="29"/>
    </row>
    <row r="20" spans="1:7" ht="14.5" thickBot="1" x14ac:dyDescent="0.35">
      <c r="A20" s="36">
        <v>43453</v>
      </c>
      <c r="B20" s="27" t="s">
        <v>60</v>
      </c>
      <c r="C20" s="28"/>
      <c r="D20" s="28"/>
      <c r="E20" s="28"/>
      <c r="F20" s="28"/>
      <c r="G20" s="29"/>
    </row>
    <row r="21" spans="1:7" ht="14.5" thickBot="1" x14ac:dyDescent="0.35">
      <c r="A21" s="36">
        <v>43454</v>
      </c>
      <c r="B21" s="27" t="s">
        <v>59</v>
      </c>
      <c r="C21" s="28"/>
      <c r="D21" s="28"/>
      <c r="E21" s="28"/>
      <c r="F21" s="28"/>
      <c r="G21" s="29"/>
    </row>
    <row r="22" spans="1:7" ht="14.5" thickBot="1" x14ac:dyDescent="0.35">
      <c r="A22" s="36">
        <v>43455</v>
      </c>
      <c r="B22" s="27" t="s">
        <v>58</v>
      </c>
      <c r="C22" s="28"/>
      <c r="D22" s="28"/>
      <c r="E22" s="28"/>
      <c r="F22" s="28"/>
      <c r="G22" s="29"/>
    </row>
    <row r="23" spans="1:7" ht="14.5" thickBot="1" x14ac:dyDescent="0.35">
      <c r="A23" s="37">
        <v>43456</v>
      </c>
      <c r="B23" s="23" t="s">
        <v>57</v>
      </c>
      <c r="C23" s="24"/>
      <c r="D23" s="24"/>
      <c r="E23" s="24"/>
      <c r="F23" s="24"/>
      <c r="G23" s="25"/>
    </row>
    <row r="24" spans="1:7" ht="14.5" thickBot="1" x14ac:dyDescent="0.35">
      <c r="A24" s="37">
        <v>43457</v>
      </c>
      <c r="B24" s="23" t="s">
        <v>56</v>
      </c>
      <c r="C24" s="24"/>
      <c r="D24" s="24"/>
      <c r="E24" s="24"/>
      <c r="F24" s="24"/>
      <c r="G24" s="25"/>
    </row>
    <row r="25" spans="1:7" ht="14.5" thickBot="1" x14ac:dyDescent="0.35">
      <c r="A25" s="36">
        <v>43458</v>
      </c>
      <c r="B25" s="27" t="s">
        <v>2</v>
      </c>
      <c r="C25" s="28"/>
      <c r="D25" s="28"/>
      <c r="E25" s="28"/>
      <c r="F25" s="28"/>
      <c r="G25" s="29"/>
    </row>
    <row r="26" spans="1:7" ht="14.5" thickBot="1" x14ac:dyDescent="0.35">
      <c r="A26" s="36">
        <v>43459</v>
      </c>
      <c r="B26" s="27" t="s">
        <v>55</v>
      </c>
      <c r="C26" s="28"/>
      <c r="D26" s="28"/>
      <c r="E26" s="28"/>
      <c r="F26" s="28"/>
      <c r="G26" s="29"/>
    </row>
    <row r="27" spans="1:7" ht="14.5" thickBot="1" x14ac:dyDescent="0.35">
      <c r="A27" s="36">
        <v>43460</v>
      </c>
      <c r="B27" s="27" t="s">
        <v>60</v>
      </c>
      <c r="C27" s="28"/>
      <c r="D27" s="28"/>
      <c r="E27" s="28"/>
      <c r="F27" s="28"/>
      <c r="G27" s="29"/>
    </row>
    <row r="28" spans="1:7" ht="14.5" thickBot="1" x14ac:dyDescent="0.35">
      <c r="A28" s="36">
        <v>43461</v>
      </c>
      <c r="B28" s="27" t="s">
        <v>59</v>
      </c>
      <c r="C28" s="28"/>
      <c r="D28" s="28"/>
      <c r="E28" s="28"/>
      <c r="F28" s="28"/>
      <c r="G28" s="29"/>
    </row>
    <row r="29" spans="1:7" ht="14.5" thickBot="1" x14ac:dyDescent="0.35">
      <c r="A29" s="36">
        <v>43462</v>
      </c>
      <c r="B29" s="27" t="s">
        <v>58</v>
      </c>
      <c r="C29" s="28"/>
      <c r="D29" s="28"/>
      <c r="E29" s="28"/>
      <c r="F29" s="28"/>
      <c r="G29" s="29"/>
    </row>
    <row r="30" spans="1:7" ht="14.5" thickBot="1" x14ac:dyDescent="0.35">
      <c r="A30" s="37">
        <v>43463</v>
      </c>
      <c r="B30" s="23" t="s">
        <v>57</v>
      </c>
      <c r="C30" s="24"/>
      <c r="D30" s="24"/>
      <c r="E30" s="24"/>
      <c r="F30" s="24"/>
      <c r="G30" s="25"/>
    </row>
    <row r="31" spans="1:7" ht="14.5" thickBot="1" x14ac:dyDescent="0.35">
      <c r="A31" s="37">
        <v>43464</v>
      </c>
      <c r="B31" s="23" t="s">
        <v>56</v>
      </c>
      <c r="C31" s="24"/>
      <c r="D31" s="24"/>
      <c r="E31" s="24"/>
      <c r="F31" s="24"/>
      <c r="G31" s="25"/>
    </row>
    <row r="32" spans="1:7" ht="14.5" thickBot="1" x14ac:dyDescent="0.35">
      <c r="A32" s="36">
        <v>43465</v>
      </c>
      <c r="B32" s="27" t="s">
        <v>2</v>
      </c>
      <c r="C32" s="28"/>
      <c r="D32" s="28"/>
      <c r="E32" s="28"/>
      <c r="F32" s="28"/>
      <c r="G32" s="29"/>
    </row>
  </sheetData>
  <phoneticPr fontId="1" type="noConversion"/>
  <dataValidations count="1">
    <dataValidation type="list" allowBlank="1" showInputMessage="1" showErrorMessage="1" sqref="F2:F32" xr:uid="{00000000-0002-0000-0C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-0.499984740745262"/>
    <pageSetUpPr fitToPage="1"/>
  </sheetPr>
  <dimension ref="B1:M15"/>
  <sheetViews>
    <sheetView showGridLines="0" topLeftCell="A4" zoomScaleNormal="100" workbookViewId="0">
      <selection activeCell="J6" sqref="J6:M7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23</v>
      </c>
      <c r="D1" s="7" t="s">
        <v>22</v>
      </c>
      <c r="E1" s="8"/>
      <c r="F1" s="8"/>
      <c r="G1" s="8"/>
      <c r="H1" s="7"/>
    </row>
    <row r="2" spans="2:13" ht="45" customHeight="1" x14ac:dyDescent="0.3">
      <c r="B2" s="6" t="s">
        <v>21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17" t="s">
        <v>41</v>
      </c>
      <c r="K3" s="118"/>
      <c r="L3" s="118"/>
      <c r="M3" s="119"/>
    </row>
    <row r="4" spans="2:13" ht="16.5" customHeight="1" x14ac:dyDescent="0.45">
      <c r="B4" s="12">
        <f t="array" aca="1" ref="B4:H4" ca="1">星期日期和周+DATE(CalendarYear,7,1)-WEEKDAY(DATE(CalendarYear,7,1),(周开始日期="一")+1)+1</f>
        <v>43276</v>
      </c>
      <c r="C4" s="12">
        <f ca="1"/>
        <v>43277</v>
      </c>
      <c r="D4" s="12">
        <f ca="1"/>
        <v>43278</v>
      </c>
      <c r="E4" s="12">
        <f ca="1"/>
        <v>43279</v>
      </c>
      <c r="F4" s="12">
        <f ca="1"/>
        <v>43280</v>
      </c>
      <c r="G4" s="12">
        <f ca="1"/>
        <v>43281</v>
      </c>
      <c r="H4" s="12">
        <f ca="1"/>
        <v>43282</v>
      </c>
      <c r="J4" s="110"/>
      <c r="K4" s="111"/>
      <c r="L4" s="111"/>
      <c r="M4" s="112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13"/>
      <c r="K5" s="114"/>
      <c r="L5" s="114"/>
      <c r="M5" s="115"/>
    </row>
    <row r="6" spans="2:13" ht="15" customHeight="1" x14ac:dyDescent="0.45">
      <c r="B6" s="12">
        <f t="array" aca="1" ref="B6:H6" ca="1">星期日期和周+DATE(CalendarYear,7,1)-WEEKDAY(DATE(CalendarYear,7,1),(周开始日期="一")+1)+8</f>
        <v>43283</v>
      </c>
      <c r="C6" s="12">
        <f ca="1"/>
        <v>43284</v>
      </c>
      <c r="D6" s="12">
        <f ca="1"/>
        <v>43285</v>
      </c>
      <c r="E6" s="12">
        <f ca="1"/>
        <v>43286</v>
      </c>
      <c r="F6" s="12">
        <f ca="1"/>
        <v>43287</v>
      </c>
      <c r="G6" s="12">
        <f ca="1"/>
        <v>43288</v>
      </c>
      <c r="H6" s="12">
        <f ca="1"/>
        <v>43289</v>
      </c>
      <c r="J6" s="110"/>
      <c r="K6" s="111"/>
      <c r="L6" s="111"/>
      <c r="M6" s="112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13"/>
      <c r="K7" s="114"/>
      <c r="L7" s="114"/>
      <c r="M7" s="115"/>
    </row>
    <row r="8" spans="2:13" ht="15" customHeight="1" x14ac:dyDescent="0.45">
      <c r="B8" s="12">
        <f t="array" aca="1" ref="B8:H8" ca="1">星期日期和周+DATE(CalendarYear,7,1)-WEEKDAY(DATE(CalendarYear,7,1),(周开始日期="一")+1)+15</f>
        <v>43290</v>
      </c>
      <c r="C8" s="12">
        <f ca="1"/>
        <v>43291</v>
      </c>
      <c r="D8" s="12">
        <f ca="1"/>
        <v>43292</v>
      </c>
      <c r="E8" s="12">
        <f ca="1"/>
        <v>43293</v>
      </c>
      <c r="F8" s="12">
        <f ca="1"/>
        <v>43294</v>
      </c>
      <c r="G8" s="12">
        <f ca="1"/>
        <v>43295</v>
      </c>
      <c r="H8" s="12">
        <f ca="1"/>
        <v>43296</v>
      </c>
      <c r="J8" s="110"/>
      <c r="K8" s="111"/>
      <c r="L8" s="111"/>
      <c r="M8" s="112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13"/>
      <c r="K9" s="114"/>
      <c r="L9" s="114"/>
      <c r="M9" s="115"/>
    </row>
    <row r="10" spans="2:13" ht="15" customHeight="1" x14ac:dyDescent="0.45">
      <c r="B10" s="12">
        <f t="array" aca="1" ref="B10:H10" ca="1">星期日期和周+DATE(CalendarYear,7,1)-WEEKDAY(DATE(CalendarYear,7,1),(周开始日期="一")+1)+22</f>
        <v>43297</v>
      </c>
      <c r="C10" s="12">
        <f ca="1"/>
        <v>43298</v>
      </c>
      <c r="D10" s="12">
        <f ca="1"/>
        <v>43299</v>
      </c>
      <c r="E10" s="12">
        <f ca="1"/>
        <v>43300</v>
      </c>
      <c r="F10" s="12">
        <f ca="1"/>
        <v>43301</v>
      </c>
      <c r="G10" s="12">
        <f ca="1"/>
        <v>43302</v>
      </c>
      <c r="H10" s="12">
        <f ca="1"/>
        <v>43303</v>
      </c>
      <c r="J10" s="110"/>
      <c r="K10" s="111"/>
      <c r="L10" s="111"/>
      <c r="M10" s="112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13"/>
      <c r="K11" s="114"/>
      <c r="L11" s="114"/>
      <c r="M11" s="115"/>
    </row>
    <row r="12" spans="2:13" ht="15" customHeight="1" x14ac:dyDescent="0.45">
      <c r="B12" s="12">
        <f t="array" aca="1" ref="B12:H12" ca="1">星期日期和周+DATE(CalendarYear,7,1)-WEEKDAY(DATE(CalendarYear,7,1),(周开始日期="一")+1)+29</f>
        <v>43304</v>
      </c>
      <c r="C12" s="12">
        <f ca="1"/>
        <v>43305</v>
      </c>
      <c r="D12" s="12">
        <f ca="1"/>
        <v>43306</v>
      </c>
      <c r="E12" s="12">
        <f ca="1"/>
        <v>43307</v>
      </c>
      <c r="F12" s="12">
        <f ca="1"/>
        <v>43308</v>
      </c>
      <c r="G12" s="12">
        <f ca="1"/>
        <v>43309</v>
      </c>
      <c r="H12" s="12">
        <f ca="1"/>
        <v>43310</v>
      </c>
      <c r="J12" s="110"/>
      <c r="K12" s="111"/>
      <c r="L12" s="111"/>
      <c r="M12" s="112"/>
    </row>
    <row r="13" spans="2:13" ht="39.75" customHeight="1" x14ac:dyDescent="0.3">
      <c r="B13" s="2"/>
      <c r="C13" s="2"/>
      <c r="D13" s="2"/>
      <c r="E13" s="2"/>
      <c r="F13" s="2"/>
      <c r="G13" s="2"/>
      <c r="H13" s="13"/>
      <c r="J13" s="113"/>
      <c r="K13" s="114"/>
      <c r="L13" s="114"/>
      <c r="M13" s="115"/>
    </row>
    <row r="14" spans="2:13" ht="15" customHeight="1" x14ac:dyDescent="0.45">
      <c r="B14" s="12">
        <f t="array" aca="1" ref="B14:H14" ca="1">星期日期和周+DATE(CalendarYear,7,1)-WEEKDAY(DATE(CalendarYear,7,1),(周开始日期="一")+1)+36</f>
        <v>43311</v>
      </c>
      <c r="C14" s="12">
        <f ca="1"/>
        <v>43312</v>
      </c>
      <c r="D14" s="12">
        <f ca="1"/>
        <v>43313</v>
      </c>
      <c r="E14" s="12">
        <f ca="1"/>
        <v>43314</v>
      </c>
      <c r="F14" s="12">
        <f ca="1"/>
        <v>43315</v>
      </c>
      <c r="G14" s="12">
        <f ca="1"/>
        <v>43316</v>
      </c>
      <c r="H14" s="12">
        <f ca="1"/>
        <v>43317</v>
      </c>
      <c r="J14" s="110"/>
      <c r="K14" s="111"/>
      <c r="L14" s="111"/>
      <c r="M14" s="112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13"/>
      <c r="K15" s="114"/>
      <c r="L15" s="114"/>
      <c r="M15" s="115"/>
    </row>
  </sheetData>
  <mergeCells count="7">
    <mergeCell ref="J12:M13"/>
    <mergeCell ref="J14:M15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D00-000000000000}"/>
    <dataValidation allowBlank="1" showInputMessage="1" prompt="转到下月的导航链接" sqref="D1" xr:uid="{00000000-0002-0000-0D00-000001000000}"/>
    <dataValidation allowBlank="1" showInputMessage="1" prompt="对此工作表中的七月进行规划。转到上月和下月的导航链接分别位于 C1 和 D1 " sqref="A1" xr:uid="{00000000-0002-0000-0D00-000002000000}"/>
    <dataValidation allowBlank="1" showInputMessage="1" prompt="在列 B 到列 H 的第 5、7、9、11、13 和 15 行中输入每日备注" sqref="B5" xr:uid="{00000000-0002-0000-0D00-000003000000}"/>
    <dataValidation allowBlank="1" showInputMessage="1" prompt="第 4、6、8、10、12 和 14 行包括月份日期，含上月和下月日期（如适用）" sqref="B4" xr:uid="{00000000-0002-0000-0D00-000004000000}"/>
    <dataValidation allowBlank="1" showInputMessage="1" prompt="日历年由在“一月”工作表的 C2 中设置的年份自动确定" sqref="B1" xr:uid="{00000000-0002-0000-0D00-000005000000}"/>
    <dataValidation allowBlank="1" showInputMessage="1" prompt="自动确定一周的开始日期。若要更改工作日，请在“一月”工作表的 E2 中选择一周的新开始日期" sqref="B3" xr:uid="{00000000-0002-0000-0D00-000006000000}"/>
    <dataValidation allowBlank="1" showInputMessage="1" prompt="自动确定工作日" sqref="C3:H3" xr:uid="{00000000-0002-0000-0D00-000007000000}"/>
  </dataValidations>
  <hyperlinks>
    <hyperlink ref="D1" location="八月!A1" tooltip="转到下月的导航链接" display="八月 -&gt;" xr:uid="{00000000-0004-0000-0D00-000000000000}"/>
    <hyperlink ref="C1" location="六月!A1" tooltip="转到上月的导航链接" display="&lt;- 六月" xr:uid="{00000000-0004-0000-0D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26</v>
      </c>
      <c r="D1" s="7" t="s">
        <v>25</v>
      </c>
      <c r="E1" s="8"/>
      <c r="F1" s="8"/>
      <c r="G1" s="8"/>
      <c r="H1" s="7"/>
    </row>
    <row r="2" spans="2:13" ht="45" customHeight="1" x14ac:dyDescent="0.3">
      <c r="B2" s="6" t="s">
        <v>24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17" t="s">
        <v>41</v>
      </c>
      <c r="K3" s="118"/>
      <c r="L3" s="118"/>
      <c r="M3" s="119"/>
    </row>
    <row r="4" spans="2:13" ht="16.5" customHeight="1" x14ac:dyDescent="0.45">
      <c r="B4" s="12">
        <f t="array" aca="1" ref="B4:H4" ca="1">星期日期和周+DATE(CalendarYear,8,1)-WEEKDAY(DATE(CalendarYear,8,1),(周开始日期="一")+1)+1</f>
        <v>43311</v>
      </c>
      <c r="C4" s="12">
        <f ca="1"/>
        <v>43312</v>
      </c>
      <c r="D4" s="12">
        <f ca="1"/>
        <v>43313</v>
      </c>
      <c r="E4" s="12">
        <f ca="1"/>
        <v>43314</v>
      </c>
      <c r="F4" s="12">
        <f ca="1"/>
        <v>43315</v>
      </c>
      <c r="G4" s="12">
        <f ca="1"/>
        <v>43316</v>
      </c>
      <c r="H4" s="12">
        <f ca="1"/>
        <v>43317</v>
      </c>
      <c r="J4" s="110"/>
      <c r="K4" s="111"/>
      <c r="L4" s="111"/>
      <c r="M4" s="112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13"/>
      <c r="K5" s="114"/>
      <c r="L5" s="114"/>
      <c r="M5" s="115"/>
    </row>
    <row r="6" spans="2:13" ht="15" customHeight="1" x14ac:dyDescent="0.45">
      <c r="B6" s="12">
        <f t="array" aca="1" ref="B6:H6" ca="1">星期日期和周+DATE(CalendarYear,8,1)-WEEKDAY(DATE(CalendarYear,8,1),(周开始日期="一")+1)+8</f>
        <v>43318</v>
      </c>
      <c r="C6" s="12">
        <f ca="1"/>
        <v>43319</v>
      </c>
      <c r="D6" s="12">
        <f ca="1"/>
        <v>43320</v>
      </c>
      <c r="E6" s="12">
        <f ca="1"/>
        <v>43321</v>
      </c>
      <c r="F6" s="12">
        <f ca="1"/>
        <v>43322</v>
      </c>
      <c r="G6" s="12">
        <f ca="1"/>
        <v>43323</v>
      </c>
      <c r="H6" s="12">
        <f ca="1"/>
        <v>43324</v>
      </c>
      <c r="J6" s="110"/>
      <c r="K6" s="111"/>
      <c r="L6" s="111"/>
      <c r="M6" s="112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13"/>
      <c r="K7" s="114"/>
      <c r="L7" s="114"/>
      <c r="M7" s="115"/>
    </row>
    <row r="8" spans="2:13" ht="15" customHeight="1" x14ac:dyDescent="0.45">
      <c r="B8" s="12">
        <f t="array" aca="1" ref="B8:H8" ca="1">星期日期和周+DATE(CalendarYear,8,1)-WEEKDAY(DATE(CalendarYear,8,1),(周开始日期="一")+1)+15</f>
        <v>43325</v>
      </c>
      <c r="C8" s="12">
        <f ca="1"/>
        <v>43326</v>
      </c>
      <c r="D8" s="12">
        <f ca="1"/>
        <v>43327</v>
      </c>
      <c r="E8" s="12">
        <f ca="1"/>
        <v>43328</v>
      </c>
      <c r="F8" s="12">
        <f ca="1"/>
        <v>43329</v>
      </c>
      <c r="G8" s="12">
        <f ca="1"/>
        <v>43330</v>
      </c>
      <c r="H8" s="12">
        <f ca="1"/>
        <v>43331</v>
      </c>
      <c r="J8" s="110"/>
      <c r="K8" s="111"/>
      <c r="L8" s="111"/>
      <c r="M8" s="112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13"/>
      <c r="K9" s="114"/>
      <c r="L9" s="114"/>
      <c r="M9" s="115"/>
    </row>
    <row r="10" spans="2:13" ht="15" customHeight="1" x14ac:dyDescent="0.45">
      <c r="B10" s="12">
        <f t="array" aca="1" ref="B10:H10" ca="1">星期日期和周+DATE(CalendarYear,8,1)-WEEKDAY(DATE(CalendarYear,8,1),(周开始日期="一")+1)+22</f>
        <v>43332</v>
      </c>
      <c r="C10" s="12">
        <f ca="1"/>
        <v>43333</v>
      </c>
      <c r="D10" s="12">
        <f ca="1"/>
        <v>43334</v>
      </c>
      <c r="E10" s="12">
        <f ca="1"/>
        <v>43335</v>
      </c>
      <c r="F10" s="12">
        <f ca="1"/>
        <v>43336</v>
      </c>
      <c r="G10" s="12">
        <f ca="1"/>
        <v>43337</v>
      </c>
      <c r="H10" s="12">
        <f ca="1"/>
        <v>43338</v>
      </c>
      <c r="J10" s="110"/>
      <c r="K10" s="111"/>
      <c r="L10" s="111"/>
      <c r="M10" s="112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13"/>
      <c r="K11" s="114"/>
      <c r="L11" s="114"/>
      <c r="M11" s="115"/>
    </row>
    <row r="12" spans="2:13" ht="15" customHeight="1" x14ac:dyDescent="0.45">
      <c r="B12" s="12">
        <f t="array" aca="1" ref="B12:H12" ca="1">星期日期和周+DATE(CalendarYear,8,1)-WEEKDAY(DATE(CalendarYear,8,1),(周开始日期="一")+1)+29</f>
        <v>43339</v>
      </c>
      <c r="C12" s="12">
        <f ca="1"/>
        <v>43340</v>
      </c>
      <c r="D12" s="12">
        <f ca="1"/>
        <v>43341</v>
      </c>
      <c r="E12" s="12">
        <f ca="1"/>
        <v>43342</v>
      </c>
      <c r="F12" s="12">
        <f ca="1"/>
        <v>43343</v>
      </c>
      <c r="G12" s="12">
        <f ca="1"/>
        <v>43344</v>
      </c>
      <c r="H12" s="12">
        <f ca="1"/>
        <v>43345</v>
      </c>
      <c r="J12" s="110"/>
      <c r="K12" s="111"/>
      <c r="L12" s="111"/>
      <c r="M12" s="112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13"/>
      <c r="K13" s="114"/>
      <c r="L13" s="114"/>
      <c r="M13" s="115"/>
    </row>
    <row r="14" spans="2:13" ht="15" customHeight="1" x14ac:dyDescent="0.45">
      <c r="B14" s="12">
        <f t="array" aca="1" ref="B14:H14" ca="1">星期日期和周+DATE(CalendarYear,8,1)-WEEKDAY(DATE(CalendarYear,8,1),(周开始日期="一")+1)+36</f>
        <v>43346</v>
      </c>
      <c r="C14" s="12">
        <f ca="1"/>
        <v>43347</v>
      </c>
      <c r="D14" s="12">
        <f ca="1"/>
        <v>43348</v>
      </c>
      <c r="E14" s="12">
        <f ca="1"/>
        <v>43349</v>
      </c>
      <c r="F14" s="12">
        <f ca="1"/>
        <v>43350</v>
      </c>
      <c r="G14" s="12">
        <f ca="1"/>
        <v>43351</v>
      </c>
      <c r="H14" s="12">
        <f ca="1"/>
        <v>43352</v>
      </c>
      <c r="J14" s="110"/>
      <c r="K14" s="111"/>
      <c r="L14" s="111"/>
      <c r="M14" s="112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13"/>
      <c r="K15" s="114"/>
      <c r="L15" s="114"/>
      <c r="M15" s="115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E00-000000000000}"/>
    <dataValidation allowBlank="1" showInputMessage="1" prompt="转到下月的导航链接" sqref="D1" xr:uid="{00000000-0002-0000-0E00-000001000000}"/>
    <dataValidation allowBlank="1" showInputMessage="1" prompt="对此工作表中的八月进行规划。转到上月和下月的导航链接分别位于 C1 和 D1 " sqref="A1" xr:uid="{00000000-0002-0000-0E00-000002000000}"/>
    <dataValidation allowBlank="1" showInputMessage="1" prompt="在列 B 到列 H 的第 5、7、9、11、13 和 15 行中输入每日备注" sqref="B5" xr:uid="{00000000-0002-0000-0E00-000003000000}"/>
    <dataValidation allowBlank="1" showInputMessage="1" prompt="第 4、6、8、10、12 和 14 行包括月份日期，含上月和下月日期（如适用）" sqref="B4" xr:uid="{00000000-0002-0000-0E00-000004000000}"/>
    <dataValidation allowBlank="1" showInputMessage="1" prompt="日历年由在“一月”工作表的 C2 中设置的年份自动确定" sqref="B1" xr:uid="{00000000-0002-0000-0E00-000005000000}"/>
    <dataValidation allowBlank="1" showInputMessage="1" prompt="自动确定一周的开始日期。若要更改工作日，请在“一月”工作表的 E2 中选择一周的新开始日期" sqref="B3" xr:uid="{00000000-0002-0000-0E00-000006000000}"/>
    <dataValidation allowBlank="1" showInputMessage="1" prompt="自动确定工作日" sqref="C3:H3" xr:uid="{00000000-0002-0000-0E00-000007000000}"/>
  </dataValidations>
  <hyperlinks>
    <hyperlink ref="D1" location="九月!A1" tooltip="转到下月的导航链接" display="九月 -&gt;" xr:uid="{00000000-0004-0000-0E00-000000000000}"/>
    <hyperlink ref="C1" location="七月!A1" tooltip="转到上月的导航链接" display="&lt;- 七月" xr:uid="{00000000-0004-0000-0E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499984740745262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29</v>
      </c>
      <c r="D1" s="7" t="s">
        <v>28</v>
      </c>
      <c r="E1" s="8"/>
      <c r="F1" s="8"/>
      <c r="G1" s="8"/>
      <c r="H1" s="7"/>
    </row>
    <row r="2" spans="2:13" ht="45" customHeight="1" x14ac:dyDescent="0.3">
      <c r="B2" s="6" t="s">
        <v>27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17" t="s">
        <v>41</v>
      </c>
      <c r="K3" s="118"/>
      <c r="L3" s="118"/>
      <c r="M3" s="119"/>
    </row>
    <row r="4" spans="2:13" ht="16.5" customHeight="1" x14ac:dyDescent="0.45">
      <c r="B4" s="12">
        <f t="array" aca="1" ref="B4:H4" ca="1">星期日期和周+DATE(CalendarYear,9,1)-WEEKDAY(DATE(CalendarYear,9,1),(周开始日期="一")+1)+1</f>
        <v>43339</v>
      </c>
      <c r="C4" s="12">
        <f ca="1"/>
        <v>43340</v>
      </c>
      <c r="D4" s="12">
        <f ca="1"/>
        <v>43341</v>
      </c>
      <c r="E4" s="12">
        <f ca="1"/>
        <v>43342</v>
      </c>
      <c r="F4" s="12">
        <f ca="1"/>
        <v>43343</v>
      </c>
      <c r="G4" s="12">
        <f ca="1"/>
        <v>43344</v>
      </c>
      <c r="H4" s="12">
        <f ca="1"/>
        <v>43345</v>
      </c>
      <c r="J4" s="110"/>
      <c r="K4" s="111"/>
      <c r="L4" s="111"/>
      <c r="M4" s="112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13"/>
      <c r="K5" s="114"/>
      <c r="L5" s="114"/>
      <c r="M5" s="115"/>
    </row>
    <row r="6" spans="2:13" ht="15" customHeight="1" x14ac:dyDescent="0.45">
      <c r="B6" s="12">
        <f t="array" aca="1" ref="B6:H6" ca="1">星期日期和周+DATE(CalendarYear,9,1)-WEEKDAY(DATE(CalendarYear,9,1),(周开始日期="一")+1)+8</f>
        <v>43346</v>
      </c>
      <c r="C6" s="12">
        <f ca="1"/>
        <v>43347</v>
      </c>
      <c r="D6" s="12">
        <f ca="1"/>
        <v>43348</v>
      </c>
      <c r="E6" s="12">
        <f ca="1"/>
        <v>43349</v>
      </c>
      <c r="F6" s="12">
        <f ca="1"/>
        <v>43350</v>
      </c>
      <c r="G6" s="12">
        <f ca="1"/>
        <v>43351</v>
      </c>
      <c r="H6" s="12">
        <f ca="1"/>
        <v>43352</v>
      </c>
      <c r="J6" s="110"/>
      <c r="K6" s="111"/>
      <c r="L6" s="111"/>
      <c r="M6" s="112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13"/>
      <c r="K7" s="114"/>
      <c r="L7" s="114"/>
      <c r="M7" s="115"/>
    </row>
    <row r="8" spans="2:13" ht="15" customHeight="1" x14ac:dyDescent="0.45">
      <c r="B8" s="12">
        <f t="array" aca="1" ref="B8:H8" ca="1">星期日期和周+DATE(CalendarYear,9,1)-WEEKDAY(DATE(CalendarYear,9,1),(周开始日期="一")+1)+15</f>
        <v>43353</v>
      </c>
      <c r="C8" s="12">
        <f ca="1"/>
        <v>43354</v>
      </c>
      <c r="D8" s="12">
        <f ca="1"/>
        <v>43355</v>
      </c>
      <c r="E8" s="12">
        <f ca="1"/>
        <v>43356</v>
      </c>
      <c r="F8" s="12">
        <f ca="1"/>
        <v>43357</v>
      </c>
      <c r="G8" s="12">
        <f ca="1"/>
        <v>43358</v>
      </c>
      <c r="H8" s="12">
        <f ca="1"/>
        <v>43359</v>
      </c>
      <c r="J8" s="110"/>
      <c r="K8" s="111"/>
      <c r="L8" s="111"/>
      <c r="M8" s="112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13"/>
      <c r="K9" s="114"/>
      <c r="L9" s="114"/>
      <c r="M9" s="115"/>
    </row>
    <row r="10" spans="2:13" ht="15" customHeight="1" x14ac:dyDescent="0.45">
      <c r="B10" s="12">
        <f t="array" aca="1" ref="B10:H10" ca="1">星期日期和周+DATE(CalendarYear,9,1)-WEEKDAY(DATE(CalendarYear,9,1),(周开始日期="一")+1)+22</f>
        <v>43360</v>
      </c>
      <c r="C10" s="12">
        <f ca="1"/>
        <v>43361</v>
      </c>
      <c r="D10" s="12">
        <f ca="1"/>
        <v>43362</v>
      </c>
      <c r="E10" s="12">
        <f ca="1"/>
        <v>43363</v>
      </c>
      <c r="F10" s="12">
        <f ca="1"/>
        <v>43364</v>
      </c>
      <c r="G10" s="12">
        <f ca="1"/>
        <v>43365</v>
      </c>
      <c r="H10" s="12">
        <f ca="1"/>
        <v>43366</v>
      </c>
      <c r="J10" s="110"/>
      <c r="K10" s="111"/>
      <c r="L10" s="111"/>
      <c r="M10" s="112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13"/>
      <c r="K11" s="114"/>
      <c r="L11" s="114"/>
      <c r="M11" s="115"/>
    </row>
    <row r="12" spans="2:13" ht="15" customHeight="1" x14ac:dyDescent="0.45">
      <c r="B12" s="12">
        <f t="array" aca="1" ref="B12:H12" ca="1">星期日期和周+DATE(CalendarYear,9,1)-WEEKDAY(DATE(CalendarYear,9,1),(周开始日期="一")+1)+29</f>
        <v>43367</v>
      </c>
      <c r="C12" s="12">
        <f ca="1"/>
        <v>43368</v>
      </c>
      <c r="D12" s="12">
        <f ca="1"/>
        <v>43369</v>
      </c>
      <c r="E12" s="12">
        <f ca="1"/>
        <v>43370</v>
      </c>
      <c r="F12" s="12">
        <f ca="1"/>
        <v>43371</v>
      </c>
      <c r="G12" s="12">
        <f ca="1"/>
        <v>43372</v>
      </c>
      <c r="H12" s="12">
        <f ca="1"/>
        <v>43373</v>
      </c>
      <c r="J12" s="110"/>
      <c r="K12" s="111"/>
      <c r="L12" s="111"/>
      <c r="M12" s="112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13"/>
      <c r="K13" s="114"/>
      <c r="L13" s="114"/>
      <c r="M13" s="115"/>
    </row>
    <row r="14" spans="2:13" ht="15" customHeight="1" x14ac:dyDescent="0.45">
      <c r="B14" s="12">
        <f t="array" aca="1" ref="B14:H14" ca="1">星期日期和周+DATE(CalendarYear,9,1)-WEEKDAY(DATE(CalendarYear,9,1),(周开始日期="一")+1)+36</f>
        <v>43374</v>
      </c>
      <c r="C14" s="12">
        <f ca="1"/>
        <v>43375</v>
      </c>
      <c r="D14" s="12">
        <f ca="1"/>
        <v>43376</v>
      </c>
      <c r="E14" s="12">
        <f ca="1"/>
        <v>43377</v>
      </c>
      <c r="F14" s="12">
        <f ca="1"/>
        <v>43378</v>
      </c>
      <c r="G14" s="12">
        <f ca="1"/>
        <v>43379</v>
      </c>
      <c r="H14" s="12">
        <f ca="1"/>
        <v>43380</v>
      </c>
      <c r="J14" s="110"/>
      <c r="K14" s="111"/>
      <c r="L14" s="111"/>
      <c r="M14" s="112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13"/>
      <c r="K15" s="114"/>
      <c r="L15" s="114"/>
      <c r="M15" s="115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F00-000000000000}"/>
    <dataValidation allowBlank="1" showInputMessage="1" prompt="转到下月的导航链接" sqref="D1" xr:uid="{00000000-0002-0000-0F00-000001000000}"/>
    <dataValidation allowBlank="1" showInputMessage="1" prompt="对此工作表中的九月进行规划。转到上月和下月的导航链接分别位于 C1 和 D1 " sqref="A1" xr:uid="{00000000-0002-0000-0F00-000002000000}"/>
    <dataValidation allowBlank="1" showInputMessage="1" prompt="在列 B 到列 H 的第 5、7、9、11、13 和 15 行中输入每日备注" sqref="B5" xr:uid="{00000000-0002-0000-0F00-000003000000}"/>
    <dataValidation allowBlank="1" showInputMessage="1" prompt="第 4、6、8、10、12 和 14 行包括月份日期，含上月和下月日期（如适用）" sqref="B4" xr:uid="{00000000-0002-0000-0F00-000004000000}"/>
    <dataValidation allowBlank="1" showInputMessage="1" prompt="日历年由在“一月”工作表的 C2 中设置的年份自动确定" sqref="B1" xr:uid="{00000000-0002-0000-0F00-000005000000}"/>
    <dataValidation allowBlank="1" showInputMessage="1" prompt="自动确定一周的开始日期。若要更改工作日，请在“一月”工作表的 E2 中选择一周的新开始日期" sqref="B3" xr:uid="{00000000-0002-0000-0F00-000006000000}"/>
    <dataValidation allowBlank="1" showInputMessage="1" prompt="自动确定工作日" sqref="C3:H3" xr:uid="{00000000-0002-0000-0F00-000007000000}"/>
  </dataValidations>
  <hyperlinks>
    <hyperlink ref="D1" location="十月!A1" tooltip="转到下月的导航链接" display="十月 -&gt;" xr:uid="{00000000-0004-0000-0F00-000000000000}"/>
    <hyperlink ref="C1" location="八月!A1" tooltip="转到上月的导航链接" display="&lt;- 八月" xr:uid="{00000000-0004-0000-0F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0.39997558519241921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32</v>
      </c>
      <c r="D1" s="7" t="s">
        <v>31</v>
      </c>
      <c r="E1" s="8"/>
      <c r="F1" s="8"/>
      <c r="G1" s="8"/>
      <c r="H1" s="7"/>
    </row>
    <row r="2" spans="2:13" ht="45" customHeight="1" x14ac:dyDescent="0.3">
      <c r="B2" s="6" t="s">
        <v>30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17" t="s">
        <v>41</v>
      </c>
      <c r="K3" s="118"/>
      <c r="L3" s="118"/>
      <c r="M3" s="119"/>
    </row>
    <row r="4" spans="2:13" ht="16.5" customHeight="1" x14ac:dyDescent="0.45">
      <c r="B4" s="12">
        <f t="array" aca="1" ref="B4:H4" ca="1">星期日期和周+DATE(CalendarYear,10,1)-WEEKDAY(DATE(CalendarYear,10,1),(周开始日期="一")+1)+1</f>
        <v>43374</v>
      </c>
      <c r="C4" s="12">
        <f ca="1"/>
        <v>43375</v>
      </c>
      <c r="D4" s="12">
        <f ca="1"/>
        <v>43376</v>
      </c>
      <c r="E4" s="12">
        <f ca="1"/>
        <v>43377</v>
      </c>
      <c r="F4" s="12">
        <f ca="1"/>
        <v>43378</v>
      </c>
      <c r="G4" s="12">
        <f ca="1"/>
        <v>43379</v>
      </c>
      <c r="H4" s="12">
        <f ca="1"/>
        <v>43380</v>
      </c>
      <c r="J4" s="110"/>
      <c r="K4" s="111"/>
      <c r="L4" s="111"/>
      <c r="M4" s="112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13"/>
      <c r="K5" s="114"/>
      <c r="L5" s="114"/>
      <c r="M5" s="115"/>
    </row>
    <row r="6" spans="2:13" ht="15" customHeight="1" x14ac:dyDescent="0.45">
      <c r="B6" s="12">
        <f t="array" aca="1" ref="B6:H6" ca="1">星期日期和周+DATE(CalendarYear,10,1)-WEEKDAY(DATE(CalendarYear,10,1),(周开始日期="一")+1)+8</f>
        <v>43381</v>
      </c>
      <c r="C6" s="12">
        <f ca="1"/>
        <v>43382</v>
      </c>
      <c r="D6" s="12">
        <f ca="1"/>
        <v>43383</v>
      </c>
      <c r="E6" s="12">
        <f ca="1"/>
        <v>43384</v>
      </c>
      <c r="F6" s="12">
        <f ca="1"/>
        <v>43385</v>
      </c>
      <c r="G6" s="12">
        <f ca="1"/>
        <v>43386</v>
      </c>
      <c r="H6" s="12">
        <f ca="1"/>
        <v>43387</v>
      </c>
      <c r="J6" s="110"/>
      <c r="K6" s="111"/>
      <c r="L6" s="111"/>
      <c r="M6" s="112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13"/>
      <c r="K7" s="114"/>
      <c r="L7" s="114"/>
      <c r="M7" s="115"/>
    </row>
    <row r="8" spans="2:13" ht="15" customHeight="1" x14ac:dyDescent="0.45">
      <c r="B8" s="12">
        <f t="array" aca="1" ref="B8:H8" ca="1">星期日期和周+DATE(CalendarYear,10,1)-WEEKDAY(DATE(CalendarYear,10,1),(周开始日期="一")+1)+15</f>
        <v>43388</v>
      </c>
      <c r="C8" s="12">
        <f ca="1"/>
        <v>43389</v>
      </c>
      <c r="D8" s="12">
        <f ca="1"/>
        <v>43390</v>
      </c>
      <c r="E8" s="12">
        <f ca="1"/>
        <v>43391</v>
      </c>
      <c r="F8" s="12">
        <f ca="1"/>
        <v>43392</v>
      </c>
      <c r="G8" s="12">
        <f ca="1"/>
        <v>43393</v>
      </c>
      <c r="H8" s="12">
        <f ca="1"/>
        <v>43394</v>
      </c>
      <c r="J8" s="110"/>
      <c r="K8" s="111"/>
      <c r="L8" s="111"/>
      <c r="M8" s="112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13"/>
      <c r="K9" s="114"/>
      <c r="L9" s="114"/>
      <c r="M9" s="115"/>
    </row>
    <row r="10" spans="2:13" ht="15" customHeight="1" x14ac:dyDescent="0.45">
      <c r="B10" s="12">
        <f t="array" aca="1" ref="B10:H10" ca="1">星期日期和周+DATE(CalendarYear,10,1)-WEEKDAY(DATE(CalendarYear,10,1),(周开始日期="一")+1)+22</f>
        <v>43395</v>
      </c>
      <c r="C10" s="12">
        <f ca="1"/>
        <v>43396</v>
      </c>
      <c r="D10" s="12">
        <f ca="1"/>
        <v>43397</v>
      </c>
      <c r="E10" s="12">
        <f ca="1"/>
        <v>43398</v>
      </c>
      <c r="F10" s="12">
        <f ca="1"/>
        <v>43399</v>
      </c>
      <c r="G10" s="12">
        <f ca="1"/>
        <v>43400</v>
      </c>
      <c r="H10" s="12">
        <f ca="1"/>
        <v>43401</v>
      </c>
      <c r="J10" s="110"/>
      <c r="K10" s="111"/>
      <c r="L10" s="111"/>
      <c r="M10" s="112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13"/>
      <c r="K11" s="114"/>
      <c r="L11" s="114"/>
      <c r="M11" s="115"/>
    </row>
    <row r="12" spans="2:13" ht="15" customHeight="1" x14ac:dyDescent="0.45">
      <c r="B12" s="12">
        <f t="array" aca="1" ref="B12:H12" ca="1">星期日期和周+DATE(CalendarYear,10,1)-WEEKDAY(DATE(CalendarYear,10,1),(周开始日期="一")+1)+29</f>
        <v>43402</v>
      </c>
      <c r="C12" s="12">
        <f ca="1"/>
        <v>43403</v>
      </c>
      <c r="D12" s="12">
        <f ca="1"/>
        <v>43404</v>
      </c>
      <c r="E12" s="12">
        <f ca="1"/>
        <v>43405</v>
      </c>
      <c r="F12" s="12">
        <f ca="1"/>
        <v>43406</v>
      </c>
      <c r="G12" s="12">
        <f ca="1"/>
        <v>43407</v>
      </c>
      <c r="H12" s="12">
        <f ca="1"/>
        <v>43408</v>
      </c>
      <c r="J12" s="110"/>
      <c r="K12" s="111"/>
      <c r="L12" s="111"/>
      <c r="M12" s="112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13"/>
      <c r="K13" s="114"/>
      <c r="L13" s="114"/>
      <c r="M13" s="115"/>
    </row>
    <row r="14" spans="2:13" ht="15" customHeight="1" x14ac:dyDescent="0.45">
      <c r="B14" s="12">
        <f t="array" aca="1" ref="B14:H14" ca="1">星期日期和周+DATE(CalendarYear,10,1)-WEEKDAY(DATE(CalendarYear,10,1),(周开始日期="一")+1)+36</f>
        <v>43409</v>
      </c>
      <c r="C14" s="12">
        <f ca="1"/>
        <v>43410</v>
      </c>
      <c r="D14" s="12">
        <f ca="1"/>
        <v>43411</v>
      </c>
      <c r="E14" s="12">
        <f ca="1"/>
        <v>43412</v>
      </c>
      <c r="F14" s="12">
        <f ca="1"/>
        <v>43413</v>
      </c>
      <c r="G14" s="12">
        <f ca="1"/>
        <v>43414</v>
      </c>
      <c r="H14" s="12">
        <f ca="1"/>
        <v>43415</v>
      </c>
      <c r="J14" s="110"/>
      <c r="K14" s="111"/>
      <c r="L14" s="111"/>
      <c r="M14" s="112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13"/>
      <c r="K15" s="114"/>
      <c r="L15" s="114"/>
      <c r="M15" s="115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1000-000000000000}"/>
    <dataValidation allowBlank="1" showInputMessage="1" prompt="转到下月的导航链接" sqref="D1" xr:uid="{00000000-0002-0000-1000-000001000000}"/>
    <dataValidation allowBlank="1" showInputMessage="1" prompt="对此工作表中的十月进行规划。转到上月和下月的导航链接分别位于 C1 和 D1 " sqref="A1" xr:uid="{00000000-0002-0000-1000-000002000000}"/>
    <dataValidation allowBlank="1" showInputMessage="1" prompt="在列 B 到列 H 的第 5、7、9、11、13 和 15 行中输入每日备注" sqref="B5" xr:uid="{00000000-0002-0000-1000-000003000000}"/>
    <dataValidation allowBlank="1" showInputMessage="1" prompt="第 4、6、8、10、12 和 14 行包括月份日期，含上月和下月日期（如适用）" sqref="B4" xr:uid="{00000000-0002-0000-1000-000004000000}"/>
    <dataValidation allowBlank="1" showInputMessage="1" prompt="日历年由在“一月”工作表的 C2 中设置的年份自动确定" sqref="B1" xr:uid="{00000000-0002-0000-1000-000005000000}"/>
    <dataValidation allowBlank="1" showInputMessage="1" prompt="自动确定一周的开始日期。若要更改工作日，请在“一月”工作表的 E2 中选择一周的新开始日期" sqref="B3" xr:uid="{00000000-0002-0000-1000-000006000000}"/>
    <dataValidation allowBlank="1" showInputMessage="1" prompt="自动确定工作日" sqref="C3:H3" xr:uid="{00000000-0002-0000-1000-000007000000}"/>
  </dataValidations>
  <hyperlinks>
    <hyperlink ref="D1" location="十一月!A1" tooltip="转到下月的导航链接" display="十一月 -&gt;" xr:uid="{00000000-0004-0000-1000-000000000000}"/>
    <hyperlink ref="C1" location="九月!A1" tooltip="转到上月的导航链接" display="&lt;- 九月" xr:uid="{00000000-0004-0000-10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35</v>
      </c>
      <c r="D1" s="7" t="s">
        <v>34</v>
      </c>
      <c r="E1" s="8"/>
      <c r="F1" s="8"/>
      <c r="G1" s="8"/>
      <c r="H1" s="7"/>
    </row>
    <row r="2" spans="2:13" ht="45" customHeight="1" x14ac:dyDescent="0.3">
      <c r="B2" s="6" t="s">
        <v>33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17" t="s">
        <v>41</v>
      </c>
      <c r="K3" s="118"/>
      <c r="L3" s="118"/>
      <c r="M3" s="119"/>
    </row>
    <row r="4" spans="2:13" ht="16.5" customHeight="1" x14ac:dyDescent="0.45">
      <c r="B4" s="12">
        <f t="array" aca="1" ref="B4:H4" ca="1">星期日期和周+DATE(CalendarYear,11,1)-WEEKDAY(DATE(CalendarYear,11,1),(周开始日期="一")+1)+1</f>
        <v>43402</v>
      </c>
      <c r="C4" s="12">
        <f ca="1"/>
        <v>43403</v>
      </c>
      <c r="D4" s="12">
        <f ca="1"/>
        <v>43404</v>
      </c>
      <c r="E4" s="12">
        <f ca="1"/>
        <v>43405</v>
      </c>
      <c r="F4" s="12">
        <f ca="1"/>
        <v>43406</v>
      </c>
      <c r="G4" s="12">
        <f ca="1"/>
        <v>43407</v>
      </c>
      <c r="H4" s="12">
        <f ca="1"/>
        <v>43408</v>
      </c>
      <c r="J4" s="110"/>
      <c r="K4" s="111"/>
      <c r="L4" s="111"/>
      <c r="M4" s="112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13"/>
      <c r="K5" s="114"/>
      <c r="L5" s="114"/>
      <c r="M5" s="115"/>
    </row>
    <row r="6" spans="2:13" ht="15" customHeight="1" x14ac:dyDescent="0.45">
      <c r="B6" s="12">
        <f t="array" aca="1" ref="B6:H6" ca="1">星期日期和周+DATE(CalendarYear,11,1)-WEEKDAY(DATE(CalendarYear,11,1),(周开始日期="一")+1)+8</f>
        <v>43409</v>
      </c>
      <c r="C6" s="12">
        <f ca="1"/>
        <v>43410</v>
      </c>
      <c r="D6" s="12">
        <f ca="1"/>
        <v>43411</v>
      </c>
      <c r="E6" s="12">
        <f ca="1"/>
        <v>43412</v>
      </c>
      <c r="F6" s="12">
        <f ca="1"/>
        <v>43413</v>
      </c>
      <c r="G6" s="12">
        <f ca="1"/>
        <v>43414</v>
      </c>
      <c r="H6" s="12">
        <f ca="1"/>
        <v>43415</v>
      </c>
      <c r="J6" s="110"/>
      <c r="K6" s="111"/>
      <c r="L6" s="111"/>
      <c r="M6" s="112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13"/>
      <c r="K7" s="114"/>
      <c r="L7" s="114"/>
      <c r="M7" s="115"/>
    </row>
    <row r="8" spans="2:13" ht="15" customHeight="1" x14ac:dyDescent="0.45">
      <c r="B8" s="12">
        <f t="array" aca="1" ref="B8:H8" ca="1">星期日期和周+DATE(CalendarYear,11,1)-WEEKDAY(DATE(CalendarYear,11,1),(周开始日期="一")+1)+15</f>
        <v>43416</v>
      </c>
      <c r="C8" s="12">
        <f ca="1"/>
        <v>43417</v>
      </c>
      <c r="D8" s="12">
        <f ca="1"/>
        <v>43418</v>
      </c>
      <c r="E8" s="12">
        <f ca="1"/>
        <v>43419</v>
      </c>
      <c r="F8" s="12">
        <f ca="1"/>
        <v>43420</v>
      </c>
      <c r="G8" s="12">
        <f ca="1"/>
        <v>43421</v>
      </c>
      <c r="H8" s="12">
        <f ca="1"/>
        <v>43422</v>
      </c>
      <c r="J8" s="110"/>
      <c r="K8" s="111"/>
      <c r="L8" s="111"/>
      <c r="M8" s="112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13"/>
      <c r="K9" s="114"/>
      <c r="L9" s="114"/>
      <c r="M9" s="115"/>
    </row>
    <row r="10" spans="2:13" ht="15" customHeight="1" x14ac:dyDescent="0.45">
      <c r="B10" s="12">
        <f t="array" aca="1" ref="B10:H10" ca="1">星期日期和周+DATE(CalendarYear,11,1)-WEEKDAY(DATE(CalendarYear,11,1),(周开始日期="一")+1)+22</f>
        <v>43423</v>
      </c>
      <c r="C10" s="12">
        <f ca="1"/>
        <v>43424</v>
      </c>
      <c r="D10" s="12">
        <f ca="1"/>
        <v>43425</v>
      </c>
      <c r="E10" s="12">
        <f ca="1"/>
        <v>43426</v>
      </c>
      <c r="F10" s="12">
        <f ca="1"/>
        <v>43427</v>
      </c>
      <c r="G10" s="12">
        <f ca="1"/>
        <v>43428</v>
      </c>
      <c r="H10" s="12">
        <f ca="1"/>
        <v>43429</v>
      </c>
      <c r="J10" s="110"/>
      <c r="K10" s="111"/>
      <c r="L10" s="111"/>
      <c r="M10" s="112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13"/>
      <c r="K11" s="114"/>
      <c r="L11" s="114"/>
      <c r="M11" s="115"/>
    </row>
    <row r="12" spans="2:13" ht="15" customHeight="1" x14ac:dyDescent="0.45">
      <c r="B12" s="12">
        <f t="array" aca="1" ref="B12:H12" ca="1">星期日期和周+DATE(CalendarYear,11,1)-WEEKDAY(DATE(CalendarYear,11,1),(周开始日期="一")+1)+29</f>
        <v>43430</v>
      </c>
      <c r="C12" s="12">
        <f ca="1"/>
        <v>43431</v>
      </c>
      <c r="D12" s="12">
        <f ca="1"/>
        <v>43432</v>
      </c>
      <c r="E12" s="12">
        <f ca="1"/>
        <v>43433</v>
      </c>
      <c r="F12" s="12">
        <f ca="1"/>
        <v>43434</v>
      </c>
      <c r="G12" s="12">
        <f ca="1"/>
        <v>43435</v>
      </c>
      <c r="H12" s="12">
        <f ca="1"/>
        <v>43436</v>
      </c>
      <c r="J12" s="110"/>
      <c r="K12" s="111"/>
      <c r="L12" s="111"/>
      <c r="M12" s="112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13"/>
      <c r="K13" s="114"/>
      <c r="L13" s="114"/>
      <c r="M13" s="115"/>
    </row>
    <row r="14" spans="2:13" ht="15" customHeight="1" x14ac:dyDescent="0.45">
      <c r="B14" s="12">
        <f t="array" aca="1" ref="B14:H14" ca="1">星期日期和周+DATE(CalendarYear,11,1)-WEEKDAY(DATE(CalendarYear,11,1),(周开始日期="一")+1)+36</f>
        <v>43437</v>
      </c>
      <c r="C14" s="12">
        <f ca="1"/>
        <v>43438</v>
      </c>
      <c r="D14" s="12">
        <f ca="1"/>
        <v>43439</v>
      </c>
      <c r="E14" s="12">
        <f ca="1"/>
        <v>43440</v>
      </c>
      <c r="F14" s="12">
        <f ca="1"/>
        <v>43441</v>
      </c>
      <c r="G14" s="12">
        <f ca="1"/>
        <v>43442</v>
      </c>
      <c r="H14" s="12">
        <f ca="1"/>
        <v>43443</v>
      </c>
      <c r="J14" s="110"/>
      <c r="K14" s="111"/>
      <c r="L14" s="111"/>
      <c r="M14" s="112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13"/>
      <c r="K15" s="114"/>
      <c r="L15" s="114"/>
      <c r="M15" s="115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8">
    <dataValidation allowBlank="1" showInputMessage="1" prompt="对此工作表中的十一月进行规划。转到上月和下月的导航链接分别位于 C1 和 D1 " sqref="A1" xr:uid="{00000000-0002-0000-1100-000000000000}"/>
    <dataValidation allowBlank="1" showInputMessage="1" prompt="转到下月的导航链接" sqref="D1" xr:uid="{00000000-0002-0000-1100-000001000000}"/>
    <dataValidation allowBlank="1" showInputMessage="1" prompt="转到上月的导航链接" sqref="C1" xr:uid="{00000000-0002-0000-1100-000002000000}"/>
    <dataValidation allowBlank="1" showInputMessage="1" prompt="在列 B 到列 H 的第 5、7、9、11、13 和 15 行中输入每日备注" sqref="B5" xr:uid="{00000000-0002-0000-1100-000003000000}"/>
    <dataValidation allowBlank="1" showInputMessage="1" prompt="第 4、6、8、10、12 和 14 行包括月份日期，含上月和下月日期（如适用）" sqref="B4" xr:uid="{00000000-0002-0000-1100-000004000000}"/>
    <dataValidation allowBlank="1" showInputMessage="1" prompt="日历年由在“一月”工作表的 C2 中设置的年份自动确定" sqref="B1" xr:uid="{00000000-0002-0000-1100-000005000000}"/>
    <dataValidation allowBlank="1" showInputMessage="1" prompt="自动确定一周的开始日期。若要更改工作日，请在“一月”工作表的 E2 中选择一周的新开始日期" sqref="B3" xr:uid="{00000000-0002-0000-1100-000006000000}"/>
    <dataValidation allowBlank="1" showInputMessage="1" prompt="自动确定工作日" sqref="C3:H3" xr:uid="{00000000-0002-0000-1100-000007000000}"/>
  </dataValidations>
  <hyperlinks>
    <hyperlink ref="D1" location="十二月!A1" tooltip="转到下月的导航链接" display="十二月 -&gt;" xr:uid="{00000000-0004-0000-1100-000000000000}"/>
    <hyperlink ref="C1" location="十月!A1" tooltip="转到上月的导航链接" display="&lt;- 十月" xr:uid="{00000000-0004-0000-11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-0.499984740745262"/>
    <pageSetUpPr fitToPage="1"/>
  </sheetPr>
  <dimension ref="B1:M15"/>
  <sheetViews>
    <sheetView showGridLines="0" zoomScaleNormal="100" workbookViewId="0">
      <selection activeCell="J4" sqref="J4:M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38</v>
      </c>
      <c r="D1" s="7" t="s">
        <v>37</v>
      </c>
      <c r="E1" s="8"/>
      <c r="F1" s="8"/>
      <c r="G1" s="8"/>
      <c r="H1" s="7"/>
    </row>
    <row r="2" spans="2:13" ht="45" customHeight="1" x14ac:dyDescent="0.3">
      <c r="B2" s="6" t="s">
        <v>36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17" t="s">
        <v>41</v>
      </c>
      <c r="K3" s="118"/>
      <c r="L3" s="118"/>
      <c r="M3" s="119"/>
    </row>
    <row r="4" spans="2:13" ht="16.5" customHeight="1" x14ac:dyDescent="0.45">
      <c r="B4" s="12">
        <f t="array" aca="1" ref="B4:H4" ca="1">星期日期和周+DATE(CalendarYear,12,1)-WEEKDAY(DATE(CalendarYear,12,1),(周开始日期="一")+1)+1</f>
        <v>43430</v>
      </c>
      <c r="C4" s="12">
        <f ca="1"/>
        <v>43431</v>
      </c>
      <c r="D4" s="12">
        <f ca="1"/>
        <v>43432</v>
      </c>
      <c r="E4" s="12">
        <f ca="1"/>
        <v>43433</v>
      </c>
      <c r="F4" s="12">
        <f ca="1"/>
        <v>43434</v>
      </c>
      <c r="G4" s="12">
        <f ca="1"/>
        <v>43435</v>
      </c>
      <c r="H4" s="12">
        <f ca="1"/>
        <v>43436</v>
      </c>
      <c r="J4" s="110"/>
      <c r="K4" s="111"/>
      <c r="L4" s="111"/>
      <c r="M4" s="112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13"/>
      <c r="K5" s="114"/>
      <c r="L5" s="114"/>
      <c r="M5" s="115"/>
    </row>
    <row r="6" spans="2:13" ht="15" customHeight="1" x14ac:dyDescent="0.45">
      <c r="B6" s="12">
        <f t="array" aca="1" ref="B6:H6" ca="1">星期日期和周+DATE(CalendarYear,12,1)-WEEKDAY(DATE(CalendarYear,12,1),(周开始日期="一")+1)+8</f>
        <v>43437</v>
      </c>
      <c r="C6" s="12">
        <f ca="1"/>
        <v>43438</v>
      </c>
      <c r="D6" s="12">
        <f ca="1"/>
        <v>43439</v>
      </c>
      <c r="E6" s="12">
        <f ca="1"/>
        <v>43440</v>
      </c>
      <c r="F6" s="12">
        <f ca="1"/>
        <v>43441</v>
      </c>
      <c r="G6" s="12">
        <f ca="1"/>
        <v>43442</v>
      </c>
      <c r="H6" s="12">
        <f ca="1"/>
        <v>43443</v>
      </c>
      <c r="J6" s="110"/>
      <c r="K6" s="111"/>
      <c r="L6" s="111"/>
      <c r="M6" s="112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13"/>
      <c r="K7" s="114"/>
      <c r="L7" s="114"/>
      <c r="M7" s="115"/>
    </row>
    <row r="8" spans="2:13" ht="15" customHeight="1" x14ac:dyDescent="0.45">
      <c r="B8" s="12">
        <f t="array" aca="1" ref="B8:H8" ca="1">星期日期和周+DATE(CalendarYear,12,1)-WEEKDAY(DATE(CalendarYear,12,1),(周开始日期="一")+1)+15</f>
        <v>43444</v>
      </c>
      <c r="C8" s="12">
        <f ca="1"/>
        <v>43445</v>
      </c>
      <c r="D8" s="12">
        <f ca="1"/>
        <v>43446</v>
      </c>
      <c r="E8" s="12">
        <f ca="1"/>
        <v>43447</v>
      </c>
      <c r="F8" s="12">
        <f ca="1"/>
        <v>43448</v>
      </c>
      <c r="G8" s="12">
        <f ca="1"/>
        <v>43449</v>
      </c>
      <c r="H8" s="12">
        <f ca="1"/>
        <v>43450</v>
      </c>
      <c r="J8" s="110"/>
      <c r="K8" s="111"/>
      <c r="L8" s="111"/>
      <c r="M8" s="112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13"/>
      <c r="K9" s="114"/>
      <c r="L9" s="114"/>
      <c r="M9" s="115"/>
    </row>
    <row r="10" spans="2:13" ht="15" customHeight="1" x14ac:dyDescent="0.45">
      <c r="B10" s="12">
        <f t="array" aca="1" ref="B10:H10" ca="1">星期日期和周+DATE(CalendarYear,12,1)-WEEKDAY(DATE(CalendarYear,12,1),(周开始日期="一")+1)+22</f>
        <v>43451</v>
      </c>
      <c r="C10" s="12">
        <f ca="1"/>
        <v>43452</v>
      </c>
      <c r="D10" s="12">
        <f ca="1"/>
        <v>43453</v>
      </c>
      <c r="E10" s="12">
        <f ca="1"/>
        <v>43454</v>
      </c>
      <c r="F10" s="12">
        <f ca="1"/>
        <v>43455</v>
      </c>
      <c r="G10" s="12">
        <f ca="1"/>
        <v>43456</v>
      </c>
      <c r="H10" s="12">
        <f ca="1"/>
        <v>43457</v>
      </c>
      <c r="J10" s="110"/>
      <c r="K10" s="111"/>
      <c r="L10" s="111"/>
      <c r="M10" s="112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13"/>
      <c r="K11" s="114"/>
      <c r="L11" s="114"/>
      <c r="M11" s="115"/>
    </row>
    <row r="12" spans="2:13" ht="15" customHeight="1" x14ac:dyDescent="0.45">
      <c r="B12" s="12">
        <f t="array" aca="1" ref="B12:H12" ca="1">星期日期和周+DATE(CalendarYear,12,1)-WEEKDAY(DATE(CalendarYear,12,1),(周开始日期="一")+1)+29</f>
        <v>43458</v>
      </c>
      <c r="C12" s="12">
        <f ca="1"/>
        <v>43459</v>
      </c>
      <c r="D12" s="12">
        <f ca="1"/>
        <v>43460</v>
      </c>
      <c r="E12" s="12">
        <f ca="1"/>
        <v>43461</v>
      </c>
      <c r="F12" s="12">
        <f ca="1"/>
        <v>43462</v>
      </c>
      <c r="G12" s="12">
        <f ca="1"/>
        <v>43463</v>
      </c>
      <c r="H12" s="12">
        <f ca="1"/>
        <v>43464</v>
      </c>
      <c r="J12" s="110"/>
      <c r="K12" s="111"/>
      <c r="L12" s="111"/>
      <c r="M12" s="112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13"/>
      <c r="K13" s="114"/>
      <c r="L13" s="114"/>
      <c r="M13" s="115"/>
    </row>
    <row r="14" spans="2:13" ht="15" customHeight="1" x14ac:dyDescent="0.45">
      <c r="B14" s="12">
        <f t="array" aca="1" ref="B14:H14" ca="1">星期日期和周+DATE(CalendarYear,12,1)-WEEKDAY(DATE(CalendarYear,12,1),(周开始日期="一")+1)+36</f>
        <v>43465</v>
      </c>
      <c r="C14" s="12">
        <f ca="1"/>
        <v>43466</v>
      </c>
      <c r="D14" s="12">
        <f ca="1"/>
        <v>43467</v>
      </c>
      <c r="E14" s="12">
        <f ca="1"/>
        <v>43468</v>
      </c>
      <c r="F14" s="12">
        <f ca="1"/>
        <v>43469</v>
      </c>
      <c r="G14" s="12">
        <f ca="1"/>
        <v>43470</v>
      </c>
      <c r="H14" s="12">
        <f ca="1"/>
        <v>43471</v>
      </c>
      <c r="J14" s="110"/>
      <c r="K14" s="111"/>
      <c r="L14" s="111"/>
      <c r="M14" s="112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13"/>
      <c r="K15" s="114"/>
      <c r="L15" s="114"/>
      <c r="M15" s="115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8">
    <dataValidation allowBlank="1" showInputMessage="1" prompt="对此工作表中的十二月进行规划。转到上月和下月的导航链接分别位于 C1 和 D1 " sqref="A1" xr:uid="{00000000-0002-0000-1200-000000000000}"/>
    <dataValidation allowBlank="1" showInputMessage="1" prompt="返回“一月”工作表的导航链接" sqref="D1" xr:uid="{00000000-0002-0000-1200-000001000000}"/>
    <dataValidation allowBlank="1" showInputMessage="1" prompt="转到上月的导航链接" sqref="C1" xr:uid="{00000000-0002-0000-1200-000002000000}"/>
    <dataValidation allowBlank="1" showInputMessage="1" prompt="在列 B 到列 H 的第 5、7、9、11、13 和 15 行中输入每日备注" sqref="B5" xr:uid="{00000000-0002-0000-1200-000003000000}"/>
    <dataValidation allowBlank="1" showInputMessage="1" prompt="第 4、6、8、10、12 和 14 行包括月份日期，含上月和下月日期（如适用）" sqref="B4" xr:uid="{00000000-0002-0000-1200-000004000000}"/>
    <dataValidation allowBlank="1" showInputMessage="1" prompt="日历年由在“一月”工作表的 C2 中设置的年份自动确定" sqref="B1" xr:uid="{00000000-0002-0000-1200-000005000000}"/>
    <dataValidation allowBlank="1" showInputMessage="1" prompt="自动确定一周的开始日期。若要更改工作日，请在“一月”工作表的 E2 中选择一周的新开始日期" sqref="B3" xr:uid="{00000000-0002-0000-1200-000006000000}"/>
    <dataValidation allowBlank="1" showInputMessage="1" prompt="自动确定工作日" sqref="C3:H3" xr:uid="{00000000-0002-0000-1200-000007000000}"/>
  </dataValidations>
  <hyperlinks>
    <hyperlink ref="C1" location="十一月!A1" tooltip="转到上月的导航链接" display="&lt;- 十一月" xr:uid="{00000000-0004-0000-1200-000000000000}"/>
    <hyperlink ref="D1" location="一月!A1" tooltip="返回一月的导航链接" display="一月 -&gt;" xr:uid="{00000000-0004-0000-12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21</vt:i4>
      </vt:variant>
      <vt:variant>
        <vt:lpstr>命名范围</vt:lpstr>
      </vt:variant>
      <vt:variant>
        <vt:i4>3</vt:i4>
      </vt:variant>
    </vt:vector>
  </HeadingPairs>
  <TitlesOfParts>
    <vt:vector size="24" baseType="lpstr">
      <vt:lpstr>年度计划</vt:lpstr>
      <vt:lpstr>财报2.0</vt:lpstr>
      <vt:lpstr>财报3.0</vt:lpstr>
      <vt:lpstr>1月</vt:lpstr>
      <vt:lpstr>2月</vt:lpstr>
      <vt:lpstr>3月</vt:lpstr>
      <vt:lpstr>4月</vt:lpstr>
      <vt:lpstr>5月</vt:lpstr>
      <vt:lpstr>6月</vt:lpstr>
      <vt:lpstr>7月 </vt:lpstr>
      <vt:lpstr>8月</vt:lpstr>
      <vt:lpstr>9月</vt:lpstr>
      <vt:lpstr>10月 </vt:lpstr>
      <vt:lpstr>11月</vt:lpstr>
      <vt:lpstr>12月 </vt:lpstr>
      <vt:lpstr>七月</vt:lpstr>
      <vt:lpstr>八月</vt:lpstr>
      <vt:lpstr>九月</vt:lpstr>
      <vt:lpstr>十月</vt:lpstr>
      <vt:lpstr>十一月</vt:lpstr>
      <vt:lpstr>十二月</vt:lpstr>
      <vt:lpstr>CalendarYear</vt:lpstr>
      <vt:lpstr>Print_Area</vt:lpstr>
      <vt:lpstr>周开始日期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2018-10-15T13:14:22Z</dcterms:modified>
</cp:coreProperties>
</file>