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Vanguard EU/"/>
    </mc:Choice>
  </mc:AlternateContent>
  <xr:revisionPtr revIDLastSave="38" documentId="13_ncr:1_{7B131C08-B69E-4820-8C4F-428D00071D8B}" xr6:coauthVersionLast="47" xr6:coauthVersionMax="47" xr10:uidLastSave="{C1CB738C-E392-419C-84C2-4BA8EFF99380}"/>
  <bookViews>
    <workbookView xWindow="-120" yWindow="-120" windowWidth="51840" windowHeight="21240" xr2:uid="{00000000-000D-0000-FFFF-FFFF00000000}"/>
  </bookViews>
  <sheets>
    <sheet name="Global" sheetId="15" r:id="rId1"/>
    <sheet name="Emerging Markets" sheetId="16" r:id="rId2"/>
    <sheet name="Global Small-Cap" sheetId="19" r:id="rId3"/>
    <sheet name="TD" sheetId="14" r:id="rId4"/>
    <sheet name="DividendLek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9" l="1"/>
  <c r="K16" i="19"/>
  <c r="K16" i="16"/>
  <c r="K16" i="15"/>
  <c r="I16" i="19" l="1"/>
  <c r="I16" i="15"/>
  <c r="C41" i="19" l="1"/>
  <c r="C41" i="15"/>
  <c r="C40" i="19"/>
  <c r="C40" i="15" l="1"/>
  <c r="H6" i="19" l="1"/>
  <c r="H6" i="16"/>
  <c r="H6" i="15"/>
  <c r="E18" i="19" l="1"/>
  <c r="F18" i="19"/>
  <c r="G18" i="19"/>
  <c r="H18" i="19"/>
  <c r="D18" i="19"/>
  <c r="L65" i="14"/>
  <c r="K64" i="14"/>
  <c r="L57" i="14"/>
  <c r="K56" i="14"/>
  <c r="L50" i="14"/>
  <c r="K49" i="14"/>
  <c r="L45" i="14"/>
  <c r="K44" i="14"/>
  <c r="K37" i="14"/>
  <c r="K33" i="14"/>
  <c r="L6" i="14"/>
  <c r="K5" i="14"/>
  <c r="I45" i="14"/>
  <c r="H45" i="14"/>
  <c r="G45" i="14"/>
  <c r="F45" i="14"/>
  <c r="E45" i="14"/>
  <c r="D45" i="14"/>
  <c r="I44" i="14"/>
  <c r="H44" i="14"/>
  <c r="G44" i="14"/>
  <c r="F44" i="14"/>
  <c r="E44" i="14"/>
  <c r="D44" i="14"/>
  <c r="E57" i="14"/>
  <c r="F57" i="14"/>
  <c r="G57" i="14"/>
  <c r="H57" i="14"/>
  <c r="I57" i="14"/>
  <c r="D57" i="14"/>
  <c r="E60" i="14"/>
  <c r="F60" i="14"/>
  <c r="F56" i="14" s="1"/>
  <c r="G60" i="14"/>
  <c r="G56" i="14" s="1"/>
  <c r="H60" i="14"/>
  <c r="H56" i="14" s="1"/>
  <c r="I60" i="14"/>
  <c r="D60" i="14"/>
  <c r="D56" i="14" l="1"/>
  <c r="I56" i="14"/>
  <c r="E56" i="14"/>
  <c r="I18" i="15" l="1"/>
  <c r="E18" i="15" l="1"/>
  <c r="F18" i="15"/>
  <c r="G18" i="15"/>
  <c r="H18" i="15"/>
  <c r="D18" i="15"/>
  <c r="E22" i="14"/>
  <c r="F22" i="14"/>
  <c r="G22" i="14"/>
  <c r="H22" i="14"/>
  <c r="I22" i="14"/>
  <c r="D22" i="14"/>
  <c r="E23" i="14"/>
  <c r="F23" i="14"/>
  <c r="G23" i="14"/>
  <c r="H23" i="14"/>
  <c r="I23" i="14"/>
  <c r="D23" i="14"/>
  <c r="I31" i="19" l="1"/>
  <c r="I22" i="19"/>
  <c r="I17" i="19"/>
  <c r="I12" i="19"/>
  <c r="I6" i="19"/>
  <c r="C36" i="19" s="1"/>
  <c r="I6" i="16"/>
  <c r="E63" i="14"/>
  <c r="F63" i="14"/>
  <c r="G63" i="14"/>
  <c r="H63" i="14"/>
  <c r="I63" i="14"/>
  <c r="E48" i="14"/>
  <c r="F48" i="14"/>
  <c r="G48" i="14"/>
  <c r="H48" i="14"/>
  <c r="I48" i="14"/>
  <c r="I36" i="14"/>
  <c r="I37" i="14" s="1"/>
  <c r="E36" i="14"/>
  <c r="E37" i="14" s="1"/>
  <c r="F36" i="14"/>
  <c r="F37" i="14" s="1"/>
  <c r="G36" i="14"/>
  <c r="G37" i="14" s="1"/>
  <c r="H36" i="14"/>
  <c r="H37" i="14" s="1"/>
  <c r="E25" i="14"/>
  <c r="E26" i="14" s="1"/>
  <c r="F25" i="14"/>
  <c r="F26" i="14" s="1"/>
  <c r="G25" i="14"/>
  <c r="G27" i="14" s="1"/>
  <c r="H25" i="14"/>
  <c r="H27" i="14" s="1"/>
  <c r="I25" i="14"/>
  <c r="I26" i="14" s="1"/>
  <c r="D63" i="14"/>
  <c r="D48" i="14"/>
  <c r="D36" i="14"/>
  <c r="D37" i="14" s="1"/>
  <c r="D25" i="14"/>
  <c r="D26" i="14" s="1"/>
  <c r="I33" i="14"/>
  <c r="H33" i="14"/>
  <c r="G33" i="14"/>
  <c r="F33" i="14"/>
  <c r="E33" i="14"/>
  <c r="D33" i="14"/>
  <c r="I19" i="14"/>
  <c r="H19" i="14"/>
  <c r="G19" i="14"/>
  <c r="F19" i="14"/>
  <c r="E19" i="14"/>
  <c r="D19" i="14"/>
  <c r="I18" i="14"/>
  <c r="H18" i="14"/>
  <c r="G18" i="14"/>
  <c r="F18" i="14"/>
  <c r="E18" i="14"/>
  <c r="D18" i="14"/>
  <c r="G49" i="14" l="1"/>
  <c r="G50" i="14"/>
  <c r="F50" i="14"/>
  <c r="F49" i="14"/>
  <c r="H50" i="14"/>
  <c r="H49" i="14"/>
  <c r="D49" i="14"/>
  <c r="D50" i="14"/>
  <c r="I50" i="14"/>
  <c r="I49" i="14"/>
  <c r="E50" i="14"/>
  <c r="E49" i="14"/>
  <c r="K18" i="14"/>
  <c r="C37" i="16" s="1"/>
  <c r="C37" i="19"/>
  <c r="G65" i="14"/>
  <c r="G64" i="14"/>
  <c r="F65" i="14"/>
  <c r="F64" i="14"/>
  <c r="D65" i="14"/>
  <c r="D64" i="14"/>
  <c r="I65" i="14"/>
  <c r="I64" i="14"/>
  <c r="E65" i="14"/>
  <c r="E64" i="14"/>
  <c r="H65" i="14"/>
  <c r="H64" i="14"/>
  <c r="H26" i="14"/>
  <c r="E27" i="14"/>
  <c r="F27" i="14"/>
  <c r="L19" i="14"/>
  <c r="D27" i="14"/>
  <c r="I27" i="14"/>
  <c r="G26" i="14"/>
  <c r="K26" i="14" l="1"/>
  <c r="L27" i="14"/>
  <c r="I31" i="15"/>
  <c r="I28" i="15"/>
  <c r="I22" i="15"/>
  <c r="I17" i="15"/>
  <c r="I12" i="15"/>
  <c r="I6" i="15"/>
  <c r="C36" i="15" s="1"/>
  <c r="E25" i="16" l="1"/>
  <c r="F25" i="16"/>
  <c r="G25" i="16"/>
  <c r="H25" i="16"/>
  <c r="D16" i="16"/>
  <c r="E16" i="16"/>
  <c r="F16" i="16"/>
  <c r="G16" i="16"/>
  <c r="H16" i="16"/>
  <c r="H12" i="16"/>
  <c r="D11" i="16"/>
  <c r="E11" i="16"/>
  <c r="E12" i="16" s="1"/>
  <c r="F11" i="16"/>
  <c r="G11" i="16"/>
  <c r="G12" i="16" s="1"/>
  <c r="H11" i="16"/>
  <c r="E7" i="16"/>
  <c r="E18" i="16" s="1"/>
  <c r="F7" i="16"/>
  <c r="F18" i="16" s="1"/>
  <c r="G7" i="16"/>
  <c r="G18" i="16" s="1"/>
  <c r="H7" i="16"/>
  <c r="H18" i="16" s="1"/>
  <c r="E31" i="15"/>
  <c r="F31" i="15"/>
  <c r="G31" i="15"/>
  <c r="H31" i="15"/>
  <c r="E28" i="15"/>
  <c r="F28" i="15"/>
  <c r="G28" i="15"/>
  <c r="H28" i="15"/>
  <c r="E25" i="15"/>
  <c r="F25" i="15"/>
  <c r="G25" i="15"/>
  <c r="H25" i="15"/>
  <c r="E22" i="15"/>
  <c r="F22" i="15"/>
  <c r="G22" i="15"/>
  <c r="H22" i="15"/>
  <c r="E17" i="15"/>
  <c r="F17" i="15"/>
  <c r="G17" i="15"/>
  <c r="H17" i="15"/>
  <c r="D16" i="15"/>
  <c r="E16" i="15"/>
  <c r="F16" i="15"/>
  <c r="G16" i="15"/>
  <c r="H16" i="15"/>
  <c r="E12" i="15"/>
  <c r="F12" i="15"/>
  <c r="G12" i="15"/>
  <c r="H12" i="15"/>
  <c r="F11" i="15"/>
  <c r="G11" i="15"/>
  <c r="H11" i="15"/>
  <c r="E7" i="15"/>
  <c r="F7" i="15"/>
  <c r="G7" i="15"/>
  <c r="H7" i="15"/>
  <c r="D25" i="15"/>
  <c r="E25" i="19"/>
  <c r="F25" i="19"/>
  <c r="G25" i="19"/>
  <c r="H25" i="19"/>
  <c r="D25" i="19"/>
  <c r="D25" i="16"/>
  <c r="H17" i="16" l="1"/>
  <c r="H22" i="16"/>
  <c r="H28" i="16"/>
  <c r="C41" i="16" s="1"/>
  <c r="H31" i="16"/>
  <c r="F12" i="16"/>
  <c r="G17" i="16"/>
  <c r="G22" i="16"/>
  <c r="G28" i="16"/>
  <c r="G31" i="16"/>
  <c r="F17" i="16"/>
  <c r="F22" i="16"/>
  <c r="F28" i="16"/>
  <c r="F31" i="16"/>
  <c r="I16" i="16"/>
  <c r="E17" i="16"/>
  <c r="E22" i="16"/>
  <c r="E28" i="16"/>
  <c r="E31" i="16"/>
  <c r="H16" i="19"/>
  <c r="G16" i="19"/>
  <c r="F16" i="19"/>
  <c r="E16" i="19"/>
  <c r="D16" i="19"/>
  <c r="C16" i="19"/>
  <c r="H11" i="19"/>
  <c r="G11" i="19"/>
  <c r="F11" i="19"/>
  <c r="E11" i="19"/>
  <c r="D11" i="19"/>
  <c r="C11" i="19"/>
  <c r="H7" i="19"/>
  <c r="H17" i="19" s="1"/>
  <c r="G7" i="19"/>
  <c r="G31" i="19" s="1"/>
  <c r="F7" i="19"/>
  <c r="F17" i="19" s="1"/>
  <c r="E7" i="19"/>
  <c r="E28" i="19" s="1"/>
  <c r="D7" i="19"/>
  <c r="D17" i="19" s="1"/>
  <c r="F12" i="19" l="1"/>
  <c r="F31" i="19"/>
  <c r="G12" i="19"/>
  <c r="F28" i="19"/>
  <c r="H31" i="19"/>
  <c r="F22" i="19"/>
  <c r="H28" i="19"/>
  <c r="H22" i="19"/>
  <c r="D22" i="19"/>
  <c r="D31" i="19"/>
  <c r="E17" i="19"/>
  <c r="E22" i="19"/>
  <c r="G28" i="19"/>
  <c r="E31" i="19"/>
  <c r="D28" i="19"/>
  <c r="E12" i="19"/>
  <c r="G17" i="19"/>
  <c r="D12" i="19"/>
  <c r="H12" i="19"/>
  <c r="G22" i="19"/>
  <c r="C38" i="19"/>
  <c r="C16" i="16"/>
  <c r="C11" i="16"/>
  <c r="D7" i="16"/>
  <c r="D18" i="16" l="1"/>
  <c r="D31" i="16"/>
  <c r="I31" i="16" s="1"/>
  <c r="D28" i="16"/>
  <c r="I28" i="16" s="1"/>
  <c r="C43" i="19"/>
  <c r="C44" i="19" s="1"/>
  <c r="D17" i="16"/>
  <c r="I17" i="16" s="1"/>
  <c r="D12" i="16"/>
  <c r="I12" i="16" s="1"/>
  <c r="D22" i="16"/>
  <c r="I22" i="16" s="1"/>
  <c r="C40" i="16" l="1"/>
  <c r="C36" i="16"/>
  <c r="C38" i="16" s="1"/>
  <c r="C16" i="15"/>
  <c r="C43" i="16" l="1"/>
  <c r="C44" i="16" s="1"/>
  <c r="E11" i="15"/>
  <c r="D11" i="15"/>
  <c r="C11" i="15"/>
  <c r="D7" i="15"/>
  <c r="D22" i="15" l="1"/>
  <c r="D17" i="15"/>
  <c r="D28" i="15"/>
  <c r="D31" i="15"/>
  <c r="D12" i="15"/>
  <c r="H25" i="8" l="1"/>
  <c r="G25" i="8"/>
  <c r="C43" i="15" l="1"/>
  <c r="E9" i="14"/>
  <c r="E11" i="14" s="1"/>
  <c r="F9" i="14"/>
  <c r="F11" i="14" s="1"/>
  <c r="G9" i="14"/>
  <c r="G11" i="14" s="1"/>
  <c r="H9" i="14"/>
  <c r="H10" i="14" s="1"/>
  <c r="I9" i="14"/>
  <c r="I11" i="14" s="1"/>
  <c r="D9" i="14"/>
  <c r="D11" i="14" s="1"/>
  <c r="E10" i="14" l="1"/>
  <c r="I10" i="14"/>
  <c r="G10" i="14"/>
  <c r="D10" i="14"/>
  <c r="F10" i="14"/>
  <c r="H11" i="14"/>
  <c r="L11" i="14" s="1"/>
  <c r="E6" i="14"/>
  <c r="F6" i="14"/>
  <c r="G6" i="14"/>
  <c r="H6" i="14"/>
  <c r="I6" i="14"/>
  <c r="D6" i="14"/>
  <c r="E5" i="14"/>
  <c r="F5" i="14"/>
  <c r="G5" i="14"/>
  <c r="H5" i="14"/>
  <c r="I5" i="14"/>
  <c r="D5" i="14"/>
  <c r="K10" i="14" l="1"/>
  <c r="C37" i="15" s="1"/>
  <c r="C38" i="15" l="1"/>
  <c r="C44" i="15" l="1"/>
  <c r="D23" i="8" l="1"/>
  <c r="E23" i="8"/>
  <c r="F23" i="8"/>
  <c r="G23" i="8"/>
  <c r="H23" i="8"/>
  <c r="C23" i="8"/>
  <c r="I23" i="8" l="1"/>
  <c r="D17" i="8"/>
  <c r="E17" i="8"/>
  <c r="F17" i="8"/>
  <c r="G17" i="8"/>
  <c r="H17" i="8"/>
  <c r="C17" i="8"/>
  <c r="D11" i="8"/>
  <c r="E11" i="8"/>
  <c r="F11" i="8"/>
  <c r="G11" i="8"/>
  <c r="H11" i="8"/>
  <c r="C11" i="8"/>
  <c r="D5" i="8"/>
  <c r="E5" i="8"/>
  <c r="F5" i="8"/>
  <c r="G5" i="8"/>
  <c r="H5" i="8"/>
  <c r="C5" i="8"/>
  <c r="I17" i="8" l="1"/>
  <c r="I5" i="8"/>
  <c r="I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B60" authorId="0" shapeId="0" xr:uid="{2DE9C68C-63FF-4C11-9C04-C900C41C37F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https://www.spglobal.com/spdji/en/indices/equity/sp-500/#overview
Total return EUR</t>
        </r>
      </text>
    </comment>
  </commentList>
</comments>
</file>

<file path=xl/sharedStrings.xml><?xml version="1.0" encoding="utf-8"?>
<sst xmlns="http://schemas.openxmlformats.org/spreadsheetml/2006/main" count="193" uniqueCount="90">
  <si>
    <t>Foreign Withholding Tax</t>
  </si>
  <si>
    <t>gemiddeld</t>
  </si>
  <si>
    <t>Dividends</t>
  </si>
  <si>
    <t>Global Small-Cap Index Fund</t>
  </si>
  <si>
    <t>Emerging Markets Stock Index Fund</t>
  </si>
  <si>
    <t>Global Stock Index Fund</t>
  </si>
  <si>
    <t>Belasting lek</t>
  </si>
  <si>
    <t>U.S. 500 Stock Index Fund</t>
  </si>
  <si>
    <t>%</t>
  </si>
  <si>
    <t>TD</t>
  </si>
  <si>
    <t>Vs gross</t>
  </si>
  <si>
    <t>Vs net</t>
  </si>
  <si>
    <t>OPNI</t>
  </si>
  <si>
    <t>MSCI World Index gross EUR</t>
  </si>
  <si>
    <t>MSCI World Index Net EUR</t>
  </si>
  <si>
    <t>Vanguard Global Stock Index Fund - Inst plus</t>
  </si>
  <si>
    <t>Global stock unswung nav</t>
  </si>
  <si>
    <t>Global stock unswung nav perf</t>
  </si>
  <si>
    <t>SRI Global Stock</t>
  </si>
  <si>
    <t>Gemiddelde</t>
  </si>
  <si>
    <t>Net asset value einde boekjaar</t>
  </si>
  <si>
    <t>TER gemeld</t>
  </si>
  <si>
    <t>Gemiddeld vermogen</t>
  </si>
  <si>
    <t>Rente</t>
  </si>
  <si>
    <t>Overige inkomsten</t>
  </si>
  <si>
    <t>Rente en overig inkomsten</t>
  </si>
  <si>
    <t>Dividend income</t>
  </si>
  <si>
    <t>Dividend lek</t>
  </si>
  <si>
    <t>% dividend lek</t>
  </si>
  <si>
    <t>Interest expense</t>
  </si>
  <si>
    <t>Other expenses</t>
  </si>
  <si>
    <t>Secuties lended</t>
  </si>
  <si>
    <t>Securities lending income</t>
  </si>
  <si>
    <t>% lending income</t>
  </si>
  <si>
    <t>Transaction Fees and Commissions</t>
  </si>
  <si>
    <t>% transactie kosten</t>
  </si>
  <si>
    <t>Derivaten</t>
  </si>
  <si>
    <t>Kosten benadering verleden</t>
  </si>
  <si>
    <t>Tracking difference</t>
  </si>
  <si>
    <t>Gat</t>
  </si>
  <si>
    <t>Schatting kosten toekomst</t>
  </si>
  <si>
    <t>Kosten toekomst zonder lek</t>
  </si>
  <si>
    <t>Kosten verschil toekomst en heden</t>
  </si>
  <si>
    <t>Schatting toekomst tracking diff</t>
  </si>
  <si>
    <t>08-1998 gestart</t>
  </si>
  <si>
    <t>0,01% transaction costs</t>
  </si>
  <si>
    <t>06-2006 gestart</t>
  </si>
  <si>
    <t>12-2009 gestart</t>
  </si>
  <si>
    <t>Vanguard Global Small-Cap Index Fund - Institutional Plus EUR Acc</t>
  </si>
  <si>
    <t>Vanguard Emerging Markets Stock Index Fund - Institutional Plus EUR Acc</t>
  </si>
  <si>
    <t>Vanguard Global Stock Index Fund - Institutional Plus EUR Acc</t>
  </si>
  <si>
    <t>Rente inkomsten</t>
  </si>
  <si>
    <t>Lagere kosten vanaf 23-10-2019 (0,11%)</t>
  </si>
  <si>
    <t>2015-2019</t>
  </si>
  <si>
    <t>MSCI Emerging Markets Index Gross EUR</t>
  </si>
  <si>
    <t>MSCI Emerging Markets Index Net EUR</t>
  </si>
  <si>
    <t>Vanguard Emerging Markets Stock Index Fund - Inst plus</t>
  </si>
  <si>
    <t>Emerging Markets unswung nav</t>
  </si>
  <si>
    <t>Emerging Markets unswung nav perf</t>
  </si>
  <si>
    <t>Vanguard Global Small-Cap Index Fund - Rabo</t>
  </si>
  <si>
    <t>MSCI WORLD SMALL CAP INDEX (EUR) GROSS</t>
  </si>
  <si>
    <t>Small-Cap unswung nav</t>
  </si>
  <si>
    <t>Small-Cap unswung nav perf</t>
  </si>
  <si>
    <t>U.S. 500 unswung nav</t>
  </si>
  <si>
    <t>U.S. 500 unswung nav perf</t>
  </si>
  <si>
    <t>European Stock unswung nav</t>
  </si>
  <si>
    <t>European Stock unswung nav perf</t>
  </si>
  <si>
    <t>Lagere kosten vanaf 23-10-2019 (0,16%)</t>
  </si>
  <si>
    <t>Lagere kosten vanaf 23-10-2019 (0,24%)</t>
  </si>
  <si>
    <t>Emerging Markets swung nav</t>
  </si>
  <si>
    <t>Emerging Markets swung nav perf</t>
  </si>
  <si>
    <t>swing</t>
  </si>
  <si>
    <t>S&amp;P500 gross</t>
  </si>
  <si>
    <t>S&amp;P500 gross perf</t>
  </si>
  <si>
    <t>U.S. 500 swung perf</t>
  </si>
  <si>
    <t>S&amp;P 500 index net eur</t>
  </si>
  <si>
    <t>European Stock Index Fund - Institutional Plus EUR Acc</t>
  </si>
  <si>
    <t>MSCI Europe Index Net Eur</t>
  </si>
  <si>
    <t>MSCI Europe Index Gross Eur</t>
  </si>
  <si>
    <t>% dividend</t>
  </si>
  <si>
    <t>MiFiD https://global.vanguard.com/portal/site/loadPDF?country=global&amp;docId=15835</t>
  </si>
  <si>
    <t>iets lager in echt, maar ws afronding</t>
  </si>
  <si>
    <t>0,02% transaction costs</t>
  </si>
  <si>
    <t>vreemd, laatste jaren meestal hoger</t>
  </si>
  <si>
    <t>Staan ook overdraft kosten, maar die zie ik niet.</t>
  </si>
  <si>
    <t>0,05% transaction costs</t>
  </si>
  <si>
    <t>vreemd, laatste jaren meestal lager</t>
  </si>
  <si>
    <t>Jaarverslag: "Securities lending revenue is net of any lending agent fees paid."</t>
  </si>
  <si>
    <t>Hier wordt gehint naar optimized in het jaarverslag</t>
  </si>
  <si>
    <t>Zal wel lending fees zijn, maar die worden verrekend met lending inkomsten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</si>
</sst>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00%"/>
    <numFmt numFmtId="165" formatCode="0.0%"/>
    <numFmt numFmtId="166" formatCode="_ * #,##0_ ;_ * \-#,##0_ ;_ * &quot;-&quot;??_ ;_ @_ "/>
    <numFmt numFmtId="167" formatCode="_ &quot;€&quot;\ * #,##0_ ;_ &quot;€&quot;\ * \-#,##0_ ;_ &quot;€&quot;\ * &quot;-&quot;??_ ;_ @_ "/>
    <numFmt numFmtId="168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9" fontId="0" fillId="0" borderId="0" xfId="1" applyNumberFormat="1" applyFont="1"/>
    <xf numFmtId="0" fontId="2" fillId="3" borderId="0" xfId="0" applyFont="1" applyFill="1"/>
    <xf numFmtId="0" fontId="0" fillId="3" borderId="0" xfId="0" applyFill="1"/>
    <xf numFmtId="166" fontId="1" fillId="0" borderId="0" xfId="2" applyNumberFormat="1" applyFont="1" applyFill="1"/>
    <xf numFmtId="166" fontId="0" fillId="0" borderId="0" xfId="2" applyNumberFormat="1" applyFont="1" applyFill="1"/>
    <xf numFmtId="10" fontId="1" fillId="0" borderId="0" xfId="1" applyNumberFormat="1" applyFont="1" applyFill="1"/>
    <xf numFmtId="164" fontId="1" fillId="0" borderId="0" xfId="1" applyNumberFormat="1" applyFont="1" applyFill="1"/>
    <xf numFmtId="10" fontId="0" fillId="0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167" fontId="0" fillId="0" borderId="0" xfId="3" applyNumberFormat="1" applyFont="1" applyFill="1"/>
    <xf numFmtId="167" fontId="1" fillId="0" borderId="0" xfId="3" applyNumberFormat="1" applyFont="1" applyFill="1"/>
    <xf numFmtId="164" fontId="2" fillId="0" borderId="0" xfId="0" applyNumberFormat="1" applyFont="1"/>
    <xf numFmtId="10" fontId="2" fillId="0" borderId="0" xfId="0" applyNumberFormat="1" applyFont="1"/>
    <xf numFmtId="166" fontId="2" fillId="0" borderId="0" xfId="2" applyNumberFormat="1" applyFont="1" applyFill="1"/>
    <xf numFmtId="166" fontId="2" fillId="0" borderId="0" xfId="2" applyNumberFormat="1" applyFont="1"/>
    <xf numFmtId="165" fontId="1" fillId="0" borderId="0" xfId="1" applyNumberFormat="1" applyFont="1" applyFill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2" fontId="4" fillId="0" borderId="0" xfId="0" applyNumberFormat="1" applyFont="1" applyAlignment="1">
      <alignment horizontal="right"/>
    </xf>
    <xf numFmtId="168" fontId="0" fillId="0" borderId="0" xfId="1" applyNumberFormat="1" applyFont="1" applyFill="1"/>
    <xf numFmtId="168" fontId="0" fillId="0" borderId="0" xfId="0" applyNumberFormat="1"/>
    <xf numFmtId="14" fontId="0" fillId="0" borderId="0" xfId="0" applyNumberFormat="1"/>
    <xf numFmtId="0" fontId="0" fillId="0" borderId="0" xfId="0" applyFill="1"/>
  </cellXfs>
  <cellStyles count="4"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93AA-DB05-4484-89F4-1CEE925F543D}">
  <dimension ref="B2:N45"/>
  <sheetViews>
    <sheetView tabSelected="1" zoomScaleNormal="100" workbookViewId="0"/>
  </sheetViews>
  <sheetFormatPr defaultRowHeight="15" x14ac:dyDescent="0.25"/>
  <cols>
    <col min="2" max="2" width="38.42578125" customWidth="1"/>
    <col min="3" max="3" width="16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9" width="12.140625" bestFit="1" customWidth="1"/>
    <col min="14" max="14" width="10.42578125" bestFit="1" customWidth="1"/>
  </cols>
  <sheetData>
    <row r="2" spans="2:14" x14ac:dyDescent="0.25">
      <c r="B2" s="20" t="s">
        <v>50</v>
      </c>
      <c r="C2" s="21"/>
      <c r="D2" s="21"/>
      <c r="E2" s="21"/>
      <c r="F2" s="21"/>
      <c r="G2" s="21"/>
      <c r="H2" s="21"/>
      <c r="I2" s="21"/>
    </row>
    <row r="3" spans="2:14" x14ac:dyDescent="0.25">
      <c r="B3" t="s">
        <v>44</v>
      </c>
    </row>
    <row r="4" spans="2:14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 t="s">
        <v>19</v>
      </c>
      <c r="L4" t="s">
        <v>80</v>
      </c>
    </row>
    <row r="5" spans="2:14" x14ac:dyDescent="0.25">
      <c r="B5" t="s">
        <v>20</v>
      </c>
      <c r="C5" s="33">
        <v>9274025364</v>
      </c>
      <c r="D5" s="33">
        <v>8619012489</v>
      </c>
      <c r="E5" s="33">
        <v>8948766513</v>
      </c>
      <c r="F5" s="33">
        <v>10912712246</v>
      </c>
      <c r="G5" s="33">
        <v>9962224481</v>
      </c>
      <c r="H5" s="33">
        <v>11490325356</v>
      </c>
      <c r="I5" s="1"/>
      <c r="L5" t="s">
        <v>45</v>
      </c>
    </row>
    <row r="6" spans="2:14" x14ac:dyDescent="0.25">
      <c r="B6" t="s">
        <v>21</v>
      </c>
      <c r="C6" s="5">
        <v>1.5E-3</v>
      </c>
      <c r="D6" s="5">
        <v>1.5E-3</v>
      </c>
      <c r="E6" s="5">
        <v>1.5E-3</v>
      </c>
      <c r="F6" s="5">
        <v>1.5E-3</v>
      </c>
      <c r="G6" s="5">
        <v>1.5E-3</v>
      </c>
      <c r="H6" s="24">
        <f>(0.15%*(295/365))+(0.11%*(70/365))</f>
        <v>1.4232876712328769E-3</v>
      </c>
      <c r="I6" s="5">
        <f>AVERAGE(D6:H6)</f>
        <v>1.4846575342465755E-3</v>
      </c>
      <c r="L6" t="s">
        <v>81</v>
      </c>
    </row>
    <row r="7" spans="2:14" x14ac:dyDescent="0.25">
      <c r="B7" t="s">
        <v>22</v>
      </c>
      <c r="C7" s="22"/>
      <c r="D7" s="22">
        <f>(C5+D5)/2</f>
        <v>8946518926.5</v>
      </c>
      <c r="E7" s="22">
        <f t="shared" ref="E7:H7" si="0">(D5+E5)/2</f>
        <v>8783889501</v>
      </c>
      <c r="F7" s="22">
        <f t="shared" si="0"/>
        <v>9930739379.5</v>
      </c>
      <c r="G7" s="22">
        <f t="shared" si="0"/>
        <v>10437468363.5</v>
      </c>
      <c r="H7" s="22">
        <f t="shared" si="0"/>
        <v>10726274918.5</v>
      </c>
      <c r="I7" s="5"/>
    </row>
    <row r="8" spans="2:14" x14ac:dyDescent="0.25">
      <c r="C8" s="23"/>
      <c r="D8" s="23"/>
      <c r="E8" s="23"/>
      <c r="F8" s="23"/>
      <c r="G8" s="23"/>
      <c r="H8" s="23"/>
      <c r="I8" s="5"/>
      <c r="L8" s="43" t="s">
        <v>52</v>
      </c>
    </row>
    <row r="9" spans="2:14" x14ac:dyDescent="0.25">
      <c r="B9" t="s">
        <v>23</v>
      </c>
      <c r="C9" s="23">
        <v>0</v>
      </c>
      <c r="D9" s="23">
        <v>0</v>
      </c>
      <c r="E9" s="33">
        <v>342410</v>
      </c>
      <c r="F9" s="33">
        <v>316085</v>
      </c>
      <c r="G9" s="33">
        <v>1248442</v>
      </c>
      <c r="H9" s="33">
        <v>942008</v>
      </c>
      <c r="I9" s="5"/>
    </row>
    <row r="10" spans="2:14" x14ac:dyDescent="0.25">
      <c r="B10" t="s">
        <v>24</v>
      </c>
      <c r="C10" s="22">
        <v>0</v>
      </c>
      <c r="D10" s="22">
        <v>0</v>
      </c>
      <c r="E10" s="33">
        <v>356711</v>
      </c>
      <c r="F10" s="33">
        <v>873267</v>
      </c>
      <c r="G10" s="33">
        <v>8200</v>
      </c>
      <c r="H10" s="23"/>
      <c r="I10" s="5"/>
    </row>
    <row r="11" spans="2:14" x14ac:dyDescent="0.25">
      <c r="B11" t="s">
        <v>25</v>
      </c>
      <c r="C11" s="22">
        <f>SUM(C9:C10)</f>
        <v>0</v>
      </c>
      <c r="D11" s="22">
        <f t="shared" ref="D11:H11" si="1">SUM(D9:D10)</f>
        <v>0</v>
      </c>
      <c r="E11" s="22">
        <f t="shared" si="1"/>
        <v>699121</v>
      </c>
      <c r="F11" s="22">
        <f t="shared" si="1"/>
        <v>1189352</v>
      </c>
      <c r="G11" s="22">
        <f t="shared" si="1"/>
        <v>1256642</v>
      </c>
      <c r="H11" s="22">
        <f t="shared" si="1"/>
        <v>942008</v>
      </c>
      <c r="I11" s="5"/>
    </row>
    <row r="12" spans="2:14" x14ac:dyDescent="0.25">
      <c r="B12" t="s">
        <v>8</v>
      </c>
      <c r="C12" s="25"/>
      <c r="D12" s="25">
        <f t="shared" ref="D12:H12" si="2">D11/D7</f>
        <v>0</v>
      </c>
      <c r="E12" s="25">
        <f t="shared" si="2"/>
        <v>7.9591279002360932E-5</v>
      </c>
      <c r="F12" s="25">
        <f t="shared" si="2"/>
        <v>1.1976469772786267E-4</v>
      </c>
      <c r="G12" s="25">
        <f t="shared" si="2"/>
        <v>1.2039720325232294E-4</v>
      </c>
      <c r="H12" s="25">
        <f t="shared" si="2"/>
        <v>8.7822473986312263E-5</v>
      </c>
      <c r="I12" s="4">
        <f>AVERAGE(D12:H12)</f>
        <v>8.1515130793771763E-5</v>
      </c>
    </row>
    <row r="13" spans="2:14" x14ac:dyDescent="0.25">
      <c r="C13" s="26"/>
      <c r="D13" s="26"/>
      <c r="E13" s="26"/>
      <c r="F13" s="26"/>
      <c r="G13" s="26"/>
      <c r="H13" s="26"/>
      <c r="I13" s="5"/>
    </row>
    <row r="14" spans="2:14" x14ac:dyDescent="0.25">
      <c r="B14" t="s">
        <v>26</v>
      </c>
      <c r="C14" s="34">
        <v>231880154</v>
      </c>
      <c r="D14" s="34">
        <v>226198931</v>
      </c>
      <c r="E14" s="34">
        <v>223222039</v>
      </c>
      <c r="F14" s="34">
        <v>245815818</v>
      </c>
      <c r="G14" s="34">
        <v>274768506</v>
      </c>
      <c r="H14" s="34">
        <v>281441122</v>
      </c>
      <c r="I14" s="5"/>
    </row>
    <row r="15" spans="2:14" x14ac:dyDescent="0.25">
      <c r="B15" t="s">
        <v>0</v>
      </c>
      <c r="C15" s="34">
        <v>39535737</v>
      </c>
      <c r="D15" s="34">
        <v>44341565</v>
      </c>
      <c r="E15" s="34">
        <v>41371984</v>
      </c>
      <c r="F15" s="34">
        <v>44756666</v>
      </c>
      <c r="G15" s="34">
        <v>49706758</v>
      </c>
      <c r="H15" s="34">
        <v>51221448</v>
      </c>
      <c r="I15" s="5"/>
      <c r="N15" s="42"/>
    </row>
    <row r="16" spans="2:14" x14ac:dyDescent="0.25">
      <c r="B16" t="s">
        <v>27</v>
      </c>
      <c r="C16" s="27">
        <f>C15/C14</f>
        <v>0.17050073634158444</v>
      </c>
      <c r="D16" s="27">
        <f t="shared" ref="D16:H16" si="3">D15/D14</f>
        <v>0.19602906523019775</v>
      </c>
      <c r="E16" s="27">
        <f t="shared" si="3"/>
        <v>0.18534005058523814</v>
      </c>
      <c r="F16" s="27">
        <f t="shared" si="3"/>
        <v>0.18207398679282713</v>
      </c>
      <c r="G16" s="27">
        <f t="shared" si="3"/>
        <v>0.18090413171297004</v>
      </c>
      <c r="H16" s="27">
        <f t="shared" si="3"/>
        <v>0.18199702884925253</v>
      </c>
      <c r="I16" s="5">
        <f>AVERAGE(D16:H16)</f>
        <v>0.18526885263409712</v>
      </c>
      <c r="K16" s="5">
        <f>AVERAGE(C16:H16)</f>
        <v>0.18280749991867837</v>
      </c>
      <c r="N16" s="42"/>
    </row>
    <row r="17" spans="2:14" x14ac:dyDescent="0.25">
      <c r="B17" t="s">
        <v>28</v>
      </c>
      <c r="C17" s="26"/>
      <c r="D17" s="26">
        <f t="shared" ref="D17:H17" si="4">D15/D7</f>
        <v>4.9562925383925859E-3</v>
      </c>
      <c r="E17" s="26">
        <f t="shared" si="4"/>
        <v>4.709984568372589E-3</v>
      </c>
      <c r="F17" s="26">
        <f t="shared" si="4"/>
        <v>4.5068815412063947E-3</v>
      </c>
      <c r="G17" s="26">
        <f t="shared" si="4"/>
        <v>4.7623385546082574E-3</v>
      </c>
      <c r="H17" s="26">
        <f t="shared" si="4"/>
        <v>4.7753249277301749E-3</v>
      </c>
      <c r="I17" s="5">
        <f>AVERAGE(D17:H17)</f>
        <v>4.742164426062E-3</v>
      </c>
    </row>
    <row r="18" spans="2:14" x14ac:dyDescent="0.25">
      <c r="B18" t="s">
        <v>79</v>
      </c>
      <c r="C18" s="26"/>
      <c r="D18" s="26">
        <f>D14/D7</f>
        <v>2.5283457494287346E-2</v>
      </c>
      <c r="E18" s="26">
        <f t="shared" ref="E18:H18" si="5">E14/E7</f>
        <v>2.5412664739758777E-2</v>
      </c>
      <c r="F18" s="26">
        <f t="shared" si="5"/>
        <v>2.4753022771641452E-2</v>
      </c>
      <c r="G18" s="26">
        <f t="shared" si="5"/>
        <v>2.6325206116156484E-2</v>
      </c>
      <c r="H18" s="26">
        <f t="shared" si="5"/>
        <v>2.6238477396713762E-2</v>
      </c>
      <c r="I18" s="4">
        <f>AVERAGE(D18:H18)</f>
        <v>2.5602565703711565E-2</v>
      </c>
    </row>
    <row r="19" spans="2:14" x14ac:dyDescent="0.25">
      <c r="C19" s="26"/>
      <c r="D19" s="26"/>
      <c r="E19" s="26"/>
      <c r="F19" s="26"/>
      <c r="G19" s="26"/>
      <c r="H19" s="26"/>
      <c r="I19" s="5"/>
      <c r="N19" s="42"/>
    </row>
    <row r="20" spans="2:14" x14ac:dyDescent="0.25">
      <c r="B20" t="s">
        <v>29</v>
      </c>
      <c r="C20" s="33">
        <v>62358</v>
      </c>
      <c r="D20" s="33">
        <v>3304</v>
      </c>
      <c r="E20" s="33">
        <v>20556</v>
      </c>
      <c r="F20" s="33">
        <v>6850</v>
      </c>
      <c r="G20" s="33">
        <v>50963</v>
      </c>
      <c r="H20" s="33">
        <v>85082</v>
      </c>
    </row>
    <row r="21" spans="2:14" x14ac:dyDescent="0.25">
      <c r="B21" t="s">
        <v>30</v>
      </c>
      <c r="C21" s="23"/>
      <c r="D21" s="23"/>
      <c r="E21" s="33">
        <v>29484</v>
      </c>
      <c r="F21" s="33">
        <v>51122</v>
      </c>
      <c r="G21" s="33">
        <v>239</v>
      </c>
      <c r="H21" s="33">
        <v>212</v>
      </c>
      <c r="I21" s="5"/>
    </row>
    <row r="22" spans="2:14" x14ac:dyDescent="0.25">
      <c r="B22" t="s">
        <v>8</v>
      </c>
      <c r="C22" s="28"/>
      <c r="D22" s="28">
        <f t="shared" ref="D22:H22" si="6">(D21+D20)/D7</f>
        <v>3.6930565140966729E-7</v>
      </c>
      <c r="E22" s="28">
        <f t="shared" si="6"/>
        <v>5.6967929747184554E-6</v>
      </c>
      <c r="F22" s="28">
        <f t="shared" si="6"/>
        <v>5.8376318000723544E-6</v>
      </c>
      <c r="G22" s="28">
        <f t="shared" si="6"/>
        <v>4.9055957073895664E-6</v>
      </c>
      <c r="H22" s="28">
        <f t="shared" si="6"/>
        <v>7.9518752454209719E-6</v>
      </c>
      <c r="I22" s="4">
        <f>AVERAGE(D22:H22)</f>
        <v>4.9522402758022032E-6</v>
      </c>
    </row>
    <row r="23" spans="2:14" x14ac:dyDescent="0.25">
      <c r="C23" s="26"/>
      <c r="D23" s="26"/>
      <c r="E23" s="26"/>
      <c r="F23" s="26"/>
      <c r="G23" s="26"/>
      <c r="H23" s="26"/>
      <c r="I23" s="5"/>
    </row>
    <row r="24" spans="2:14" x14ac:dyDescent="0.25">
      <c r="B24" t="s">
        <v>31</v>
      </c>
      <c r="C24" s="9">
        <v>120466870</v>
      </c>
      <c r="D24" s="23">
        <v>118211449</v>
      </c>
      <c r="E24" s="23">
        <v>52438942</v>
      </c>
      <c r="F24" s="23">
        <v>80837499</v>
      </c>
      <c r="G24" s="23"/>
      <c r="H24" s="23">
        <v>134513582</v>
      </c>
      <c r="I24" s="5"/>
    </row>
    <row r="25" spans="2:14" x14ac:dyDescent="0.25">
      <c r="B25" t="s">
        <v>8</v>
      </c>
      <c r="C25" s="9"/>
      <c r="D25" s="26">
        <f>D24/D5</f>
        <v>1.3715196392958841E-2</v>
      </c>
      <c r="E25" s="26">
        <f t="shared" ref="E25:H25" si="7">E24/E5</f>
        <v>5.8599072759157591E-3</v>
      </c>
      <c r="F25" s="26">
        <f t="shared" si="7"/>
        <v>7.40764506363948E-3</v>
      </c>
      <c r="G25" s="26">
        <f t="shared" si="7"/>
        <v>0</v>
      </c>
      <c r="H25" s="26">
        <f t="shared" si="7"/>
        <v>1.1706681737237311E-2</v>
      </c>
      <c r="I25" s="5"/>
    </row>
    <row r="26" spans="2:14" x14ac:dyDescent="0.25">
      <c r="C26" s="29"/>
      <c r="D26" s="29"/>
      <c r="E26" s="29"/>
      <c r="F26" s="29"/>
      <c r="G26" s="29"/>
      <c r="H26" s="29"/>
      <c r="I26" s="5"/>
    </row>
    <row r="27" spans="2:14" x14ac:dyDescent="0.25">
      <c r="B27" t="s">
        <v>32</v>
      </c>
      <c r="C27" s="34">
        <v>3883084</v>
      </c>
      <c r="D27" s="34">
        <v>3431276</v>
      </c>
      <c r="E27" s="33">
        <v>2605760</v>
      </c>
      <c r="F27" s="33">
        <v>1764364</v>
      </c>
      <c r="G27" s="33">
        <v>1650261</v>
      </c>
      <c r="H27" s="33">
        <v>2149634</v>
      </c>
      <c r="I27" s="5"/>
    </row>
    <row r="28" spans="2:14" x14ac:dyDescent="0.25">
      <c r="B28" t="s">
        <v>33</v>
      </c>
      <c r="C28" s="25"/>
      <c r="D28" s="25">
        <f>D27/D7</f>
        <v>3.835319668118516E-4</v>
      </c>
      <c r="E28" s="25">
        <f t="shared" ref="E28:H28" si="8">E27/E7</f>
        <v>2.9665218348925586E-4</v>
      </c>
      <c r="F28" s="25">
        <f t="shared" si="8"/>
        <v>1.7766693219662698E-4</v>
      </c>
      <c r="G28" s="25">
        <f t="shared" si="8"/>
        <v>1.5810931755932215E-4</v>
      </c>
      <c r="H28" s="25">
        <f t="shared" si="8"/>
        <v>2.00408251357836E-4</v>
      </c>
      <c r="I28" s="4">
        <f>AVERAGE(D28:H28)</f>
        <v>2.432737302829785E-4</v>
      </c>
    </row>
    <row r="29" spans="2:14" x14ac:dyDescent="0.25">
      <c r="C29" s="30"/>
      <c r="D29" s="30"/>
      <c r="E29" s="29"/>
      <c r="F29" s="29"/>
      <c r="G29" s="29"/>
      <c r="H29" s="29"/>
      <c r="I29" s="5"/>
    </row>
    <row r="30" spans="2:14" x14ac:dyDescent="0.25">
      <c r="B30" t="s">
        <v>34</v>
      </c>
      <c r="C30" s="34">
        <v>265044</v>
      </c>
      <c r="D30" s="33">
        <v>296302</v>
      </c>
      <c r="E30" s="33">
        <v>698728</v>
      </c>
      <c r="F30" s="33">
        <v>1102628</v>
      </c>
      <c r="G30" s="33">
        <v>831438</v>
      </c>
      <c r="H30" s="33">
        <v>652375</v>
      </c>
      <c r="I30" s="5"/>
    </row>
    <row r="31" spans="2:14" x14ac:dyDescent="0.25">
      <c r="B31" t="s">
        <v>35</v>
      </c>
      <c r="C31" s="26"/>
      <c r="D31" s="40">
        <f>D30/D7</f>
        <v>3.3119250340189841E-5</v>
      </c>
      <c r="E31" s="40">
        <f t="shared" ref="E31:H31" si="9">E30/E7</f>
        <v>7.954653800237964E-5</v>
      </c>
      <c r="F31" s="40">
        <f t="shared" si="9"/>
        <v>1.1103181322794073E-4</v>
      </c>
      <c r="G31" s="40">
        <f t="shared" si="9"/>
        <v>7.9658971988605246E-5</v>
      </c>
      <c r="H31" s="40">
        <f t="shared" si="9"/>
        <v>6.0820275907232706E-5</v>
      </c>
      <c r="I31" s="41">
        <f>AVERAGE(D31:H31)</f>
        <v>7.2835369893269636E-5</v>
      </c>
    </row>
    <row r="32" spans="2:14" x14ac:dyDescent="0.25">
      <c r="C32" s="26"/>
      <c r="D32" s="26"/>
      <c r="E32" s="26"/>
      <c r="F32" s="26"/>
      <c r="G32" s="26"/>
      <c r="H32" s="28"/>
      <c r="I32" s="5"/>
    </row>
    <row r="33" spans="2:9" x14ac:dyDescent="0.25">
      <c r="B33" t="s">
        <v>36</v>
      </c>
      <c r="C33" s="26"/>
      <c r="D33" s="26">
        <v>0</v>
      </c>
      <c r="E33" s="26">
        <v>5.0000000000000001E-4</v>
      </c>
      <c r="F33" s="26">
        <v>0</v>
      </c>
      <c r="G33" s="26"/>
      <c r="H33" s="26">
        <v>0</v>
      </c>
      <c r="I33" s="5"/>
    </row>
    <row r="34" spans="2:9" x14ac:dyDescent="0.25">
      <c r="C34" s="26"/>
      <c r="D34" s="26"/>
      <c r="E34" s="26"/>
      <c r="F34" s="26"/>
      <c r="G34" s="26"/>
      <c r="H34" s="26"/>
      <c r="I34" s="5"/>
    </row>
    <row r="35" spans="2:9" x14ac:dyDescent="0.25">
      <c r="I35" s="28"/>
    </row>
    <row r="36" spans="2:9" x14ac:dyDescent="0.25">
      <c r="B36" t="s">
        <v>37</v>
      </c>
      <c r="C36" s="5">
        <f>I6+I17-I28+I31</f>
        <v>6.0563835999188666E-3</v>
      </c>
      <c r="D36" t="s">
        <v>53</v>
      </c>
      <c r="E36" s="31"/>
      <c r="F36" s="31"/>
      <c r="G36" s="28"/>
      <c r="H36" s="28"/>
      <c r="I36" s="28"/>
    </row>
    <row r="37" spans="2:9" x14ac:dyDescent="0.25">
      <c r="B37" t="s">
        <v>38</v>
      </c>
      <c r="C37" s="5">
        <f>TD!K10/100</f>
        <v>6.76347744100631E-3</v>
      </c>
      <c r="D37" t="s">
        <v>53</v>
      </c>
    </row>
    <row r="38" spans="2:9" x14ac:dyDescent="0.25">
      <c r="B38" t="s">
        <v>39</v>
      </c>
      <c r="C38" s="5">
        <f>C37-C36</f>
        <v>7.070938410874434E-4</v>
      </c>
    </row>
    <row r="40" spans="2:9" x14ac:dyDescent="0.25">
      <c r="B40" s="1" t="s">
        <v>40</v>
      </c>
      <c r="C40" s="32">
        <f>0.11%+I17-H28+H31</f>
        <v>5.7025764506113972E-3</v>
      </c>
    </row>
    <row r="41" spans="2:9" x14ac:dyDescent="0.25">
      <c r="B41" s="1" t="s">
        <v>41</v>
      </c>
      <c r="C41" s="31">
        <f>0.11%-H28+H31</f>
        <v>9.604120245493967E-4</v>
      </c>
    </row>
    <row r="42" spans="2:9" x14ac:dyDescent="0.25">
      <c r="B42" s="1"/>
      <c r="C42" s="32"/>
    </row>
    <row r="43" spans="2:9" x14ac:dyDescent="0.25">
      <c r="B43" t="s">
        <v>42</v>
      </c>
      <c r="C43" s="32">
        <f>C40-C36</f>
        <v>-3.5380714930746942E-4</v>
      </c>
    </row>
    <row r="44" spans="2:9" x14ac:dyDescent="0.25">
      <c r="B44" s="1" t="s">
        <v>43</v>
      </c>
      <c r="C44" s="32">
        <f>C37+C43</f>
        <v>6.4096702916988406E-3</v>
      </c>
      <c r="D44" s="31"/>
      <c r="E44" s="31"/>
      <c r="F44" s="31"/>
      <c r="G44" s="14"/>
      <c r="H44" s="14"/>
      <c r="I44" s="14"/>
    </row>
    <row r="45" spans="2:9" x14ac:dyDescent="0.25">
      <c r="D45" s="31"/>
      <c r="E45" s="31"/>
      <c r="F45" s="31"/>
      <c r="G45" s="14"/>
      <c r="H45" s="14"/>
      <c r="I45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B3A6-7003-47D4-B8A8-91A69E30DD83}">
  <dimension ref="B2:L45"/>
  <sheetViews>
    <sheetView workbookViewId="0"/>
  </sheetViews>
  <sheetFormatPr defaultRowHeight="15" x14ac:dyDescent="0.25"/>
  <cols>
    <col min="2" max="2" width="38.42578125" customWidth="1"/>
    <col min="3" max="3" width="16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9" width="12.140625" bestFit="1" customWidth="1"/>
  </cols>
  <sheetData>
    <row r="2" spans="2:12" x14ac:dyDescent="0.25">
      <c r="B2" s="20" t="s">
        <v>49</v>
      </c>
      <c r="C2" s="21"/>
      <c r="D2" s="21"/>
      <c r="E2" s="21"/>
      <c r="F2" s="21"/>
      <c r="G2" s="21"/>
      <c r="H2" s="21"/>
      <c r="I2" s="21"/>
    </row>
    <row r="3" spans="2:12" x14ac:dyDescent="0.25">
      <c r="B3" t="s">
        <v>46</v>
      </c>
      <c r="L3" t="s">
        <v>80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 t="s">
        <v>19</v>
      </c>
      <c r="L4" t="s">
        <v>82</v>
      </c>
    </row>
    <row r="5" spans="2:12" x14ac:dyDescent="0.25">
      <c r="B5" t="s">
        <v>20</v>
      </c>
      <c r="C5" s="33">
        <v>7036775960</v>
      </c>
      <c r="D5" s="33">
        <v>5633776058</v>
      </c>
      <c r="E5" s="33">
        <v>7231799796</v>
      </c>
      <c r="F5" s="33">
        <v>10692929228</v>
      </c>
      <c r="G5" s="33">
        <v>8078784736</v>
      </c>
      <c r="H5" s="33">
        <v>10012805581</v>
      </c>
      <c r="I5" s="1"/>
      <c r="L5" t="s">
        <v>83</v>
      </c>
    </row>
    <row r="6" spans="2:12" x14ac:dyDescent="0.25">
      <c r="B6" t="s">
        <v>21</v>
      </c>
      <c r="C6" s="24">
        <v>2.2000000000000001E-3</v>
      </c>
      <c r="D6" s="24">
        <v>2.2000000000000001E-3</v>
      </c>
      <c r="E6" s="24">
        <v>2.2000000000000001E-3</v>
      </c>
      <c r="F6" s="24">
        <v>2.2000000000000001E-3</v>
      </c>
      <c r="G6" s="24">
        <v>2.2000000000000001E-3</v>
      </c>
      <c r="H6" s="24">
        <f>(0.22%*(295/365))+(0.16%*(70/365))</f>
        <v>2.0849315068493151E-3</v>
      </c>
      <c r="I6" s="5">
        <f>AVERAGE(D6:H6)</f>
        <v>2.1769863013698632E-3</v>
      </c>
      <c r="L6" t="s">
        <v>84</v>
      </c>
    </row>
    <row r="7" spans="2:12" x14ac:dyDescent="0.25">
      <c r="B7" t="s">
        <v>22</v>
      </c>
      <c r="C7" s="22"/>
      <c r="D7" s="22">
        <f>(C5+D5)/2</f>
        <v>6335276009</v>
      </c>
      <c r="E7" s="22">
        <f t="shared" ref="E7:H7" si="0">(D5+E5)/2</f>
        <v>6432787927</v>
      </c>
      <c r="F7" s="22">
        <f t="shared" si="0"/>
        <v>8962364512</v>
      </c>
      <c r="G7" s="22">
        <f t="shared" si="0"/>
        <v>9385856982</v>
      </c>
      <c r="H7" s="22">
        <f t="shared" si="0"/>
        <v>9045795158.5</v>
      </c>
      <c r="I7" s="5"/>
      <c r="L7" t="s">
        <v>89</v>
      </c>
    </row>
    <row r="8" spans="2:12" x14ac:dyDescent="0.25">
      <c r="C8" s="23"/>
      <c r="D8" s="23"/>
      <c r="E8" s="23"/>
      <c r="F8" s="23"/>
      <c r="G8" s="23"/>
      <c r="H8" s="23"/>
      <c r="I8" s="5"/>
      <c r="L8" t="s">
        <v>87</v>
      </c>
    </row>
    <row r="9" spans="2:12" x14ac:dyDescent="0.25">
      <c r="B9" t="s">
        <v>23</v>
      </c>
      <c r="C9" s="33">
        <v>31000</v>
      </c>
      <c r="D9" s="23">
        <v>0</v>
      </c>
      <c r="E9" s="33">
        <v>249844</v>
      </c>
      <c r="F9" s="33">
        <v>592725</v>
      </c>
      <c r="G9" s="33">
        <v>734017</v>
      </c>
      <c r="H9" s="33">
        <v>2233670</v>
      </c>
      <c r="I9" s="5"/>
    </row>
    <row r="10" spans="2:12" x14ac:dyDescent="0.25">
      <c r="B10" t="s">
        <v>24</v>
      </c>
      <c r="C10" s="22">
        <v>0</v>
      </c>
      <c r="D10" s="22">
        <v>0</v>
      </c>
      <c r="E10" s="33">
        <v>24</v>
      </c>
      <c r="F10" s="33">
        <v>11825</v>
      </c>
      <c r="G10" s="23">
        <v>1028</v>
      </c>
      <c r="H10" s="23"/>
      <c r="I10" s="5"/>
      <c r="L10" s="43" t="s">
        <v>67</v>
      </c>
    </row>
    <row r="11" spans="2:12" x14ac:dyDescent="0.25">
      <c r="B11" t="s">
        <v>25</v>
      </c>
      <c r="C11" s="22">
        <f>SUM(C9:C10)</f>
        <v>31000</v>
      </c>
      <c r="D11" s="22">
        <f t="shared" ref="D11:H11" si="1">SUM(D9:D10)</f>
        <v>0</v>
      </c>
      <c r="E11" s="22">
        <f t="shared" si="1"/>
        <v>249868</v>
      </c>
      <c r="F11" s="22">
        <f t="shared" si="1"/>
        <v>604550</v>
      </c>
      <c r="G11" s="22">
        <f t="shared" si="1"/>
        <v>735045</v>
      </c>
      <c r="H11" s="22">
        <f t="shared" si="1"/>
        <v>2233670</v>
      </c>
      <c r="I11" s="5"/>
    </row>
    <row r="12" spans="2:12" x14ac:dyDescent="0.25">
      <c r="B12" t="s">
        <v>8</v>
      </c>
      <c r="C12" s="25"/>
      <c r="D12" s="25">
        <f t="shared" ref="D12:H12" si="2">D11/D7</f>
        <v>0</v>
      </c>
      <c r="E12" s="25">
        <f t="shared" si="2"/>
        <v>3.884287852102854E-5</v>
      </c>
      <c r="F12" s="25">
        <f t="shared" si="2"/>
        <v>6.7454297266145383E-5</v>
      </c>
      <c r="G12" s="25">
        <f t="shared" si="2"/>
        <v>7.8314106150312535E-5</v>
      </c>
      <c r="H12" s="25">
        <f t="shared" si="2"/>
        <v>2.4692909366857627E-4</v>
      </c>
      <c r="I12" s="5">
        <f t="shared" ref="I12:I31" si="3">AVERAGE(D12:H12)</f>
        <v>8.6308075121212556E-5</v>
      </c>
      <c r="L12" t="s">
        <v>88</v>
      </c>
    </row>
    <row r="13" spans="2:12" x14ac:dyDescent="0.25">
      <c r="C13" s="26"/>
      <c r="D13" s="26"/>
      <c r="E13" s="26"/>
      <c r="F13" s="26"/>
      <c r="G13" s="26"/>
      <c r="H13" s="26"/>
      <c r="I13" s="5"/>
    </row>
    <row r="14" spans="2:12" x14ac:dyDescent="0.25">
      <c r="B14" t="s">
        <v>26</v>
      </c>
      <c r="C14" s="34">
        <v>201401546</v>
      </c>
      <c r="D14" s="34">
        <v>184653314</v>
      </c>
      <c r="E14" s="34">
        <v>191368175</v>
      </c>
      <c r="F14" s="34">
        <v>244455039</v>
      </c>
      <c r="G14" s="34">
        <v>282044286</v>
      </c>
      <c r="H14" s="34">
        <v>279075341</v>
      </c>
      <c r="I14" s="5"/>
    </row>
    <row r="15" spans="2:12" x14ac:dyDescent="0.25">
      <c r="B15" t="s">
        <v>0</v>
      </c>
      <c r="C15" s="34">
        <v>15487001</v>
      </c>
      <c r="D15" s="34">
        <v>18051966</v>
      </c>
      <c r="E15" s="34">
        <v>21509558</v>
      </c>
      <c r="F15" s="34">
        <v>27381329</v>
      </c>
      <c r="G15" s="34">
        <v>33421807</v>
      </c>
      <c r="H15" s="34">
        <v>32065881</v>
      </c>
      <c r="I15" s="5"/>
    </row>
    <row r="16" spans="2:12" x14ac:dyDescent="0.25">
      <c r="B16" t="s">
        <v>27</v>
      </c>
      <c r="C16" s="27">
        <f>C15/C14</f>
        <v>7.6896137629449968E-2</v>
      </c>
      <c r="D16" s="27">
        <f t="shared" ref="D16:H16" si="4">D15/D14</f>
        <v>9.7761397339448775E-2</v>
      </c>
      <c r="E16" s="27">
        <f t="shared" si="4"/>
        <v>0.11239882493523283</v>
      </c>
      <c r="F16" s="27">
        <f t="shared" si="4"/>
        <v>0.11200967307530119</v>
      </c>
      <c r="G16" s="27">
        <f t="shared" si="4"/>
        <v>0.11849843680222616</v>
      </c>
      <c r="H16" s="27">
        <f t="shared" si="4"/>
        <v>0.11490044546787816</v>
      </c>
      <c r="I16" s="5">
        <f t="shared" si="3"/>
        <v>0.11111375552401744</v>
      </c>
      <c r="K16" s="5">
        <f>AVERAGE(C16:H16)</f>
        <v>0.10541081920825618</v>
      </c>
    </row>
    <row r="17" spans="2:9" x14ac:dyDescent="0.25">
      <c r="B17" t="s">
        <v>28</v>
      </c>
      <c r="C17" s="26"/>
      <c r="D17" s="26">
        <f t="shared" ref="D17:H17" si="5">D15/D7</f>
        <v>2.8494363898834197E-3</v>
      </c>
      <c r="E17" s="26">
        <f t="shared" si="5"/>
        <v>3.3437380874502438E-3</v>
      </c>
      <c r="F17" s="26">
        <f t="shared" si="5"/>
        <v>3.0551456552942308E-3</v>
      </c>
      <c r="G17" s="26">
        <f t="shared" si="5"/>
        <v>3.5608689823524524E-3</v>
      </c>
      <c r="H17" s="26">
        <f t="shared" si="5"/>
        <v>3.5448382854291007E-3</v>
      </c>
      <c r="I17" s="5">
        <f t="shared" si="3"/>
        <v>3.2708054800818899E-3</v>
      </c>
    </row>
    <row r="18" spans="2:9" x14ac:dyDescent="0.25">
      <c r="B18" t="s">
        <v>79</v>
      </c>
      <c r="C18" s="26"/>
      <c r="D18" s="26">
        <f>D14/D7</f>
        <v>2.9146845968143834E-2</v>
      </c>
      <c r="E18" s="26">
        <f t="shared" ref="E18:H18" si="6">E14/E7</f>
        <v>2.9748870500888192E-2</v>
      </c>
      <c r="F18" s="26">
        <f t="shared" si="6"/>
        <v>2.7275730491957924E-2</v>
      </c>
      <c r="G18" s="26">
        <f t="shared" si="6"/>
        <v>3.0049923682078112E-2</v>
      </c>
      <c r="H18" s="26">
        <f t="shared" si="6"/>
        <v>3.0851388530256867E-2</v>
      </c>
      <c r="I18" s="5"/>
    </row>
    <row r="19" spans="2:9" x14ac:dyDescent="0.25">
      <c r="C19" s="26"/>
      <c r="D19" s="26"/>
      <c r="E19" s="26"/>
      <c r="F19" s="26"/>
      <c r="G19" s="26"/>
      <c r="H19" s="26"/>
      <c r="I19" s="5"/>
    </row>
    <row r="20" spans="2:9" x14ac:dyDescent="0.25">
      <c r="B20" t="s">
        <v>29</v>
      </c>
      <c r="C20" s="23"/>
      <c r="D20" s="33">
        <v>16234</v>
      </c>
      <c r="E20" s="33">
        <v>17325</v>
      </c>
      <c r="F20" s="33">
        <v>30942</v>
      </c>
      <c r="G20" s="33">
        <v>37389</v>
      </c>
      <c r="H20" s="33">
        <v>53108</v>
      </c>
      <c r="I20" s="5"/>
    </row>
    <row r="21" spans="2:9" x14ac:dyDescent="0.25">
      <c r="B21" t="s">
        <v>30</v>
      </c>
      <c r="C21" s="23"/>
      <c r="D21" s="23"/>
      <c r="E21" s="33">
        <v>972896</v>
      </c>
      <c r="F21" s="33">
        <v>132073</v>
      </c>
      <c r="G21" s="33">
        <v>82771</v>
      </c>
      <c r="H21" s="33">
        <v>121008</v>
      </c>
      <c r="I21" s="5"/>
    </row>
    <row r="22" spans="2:9" x14ac:dyDescent="0.25">
      <c r="B22" t="s">
        <v>8</v>
      </c>
      <c r="C22" s="28"/>
      <c r="D22" s="28">
        <f>(D21+D20)/D7</f>
        <v>2.5624771481049454E-6</v>
      </c>
      <c r="E22" s="28">
        <f t="shared" ref="E22:H22" si="7">(E21+E20)/E7</f>
        <v>1.5393341288989147E-4</v>
      </c>
      <c r="F22" s="28">
        <f t="shared" si="7"/>
        <v>1.8188838423357355E-5</v>
      </c>
      <c r="G22" s="28">
        <f t="shared" si="7"/>
        <v>1.2802240672369111E-5</v>
      </c>
      <c r="H22" s="28">
        <f t="shared" si="7"/>
        <v>1.9248280217399089E-5</v>
      </c>
      <c r="I22" s="5">
        <f t="shared" si="3"/>
        <v>4.1347049870224401E-5</v>
      </c>
    </row>
    <row r="23" spans="2:9" x14ac:dyDescent="0.25">
      <c r="C23" s="26"/>
      <c r="D23" s="26"/>
      <c r="E23" s="26"/>
      <c r="F23" s="26"/>
      <c r="G23" s="26"/>
      <c r="H23" s="26"/>
      <c r="I23" s="5"/>
    </row>
    <row r="24" spans="2:9" x14ac:dyDescent="0.25">
      <c r="B24" t="s">
        <v>31</v>
      </c>
      <c r="C24" s="23">
        <v>65952269</v>
      </c>
      <c r="D24" s="23">
        <v>94062403</v>
      </c>
      <c r="E24" s="23">
        <v>52643912</v>
      </c>
      <c r="F24" s="23">
        <v>141178526</v>
      </c>
      <c r="G24" s="23"/>
      <c r="H24" s="23">
        <v>58330991</v>
      </c>
      <c r="I24" s="5"/>
    </row>
    <row r="25" spans="2:9" x14ac:dyDescent="0.25">
      <c r="B25" t="s">
        <v>8</v>
      </c>
      <c r="C25" s="29"/>
      <c r="D25" s="26">
        <f>D24/D5</f>
        <v>1.6696155834314847E-2</v>
      </c>
      <c r="E25" s="26">
        <f t="shared" ref="E25:H25" si="8">E24/E5</f>
        <v>7.2795035101936882E-3</v>
      </c>
      <c r="F25" s="26">
        <f t="shared" si="8"/>
        <v>1.3202979556838043E-2</v>
      </c>
      <c r="G25" s="26">
        <f t="shared" si="8"/>
        <v>0</v>
      </c>
      <c r="H25" s="26">
        <f t="shared" si="8"/>
        <v>5.8256390307514947E-3</v>
      </c>
      <c r="I25" s="5"/>
    </row>
    <row r="26" spans="2:9" x14ac:dyDescent="0.25">
      <c r="C26" s="29"/>
      <c r="D26" s="29"/>
      <c r="E26" s="29"/>
      <c r="F26" s="29"/>
      <c r="G26" s="29"/>
      <c r="H26" s="29"/>
      <c r="I26" s="5"/>
    </row>
    <row r="27" spans="2:9" x14ac:dyDescent="0.25">
      <c r="B27" t="s">
        <v>32</v>
      </c>
      <c r="C27" s="34">
        <v>2376223</v>
      </c>
      <c r="D27" s="34">
        <v>4419567</v>
      </c>
      <c r="E27" s="33">
        <v>2936831</v>
      </c>
      <c r="F27" s="33">
        <v>2010277</v>
      </c>
      <c r="G27" s="33">
        <v>3962742</v>
      </c>
      <c r="H27" s="33">
        <v>3514250</v>
      </c>
      <c r="I27" s="5"/>
    </row>
    <row r="28" spans="2:9" x14ac:dyDescent="0.25">
      <c r="B28" t="s">
        <v>33</v>
      </c>
      <c r="C28" s="25"/>
      <c r="D28" s="25">
        <f>D27/D7</f>
        <v>6.9761238401002399E-4</v>
      </c>
      <c r="E28" s="25">
        <f t="shared" ref="E28:H28" si="9">E27/E7</f>
        <v>4.5654093269162425E-4</v>
      </c>
      <c r="F28" s="25">
        <f t="shared" si="9"/>
        <v>2.2430207980364723E-4</v>
      </c>
      <c r="G28" s="25">
        <f t="shared" si="9"/>
        <v>4.2220353534042375E-4</v>
      </c>
      <c r="H28" s="25">
        <f t="shared" si="9"/>
        <v>3.8849542117895395E-4</v>
      </c>
      <c r="I28" s="5">
        <f t="shared" si="3"/>
        <v>4.3783087060493466E-4</v>
      </c>
    </row>
    <row r="29" spans="2:9" x14ac:dyDescent="0.25">
      <c r="C29" s="30"/>
      <c r="D29" s="30"/>
      <c r="E29" s="29"/>
      <c r="F29" s="29"/>
      <c r="G29" s="29"/>
      <c r="H29" s="29"/>
      <c r="I29" s="5"/>
    </row>
    <row r="30" spans="2:9" x14ac:dyDescent="0.25">
      <c r="B30" t="s">
        <v>34</v>
      </c>
      <c r="C30" s="34">
        <v>1625695</v>
      </c>
      <c r="D30" s="33">
        <v>1438363</v>
      </c>
      <c r="E30" s="33">
        <v>3191923</v>
      </c>
      <c r="F30" s="33">
        <v>3997637</v>
      </c>
      <c r="G30" s="33">
        <v>4060263</v>
      </c>
      <c r="H30" s="33">
        <v>3456104</v>
      </c>
      <c r="I30" s="5"/>
    </row>
    <row r="31" spans="2:9" x14ac:dyDescent="0.25">
      <c r="B31" t="s">
        <v>35</v>
      </c>
      <c r="C31" s="26"/>
      <c r="D31" s="28">
        <f>D30/D7</f>
        <v>2.2704030541946985E-4</v>
      </c>
      <c r="E31" s="28">
        <f t="shared" ref="E31:H31" si="10">E30/E7</f>
        <v>4.9619590078552262E-4</v>
      </c>
      <c r="F31" s="28">
        <f t="shared" si="10"/>
        <v>4.4604713350449363E-4</v>
      </c>
      <c r="G31" s="28">
        <f t="shared" si="10"/>
        <v>4.3259374266906979E-4</v>
      </c>
      <c r="H31" s="28">
        <f t="shared" si="10"/>
        <v>3.8206746222331007E-4</v>
      </c>
      <c r="I31" s="4">
        <f t="shared" si="3"/>
        <v>3.9678890892037323E-4</v>
      </c>
    </row>
    <row r="32" spans="2:9" x14ac:dyDescent="0.25">
      <c r="C32" s="26"/>
      <c r="D32" s="26"/>
      <c r="E32" s="26"/>
      <c r="F32" s="26"/>
      <c r="G32" s="26"/>
      <c r="H32" s="28"/>
      <c r="I32" s="5"/>
    </row>
    <row r="33" spans="2:9" x14ac:dyDescent="0.25">
      <c r="B33" t="s">
        <v>36</v>
      </c>
      <c r="C33" s="26"/>
      <c r="D33" s="26">
        <v>1E-4</v>
      </c>
      <c r="E33" s="26">
        <v>0</v>
      </c>
      <c r="F33" s="26">
        <v>2.0000000000000001E-4</v>
      </c>
      <c r="G33" s="26"/>
      <c r="H33" s="26">
        <v>0</v>
      </c>
      <c r="I33" s="5"/>
    </row>
    <row r="34" spans="2:9" x14ac:dyDescent="0.25">
      <c r="C34" s="26"/>
      <c r="D34" s="26"/>
      <c r="E34" s="26"/>
      <c r="F34" s="26"/>
      <c r="G34" s="26"/>
      <c r="H34" s="26"/>
      <c r="I34" s="5"/>
    </row>
    <row r="35" spans="2:9" x14ac:dyDescent="0.25">
      <c r="I35" s="28"/>
    </row>
    <row r="36" spans="2:9" x14ac:dyDescent="0.25">
      <c r="B36" t="s">
        <v>37</v>
      </c>
      <c r="C36" s="5">
        <f>I6+I17-I28+I31</f>
        <v>5.4067498197671914E-3</v>
      </c>
      <c r="D36" t="s">
        <v>53</v>
      </c>
      <c r="E36" s="31"/>
      <c r="F36" s="31"/>
      <c r="G36" s="28"/>
      <c r="H36" s="28"/>
      <c r="I36" s="28"/>
    </row>
    <row r="37" spans="2:9" x14ac:dyDescent="0.25">
      <c r="B37" t="s">
        <v>38</v>
      </c>
      <c r="C37" s="5">
        <f>TD!K18/100</f>
        <v>5.6800000000000019E-3</v>
      </c>
      <c r="D37" t="s">
        <v>53</v>
      </c>
    </row>
    <row r="38" spans="2:9" x14ac:dyDescent="0.25">
      <c r="B38" t="s">
        <v>39</v>
      </c>
      <c r="C38" s="5">
        <f>C37-C36</f>
        <v>2.732501802328105E-4</v>
      </c>
    </row>
    <row r="40" spans="2:9" x14ac:dyDescent="0.25">
      <c r="B40" s="1" t="s">
        <v>40</v>
      </c>
      <c r="C40" s="32">
        <f>0.16%+I17-H28+H31</f>
        <v>4.8643775211262459E-3</v>
      </c>
    </row>
    <row r="41" spans="2:9" x14ac:dyDescent="0.25">
      <c r="B41" s="1" t="s">
        <v>41</v>
      </c>
      <c r="C41" s="32">
        <f>0.16%-H28+H31</f>
        <v>1.5935720410443562E-3</v>
      </c>
    </row>
    <row r="42" spans="2:9" x14ac:dyDescent="0.25">
      <c r="B42" s="1"/>
      <c r="C42" s="32"/>
    </row>
    <row r="43" spans="2:9" x14ac:dyDescent="0.25">
      <c r="B43" t="s">
        <v>42</v>
      </c>
      <c r="C43" s="32">
        <f>C40-C36</f>
        <v>-5.4237229864094547E-4</v>
      </c>
    </row>
    <row r="44" spans="2:9" x14ac:dyDescent="0.25">
      <c r="B44" s="1" t="s">
        <v>43</v>
      </c>
      <c r="C44" s="31">
        <f>C37+C43</f>
        <v>5.1376277013590564E-3</v>
      </c>
      <c r="D44" s="31"/>
      <c r="E44" s="31"/>
      <c r="F44" s="31"/>
      <c r="G44" s="14"/>
      <c r="H44" s="14"/>
      <c r="I44" s="14"/>
    </row>
    <row r="45" spans="2:9" x14ac:dyDescent="0.25">
      <c r="D45" s="31"/>
      <c r="E45" s="31"/>
      <c r="F45" s="31"/>
      <c r="G45" s="14"/>
      <c r="H45" s="14"/>
      <c r="I45" s="1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01E5-EF48-46E1-9A0A-52C943B89C3A}">
  <dimension ref="B2:L45"/>
  <sheetViews>
    <sheetView workbookViewId="0"/>
  </sheetViews>
  <sheetFormatPr defaultRowHeight="15" x14ac:dyDescent="0.25"/>
  <cols>
    <col min="2" max="2" width="38.42578125" customWidth="1"/>
    <col min="3" max="3" width="16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9" width="12.140625" bestFit="1" customWidth="1"/>
  </cols>
  <sheetData>
    <row r="2" spans="2:12" x14ac:dyDescent="0.25">
      <c r="B2" s="20" t="s">
        <v>48</v>
      </c>
      <c r="C2" s="21"/>
      <c r="D2" s="21"/>
      <c r="E2" s="21"/>
      <c r="F2" s="21"/>
      <c r="G2" s="21"/>
      <c r="H2" s="21"/>
      <c r="I2" s="21"/>
    </row>
    <row r="3" spans="2:12" x14ac:dyDescent="0.25">
      <c r="B3" t="s">
        <v>47</v>
      </c>
      <c r="L3" t="s">
        <v>80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 t="s">
        <v>19</v>
      </c>
      <c r="L4" t="s">
        <v>85</v>
      </c>
    </row>
    <row r="5" spans="2:12" x14ac:dyDescent="0.25">
      <c r="B5" t="s">
        <v>20</v>
      </c>
      <c r="C5" s="33">
        <v>720140177</v>
      </c>
      <c r="D5" s="33">
        <v>624642836</v>
      </c>
      <c r="E5" s="33">
        <v>926954018</v>
      </c>
      <c r="F5" s="33">
        <v>1439381067</v>
      </c>
      <c r="G5" s="33">
        <v>1510457137</v>
      </c>
      <c r="H5" s="33">
        <v>2699572961</v>
      </c>
      <c r="I5" s="1"/>
      <c r="L5" t="s">
        <v>86</v>
      </c>
    </row>
    <row r="6" spans="2:12" x14ac:dyDescent="0.25">
      <c r="B6" t="s">
        <v>21</v>
      </c>
      <c r="C6" s="24">
        <v>3.0000000000000001E-3</v>
      </c>
      <c r="D6" s="24">
        <v>3.0000000000000001E-3</v>
      </c>
      <c r="E6" s="24">
        <v>3.0000000000000001E-3</v>
      </c>
      <c r="F6" s="24">
        <v>3.0000000000000001E-3</v>
      </c>
      <c r="G6" s="24">
        <v>3.0000000000000001E-3</v>
      </c>
      <c r="H6" s="24">
        <f>(0.3%*(295/365))+(0.24%*(70/365))</f>
        <v>2.8849315068493154E-3</v>
      </c>
      <c r="I6" s="5">
        <f>AVERAGE(D6:H6)</f>
        <v>2.9769863013698631E-3</v>
      </c>
      <c r="L6" t="s">
        <v>84</v>
      </c>
    </row>
    <row r="7" spans="2:12" x14ac:dyDescent="0.25">
      <c r="B7" t="s">
        <v>22</v>
      </c>
      <c r="C7" s="22"/>
      <c r="D7" s="22">
        <f>(C5+D5)/2</f>
        <v>672391506.5</v>
      </c>
      <c r="E7" s="22">
        <f>(D5+E5)/2</f>
        <v>775798427</v>
      </c>
      <c r="F7" s="22">
        <f>(E5+F5)/2</f>
        <v>1183167542.5</v>
      </c>
      <c r="G7" s="22">
        <f>(F5+G5)/2</f>
        <v>1474919102</v>
      </c>
      <c r="H7" s="22">
        <f>(G5+H5)/2</f>
        <v>2105015049</v>
      </c>
      <c r="I7" s="5"/>
      <c r="L7" t="s">
        <v>89</v>
      </c>
    </row>
    <row r="8" spans="2:12" x14ac:dyDescent="0.25">
      <c r="C8" s="22"/>
      <c r="D8" s="22"/>
      <c r="E8" s="22"/>
      <c r="F8" s="22"/>
      <c r="G8" s="22"/>
      <c r="H8" s="22"/>
      <c r="I8" s="5"/>
      <c r="L8" t="s">
        <v>87</v>
      </c>
    </row>
    <row r="9" spans="2:12" x14ac:dyDescent="0.25">
      <c r="B9" t="s">
        <v>51</v>
      </c>
      <c r="C9" s="33">
        <v>1596</v>
      </c>
      <c r="D9" s="33">
        <v>4707</v>
      </c>
      <c r="E9" s="33">
        <v>66621</v>
      </c>
      <c r="F9" s="33">
        <v>60620</v>
      </c>
      <c r="G9" s="33">
        <v>225240</v>
      </c>
      <c r="H9" s="33">
        <v>464641</v>
      </c>
      <c r="I9" s="5"/>
    </row>
    <row r="10" spans="2:12" x14ac:dyDescent="0.25">
      <c r="B10" t="s">
        <v>24</v>
      </c>
      <c r="C10" s="22">
        <v>0</v>
      </c>
      <c r="D10" s="22">
        <v>0</v>
      </c>
      <c r="E10" s="33">
        <v>27879</v>
      </c>
      <c r="F10" s="33">
        <v>28366</v>
      </c>
      <c r="G10" s="33">
        <v>2309</v>
      </c>
      <c r="H10" s="33">
        <v>16205</v>
      </c>
      <c r="I10" s="5"/>
      <c r="L10" s="43" t="s">
        <v>68</v>
      </c>
    </row>
    <row r="11" spans="2:12" x14ac:dyDescent="0.25">
      <c r="B11" t="s">
        <v>25</v>
      </c>
      <c r="C11" s="22">
        <f>SUM(C9:C10)</f>
        <v>1596</v>
      </c>
      <c r="D11" s="22">
        <f t="shared" ref="D11:H11" si="0">SUM(D9:D10)</f>
        <v>4707</v>
      </c>
      <c r="E11" s="22">
        <f t="shared" si="0"/>
        <v>94500</v>
      </c>
      <c r="F11" s="22">
        <f t="shared" si="0"/>
        <v>88986</v>
      </c>
      <c r="G11" s="22">
        <f t="shared" si="0"/>
        <v>227549</v>
      </c>
      <c r="H11" s="22">
        <f t="shared" si="0"/>
        <v>480846</v>
      </c>
      <c r="I11" s="5"/>
    </row>
    <row r="12" spans="2:12" x14ac:dyDescent="0.25">
      <c r="B12" t="s">
        <v>8</v>
      </c>
      <c r="C12" s="25"/>
      <c r="D12" s="25">
        <f t="shared" ref="D12:H12" si="1">D11/D7</f>
        <v>7.0003858681995414E-6</v>
      </c>
      <c r="E12" s="25">
        <f t="shared" si="1"/>
        <v>1.2180999175962496E-4</v>
      </c>
      <c r="F12" s="25">
        <f t="shared" si="1"/>
        <v>7.5209973907816187E-5</v>
      </c>
      <c r="G12" s="25">
        <f t="shared" si="1"/>
        <v>1.5427897007465837E-4</v>
      </c>
      <c r="H12" s="25">
        <f t="shared" si="1"/>
        <v>2.2842877072466953E-4</v>
      </c>
      <c r="I12" s="5">
        <f>AVERAGE(D12:H12)</f>
        <v>1.1734561846699372E-4</v>
      </c>
    </row>
    <row r="13" spans="2:12" x14ac:dyDescent="0.25">
      <c r="C13" s="24"/>
      <c r="D13" s="24"/>
      <c r="E13" s="24"/>
      <c r="F13" s="24"/>
      <c r="G13" s="24"/>
      <c r="H13" s="24"/>
      <c r="I13" s="5"/>
    </row>
    <row r="14" spans="2:12" x14ac:dyDescent="0.25">
      <c r="B14" t="s">
        <v>26</v>
      </c>
      <c r="C14" s="34">
        <v>13944987</v>
      </c>
      <c r="D14" s="34">
        <v>15761605</v>
      </c>
      <c r="E14" s="34">
        <v>16231153</v>
      </c>
      <c r="F14" s="34">
        <v>23583250</v>
      </c>
      <c r="G14" s="34">
        <v>32845105</v>
      </c>
      <c r="H14" s="34">
        <v>44903246</v>
      </c>
      <c r="I14" s="5"/>
    </row>
    <row r="15" spans="2:12" x14ac:dyDescent="0.25">
      <c r="B15" t="s">
        <v>0</v>
      </c>
      <c r="C15" s="34">
        <v>2565136</v>
      </c>
      <c r="D15" s="34">
        <v>2868270</v>
      </c>
      <c r="E15" s="34">
        <v>3422226</v>
      </c>
      <c r="F15" s="34">
        <v>4191552</v>
      </c>
      <c r="G15" s="34">
        <v>5957479</v>
      </c>
      <c r="H15" s="34">
        <v>8170665</v>
      </c>
      <c r="I15" s="5"/>
    </row>
    <row r="16" spans="2:12" x14ac:dyDescent="0.25">
      <c r="B16" t="s">
        <v>27</v>
      </c>
      <c r="C16" s="35">
        <f>C15/C14</f>
        <v>0.18394681902536014</v>
      </c>
      <c r="D16" s="35">
        <f t="shared" ref="D16:H16" si="2">D15/D14</f>
        <v>0.18197829472315796</v>
      </c>
      <c r="E16" s="35">
        <f t="shared" si="2"/>
        <v>0.21084306210409082</v>
      </c>
      <c r="F16" s="35">
        <f t="shared" si="2"/>
        <v>0.1777342817465786</v>
      </c>
      <c r="G16" s="35">
        <f t="shared" si="2"/>
        <v>0.18138103075024423</v>
      </c>
      <c r="H16" s="35">
        <f t="shared" si="2"/>
        <v>0.18196156687647927</v>
      </c>
      <c r="I16" s="5">
        <f>AVERAGE(D16:H16)</f>
        <v>0.18677964724011017</v>
      </c>
      <c r="K16" s="8">
        <f>AVERAGE(C16:H16)</f>
        <v>0.18630750920431849</v>
      </c>
    </row>
    <row r="17" spans="2:9" x14ac:dyDescent="0.25">
      <c r="B17" t="s">
        <v>28</v>
      </c>
      <c r="C17" s="24"/>
      <c r="D17" s="24">
        <f t="shared" ref="D17:H17" si="3">D15/D7</f>
        <v>4.2657736932612492E-3</v>
      </c>
      <c r="E17" s="24">
        <f t="shared" si="3"/>
        <v>4.4112309085669234E-3</v>
      </c>
      <c r="F17" s="24">
        <f t="shared" si="3"/>
        <v>3.5426529628621892E-3</v>
      </c>
      <c r="G17" s="24">
        <f t="shared" si="3"/>
        <v>4.0391903474038806E-3</v>
      </c>
      <c r="H17" s="24">
        <f t="shared" si="3"/>
        <v>3.8815233192187977E-3</v>
      </c>
      <c r="I17" s="5">
        <f>AVERAGE(D17:H17)</f>
        <v>4.0280742462626088E-3</v>
      </c>
    </row>
    <row r="18" spans="2:9" x14ac:dyDescent="0.25">
      <c r="B18" t="s">
        <v>79</v>
      </c>
      <c r="C18" s="24"/>
      <c r="D18" s="24">
        <f>D14/D7</f>
        <v>2.3441112577468289E-2</v>
      </c>
      <c r="E18" s="24">
        <f t="shared" ref="E18:H18" si="4">E14/E7</f>
        <v>2.0921868922531343E-2</v>
      </c>
      <c r="F18" s="24">
        <f t="shared" si="4"/>
        <v>1.9932299655693098E-2</v>
      </c>
      <c r="G18" s="24">
        <f t="shared" si="4"/>
        <v>2.2269089169339406E-2</v>
      </c>
      <c r="H18" s="24">
        <f t="shared" si="4"/>
        <v>2.133155581064922E-2</v>
      </c>
      <c r="I18" s="5"/>
    </row>
    <row r="19" spans="2:9" x14ac:dyDescent="0.25">
      <c r="C19" s="24"/>
      <c r="D19" s="24"/>
      <c r="E19" s="24"/>
      <c r="F19" s="24"/>
      <c r="G19" s="24"/>
      <c r="H19" s="24"/>
      <c r="I19" s="5"/>
    </row>
    <row r="20" spans="2:9" x14ac:dyDescent="0.25">
      <c r="B20" t="s">
        <v>29</v>
      </c>
      <c r="C20" s="22"/>
      <c r="D20" s="22"/>
      <c r="E20" s="33">
        <v>3814</v>
      </c>
      <c r="F20" s="33">
        <v>15709</v>
      </c>
      <c r="G20" s="33">
        <v>10545</v>
      </c>
      <c r="H20" s="33">
        <v>20091</v>
      </c>
    </row>
    <row r="21" spans="2:9" x14ac:dyDescent="0.25">
      <c r="B21" t="s">
        <v>30</v>
      </c>
      <c r="C21" s="22"/>
      <c r="D21" s="22"/>
      <c r="E21" s="33">
        <v>243</v>
      </c>
      <c r="F21" s="33">
        <v>4686</v>
      </c>
      <c r="G21" s="33">
        <v>9664</v>
      </c>
      <c r="H21" s="22"/>
      <c r="I21" s="5"/>
    </row>
    <row r="22" spans="2:9" x14ac:dyDescent="0.25">
      <c r="B22" t="s">
        <v>8</v>
      </c>
      <c r="C22" s="25"/>
      <c r="D22" s="25">
        <f>(D21+D20)/D7</f>
        <v>0</v>
      </c>
      <c r="E22" s="25">
        <f t="shared" ref="E22:H22" si="5">(E21+E20)/E7</f>
        <v>5.2294511806222058E-6</v>
      </c>
      <c r="F22" s="25">
        <f t="shared" si="5"/>
        <v>1.7237626344030648E-5</v>
      </c>
      <c r="G22" s="25">
        <f t="shared" si="5"/>
        <v>1.3701768437737678E-5</v>
      </c>
      <c r="H22" s="25">
        <f t="shared" si="5"/>
        <v>9.5443498180900653E-6</v>
      </c>
      <c r="I22" s="5">
        <f>AVERAGE(D22:H22)</f>
        <v>9.1426391560961201E-6</v>
      </c>
    </row>
    <row r="23" spans="2:9" x14ac:dyDescent="0.25">
      <c r="C23" s="24"/>
      <c r="D23" s="24"/>
      <c r="E23" s="24"/>
      <c r="F23" s="24"/>
      <c r="G23" s="24"/>
      <c r="H23" s="24"/>
      <c r="I23" s="5"/>
    </row>
    <row r="24" spans="2:9" x14ac:dyDescent="0.25">
      <c r="B24" t="s">
        <v>31</v>
      </c>
      <c r="C24" s="22">
        <v>12277100</v>
      </c>
      <c r="D24" s="22">
        <v>15396912</v>
      </c>
      <c r="E24" s="22">
        <v>12616185</v>
      </c>
      <c r="F24" s="22">
        <v>34826983</v>
      </c>
      <c r="G24" s="22"/>
      <c r="H24" s="22">
        <v>75579005</v>
      </c>
      <c r="I24" s="5"/>
    </row>
    <row r="25" spans="2:9" x14ac:dyDescent="0.25">
      <c r="B25" t="s">
        <v>8</v>
      </c>
      <c r="C25" s="30"/>
      <c r="D25" s="24">
        <f>D24/D5</f>
        <v>2.4649145259708061E-2</v>
      </c>
      <c r="E25" s="24">
        <f t="shared" ref="E25:H25" si="6">E24/E5</f>
        <v>1.3610367671980898E-2</v>
      </c>
      <c r="F25" s="24">
        <f t="shared" si="6"/>
        <v>2.4195804570771112E-2</v>
      </c>
      <c r="G25" s="24">
        <f t="shared" si="6"/>
        <v>0</v>
      </c>
      <c r="H25" s="24">
        <f t="shared" si="6"/>
        <v>2.7996652097153674E-2</v>
      </c>
      <c r="I25" s="5"/>
    </row>
    <row r="26" spans="2:9" x14ac:dyDescent="0.25">
      <c r="C26" s="30"/>
      <c r="D26" s="30"/>
      <c r="E26" s="30"/>
      <c r="F26" s="30"/>
      <c r="G26" s="30"/>
      <c r="H26" s="30"/>
      <c r="I26" s="5"/>
    </row>
    <row r="27" spans="2:9" x14ac:dyDescent="0.25">
      <c r="B27" t="s">
        <v>32</v>
      </c>
      <c r="C27" s="34">
        <v>439811</v>
      </c>
      <c r="D27" s="34">
        <v>619463</v>
      </c>
      <c r="E27" s="33">
        <v>629368</v>
      </c>
      <c r="F27" s="33">
        <v>962164</v>
      </c>
      <c r="G27" s="33">
        <v>1443094</v>
      </c>
      <c r="H27" s="33">
        <v>1841565</v>
      </c>
      <c r="I27" s="5"/>
    </row>
    <row r="28" spans="2:9" x14ac:dyDescent="0.25">
      <c r="B28" t="s">
        <v>33</v>
      </c>
      <c r="C28" s="25"/>
      <c r="D28" s="25">
        <f t="shared" ref="D28:H28" si="7">D27/D7</f>
        <v>9.2128320184246707E-4</v>
      </c>
      <c r="E28" s="25">
        <f t="shared" si="7"/>
        <v>8.1125196712985854E-4</v>
      </c>
      <c r="F28" s="25">
        <f t="shared" si="7"/>
        <v>8.1321027279617083E-4</v>
      </c>
      <c r="G28" s="25">
        <f t="shared" si="7"/>
        <v>9.7842247621795337E-4</v>
      </c>
      <c r="H28" s="25">
        <f t="shared" si="7"/>
        <v>8.7484647716644425E-4</v>
      </c>
      <c r="I28" s="5">
        <f>AVERAGE(D28:H28)</f>
        <v>8.7980287903057885E-4</v>
      </c>
    </row>
    <row r="29" spans="2:9" x14ac:dyDescent="0.25">
      <c r="C29" s="30"/>
      <c r="D29" s="30"/>
      <c r="E29" s="30"/>
      <c r="F29" s="30"/>
      <c r="G29" s="30"/>
      <c r="H29" s="30"/>
      <c r="I29" s="5"/>
    </row>
    <row r="30" spans="2:9" x14ac:dyDescent="0.25">
      <c r="B30" t="s">
        <v>34</v>
      </c>
      <c r="C30" s="34">
        <v>69522</v>
      </c>
      <c r="D30" s="33">
        <v>59331</v>
      </c>
      <c r="E30" s="33">
        <v>151207</v>
      </c>
      <c r="F30" s="33">
        <v>299234</v>
      </c>
      <c r="G30" s="33">
        <v>346748</v>
      </c>
      <c r="H30" s="33">
        <v>645077</v>
      </c>
      <c r="I30" s="5"/>
    </row>
    <row r="31" spans="2:9" x14ac:dyDescent="0.25">
      <c r="B31" t="s">
        <v>35</v>
      </c>
      <c r="C31" s="24"/>
      <c r="D31" s="25">
        <f t="shared" ref="D31:H31" si="8">D30/D7</f>
        <v>8.8238770755501799E-5</v>
      </c>
      <c r="E31" s="25">
        <f t="shared" si="8"/>
        <v>1.9490500977775249E-4</v>
      </c>
      <c r="F31" s="25">
        <f t="shared" si="8"/>
        <v>2.5290923664769141E-4</v>
      </c>
      <c r="G31" s="25">
        <f t="shared" si="8"/>
        <v>2.3509628394520582E-4</v>
      </c>
      <c r="H31" s="25">
        <f t="shared" si="8"/>
        <v>3.0644769038893461E-4</v>
      </c>
      <c r="I31" s="4">
        <f>AVERAGE(D31:H31)</f>
        <v>2.155193983030172E-4</v>
      </c>
    </row>
    <row r="32" spans="2:9" x14ac:dyDescent="0.25">
      <c r="C32" s="24"/>
      <c r="D32" s="24"/>
      <c r="E32" s="24"/>
      <c r="F32" s="24"/>
      <c r="G32" s="24"/>
      <c r="H32" s="25"/>
      <c r="I32" s="5"/>
    </row>
    <row r="33" spans="2:9" x14ac:dyDescent="0.25">
      <c r="B33" t="s">
        <v>36</v>
      </c>
      <c r="C33" s="24"/>
      <c r="D33" s="24">
        <v>0</v>
      </c>
      <c r="E33" s="24">
        <v>1E-4</v>
      </c>
      <c r="F33" s="24">
        <v>0</v>
      </c>
      <c r="G33" s="24"/>
      <c r="H33" s="24">
        <v>0</v>
      </c>
      <c r="I33" s="5"/>
    </row>
    <row r="34" spans="2:9" x14ac:dyDescent="0.25">
      <c r="C34" s="26"/>
      <c r="D34" s="26"/>
      <c r="E34" s="26"/>
      <c r="F34" s="26"/>
      <c r="G34" s="26"/>
      <c r="H34" s="26"/>
      <c r="I34" s="5"/>
    </row>
    <row r="35" spans="2:9" x14ac:dyDescent="0.25">
      <c r="I35" s="28"/>
    </row>
    <row r="36" spans="2:9" x14ac:dyDescent="0.25">
      <c r="B36" t="s">
        <v>37</v>
      </c>
      <c r="C36" s="5">
        <f>I6+I17-I28+I31</f>
        <v>6.3407770669049101E-3</v>
      </c>
      <c r="D36" t="s">
        <v>53</v>
      </c>
      <c r="E36" s="31"/>
      <c r="F36" s="31"/>
      <c r="G36" s="28"/>
      <c r="H36" s="28"/>
      <c r="I36" s="28"/>
    </row>
    <row r="37" spans="2:9" x14ac:dyDescent="0.25">
      <c r="B37" t="s">
        <v>38</v>
      </c>
      <c r="C37" s="5">
        <f>TD!K37/100</f>
        <v>6.6401814642821242E-3</v>
      </c>
      <c r="D37" t="s">
        <v>53</v>
      </c>
    </row>
    <row r="38" spans="2:9" x14ac:dyDescent="0.25">
      <c r="B38" t="s">
        <v>39</v>
      </c>
      <c r="C38" s="5">
        <f>C37-C36</f>
        <v>2.9940439737721411E-4</v>
      </c>
    </row>
    <row r="40" spans="2:9" x14ac:dyDescent="0.25">
      <c r="B40" s="1" t="s">
        <v>40</v>
      </c>
      <c r="C40" s="32">
        <f>0.24%+I17-I28+I31</f>
        <v>5.7637907655350464E-3</v>
      </c>
    </row>
    <row r="41" spans="2:9" x14ac:dyDescent="0.25">
      <c r="B41" s="1" t="s">
        <v>41</v>
      </c>
      <c r="C41" s="32">
        <f>0.24%-I28+I31</f>
        <v>1.7357165192724382E-3</v>
      </c>
    </row>
    <row r="42" spans="2:9" x14ac:dyDescent="0.25">
      <c r="B42" s="1"/>
      <c r="C42" s="32"/>
    </row>
    <row r="43" spans="2:9" x14ac:dyDescent="0.25">
      <c r="B43" t="s">
        <v>42</v>
      </c>
      <c r="C43" s="32">
        <f>C40-C36</f>
        <v>-5.7698630136986378E-4</v>
      </c>
    </row>
    <row r="44" spans="2:9" x14ac:dyDescent="0.25">
      <c r="B44" s="1" t="s">
        <v>43</v>
      </c>
      <c r="C44" s="32">
        <f>C37+C43</f>
        <v>6.0631951629122605E-3</v>
      </c>
      <c r="D44" s="31"/>
      <c r="E44" s="31"/>
      <c r="F44" s="31"/>
      <c r="G44" s="14"/>
      <c r="H44" s="14"/>
      <c r="I44" s="14"/>
    </row>
    <row r="45" spans="2:9" x14ac:dyDescent="0.25">
      <c r="D45" s="31"/>
      <c r="E45" s="31"/>
      <c r="F45" s="31"/>
      <c r="G45" s="14"/>
      <c r="H45" s="14"/>
      <c r="I45" s="1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P65"/>
  <sheetViews>
    <sheetView workbookViewId="0"/>
  </sheetViews>
  <sheetFormatPr defaultRowHeight="15" x14ac:dyDescent="0.25"/>
  <cols>
    <col min="2" max="2" width="51.7109375" bestFit="1" customWidth="1"/>
    <col min="4" max="4" width="12.7109375" bestFit="1" customWidth="1"/>
  </cols>
  <sheetData>
    <row r="1" spans="2:13" x14ac:dyDescent="0.25">
      <c r="C1" s="18">
        <v>2013</v>
      </c>
      <c r="D1" s="18">
        <v>2014</v>
      </c>
      <c r="E1" s="18">
        <v>2015</v>
      </c>
      <c r="F1" s="18">
        <v>2016</v>
      </c>
      <c r="G1" s="18">
        <v>2017</v>
      </c>
      <c r="H1" s="18">
        <v>2018</v>
      </c>
      <c r="I1" s="18">
        <v>2019</v>
      </c>
      <c r="K1" s="1" t="s">
        <v>9</v>
      </c>
      <c r="L1" s="1" t="s">
        <v>12</v>
      </c>
    </row>
    <row r="2" spans="2:13" x14ac:dyDescent="0.25">
      <c r="B2" s="15" t="s">
        <v>15</v>
      </c>
      <c r="C2" s="16"/>
      <c r="D2" s="16">
        <v>19.47</v>
      </c>
      <c r="E2" s="16">
        <v>10.32</v>
      </c>
      <c r="F2" s="16">
        <v>10.66</v>
      </c>
      <c r="G2" s="16">
        <v>7.47</v>
      </c>
      <c r="H2" s="16">
        <v>-4.16</v>
      </c>
      <c r="I2" s="16">
        <v>30.03</v>
      </c>
      <c r="K2" s="7"/>
      <c r="L2" s="7"/>
    </row>
    <row r="3" spans="2:13" x14ac:dyDescent="0.25">
      <c r="B3" s="15" t="s">
        <v>13</v>
      </c>
      <c r="C3" s="16"/>
      <c r="D3" s="16">
        <v>20.14</v>
      </c>
      <c r="E3" s="16">
        <v>11.03</v>
      </c>
      <c r="F3" s="16">
        <v>11.39</v>
      </c>
      <c r="G3" s="16">
        <v>8.1</v>
      </c>
      <c r="H3" s="16">
        <v>-3.58</v>
      </c>
      <c r="I3" s="16">
        <v>30.76</v>
      </c>
      <c r="K3" s="7"/>
      <c r="L3" s="7"/>
    </row>
    <row r="4" spans="2:13" x14ac:dyDescent="0.25">
      <c r="B4" s="15" t="s">
        <v>14</v>
      </c>
      <c r="C4" s="16"/>
      <c r="D4" s="17">
        <v>19.5</v>
      </c>
      <c r="E4" s="17">
        <v>10.42</v>
      </c>
      <c r="F4" s="17">
        <v>10.73</v>
      </c>
      <c r="G4" s="17">
        <v>7.51</v>
      </c>
      <c r="H4" s="17">
        <v>-4.1100000000000003</v>
      </c>
      <c r="I4" s="17">
        <v>30.02</v>
      </c>
      <c r="K4" s="7"/>
      <c r="L4" s="7"/>
    </row>
    <row r="5" spans="2:13" x14ac:dyDescent="0.25">
      <c r="B5" s="15" t="s">
        <v>10</v>
      </c>
      <c r="C5" s="16"/>
      <c r="D5" s="16">
        <f>D3-D2</f>
        <v>0.67000000000000171</v>
      </c>
      <c r="E5" s="16">
        <f t="shared" ref="E5:I5" si="0">E3-E2</f>
        <v>0.70999999999999908</v>
      </c>
      <c r="F5" s="16">
        <f t="shared" si="0"/>
        <v>0.73000000000000043</v>
      </c>
      <c r="G5" s="16">
        <f t="shared" si="0"/>
        <v>0.62999999999999989</v>
      </c>
      <c r="H5" s="16">
        <f t="shared" si="0"/>
        <v>0.58000000000000007</v>
      </c>
      <c r="I5" s="16">
        <f t="shared" si="0"/>
        <v>0.73000000000000043</v>
      </c>
      <c r="K5" s="39">
        <f>AVERAGE(E5:I5)</f>
        <v>0.67599999999999993</v>
      </c>
      <c r="L5" s="7"/>
    </row>
    <row r="6" spans="2:13" x14ac:dyDescent="0.25">
      <c r="B6" s="15" t="s">
        <v>11</v>
      </c>
      <c r="C6" s="16"/>
      <c r="D6" s="16">
        <f>D2-D4</f>
        <v>-3.0000000000001137E-2</v>
      </c>
      <c r="E6" s="16">
        <f t="shared" ref="E6:I6" si="1">E2-E4</f>
        <v>-9.9999999999999645E-2</v>
      </c>
      <c r="F6" s="16">
        <f t="shared" si="1"/>
        <v>-7.0000000000000284E-2</v>
      </c>
      <c r="G6" s="16">
        <f t="shared" si="1"/>
        <v>-4.0000000000000036E-2</v>
      </c>
      <c r="H6" s="16">
        <f t="shared" si="1"/>
        <v>-4.9999999999999822E-2</v>
      </c>
      <c r="I6" s="16">
        <f t="shared" si="1"/>
        <v>1.0000000000001563E-2</v>
      </c>
      <c r="K6" s="7"/>
      <c r="L6" s="7">
        <f>AVERAGE(E6:I6)</f>
        <v>-4.9999999999999642E-2</v>
      </c>
    </row>
    <row r="7" spans="2:13" x14ac:dyDescent="0.25">
      <c r="K7" s="7"/>
      <c r="L7" s="7"/>
    </row>
    <row r="8" spans="2:13" x14ac:dyDescent="0.25">
      <c r="B8" s="15" t="s">
        <v>16</v>
      </c>
      <c r="C8">
        <v>102.36</v>
      </c>
      <c r="D8">
        <v>122.3</v>
      </c>
      <c r="E8">
        <v>134.91999999999999</v>
      </c>
      <c r="F8">
        <v>149.31</v>
      </c>
      <c r="G8">
        <v>160.47999999999999</v>
      </c>
      <c r="H8">
        <v>153.79</v>
      </c>
      <c r="I8">
        <v>199.96</v>
      </c>
      <c r="K8" s="7"/>
      <c r="L8" s="7"/>
    </row>
    <row r="9" spans="2:13" x14ac:dyDescent="0.25">
      <c r="B9" s="15" t="s">
        <v>17</v>
      </c>
      <c r="D9" s="7">
        <f>((D8-C8)/C8)*100</f>
        <v>19.480265728800312</v>
      </c>
      <c r="E9" s="7">
        <f t="shared" ref="E9:I9" si="2">((E8-D8)/D8)*100</f>
        <v>10.318887980376116</v>
      </c>
      <c r="F9" s="7">
        <f t="shared" si="2"/>
        <v>10.665579602727554</v>
      </c>
      <c r="G9" s="7">
        <f t="shared" si="2"/>
        <v>7.4810796329783589</v>
      </c>
      <c r="H9" s="7">
        <f t="shared" si="2"/>
        <v>-4.1687437686939175</v>
      </c>
      <c r="I9" s="7">
        <f t="shared" si="2"/>
        <v>30.021457832108734</v>
      </c>
      <c r="K9" s="7"/>
      <c r="L9" s="7"/>
    </row>
    <row r="10" spans="2:13" x14ac:dyDescent="0.25">
      <c r="B10" s="15" t="s">
        <v>10</v>
      </c>
      <c r="D10" s="7">
        <f t="shared" ref="D10:I10" si="3">D3-D9</f>
        <v>0.65973427119968875</v>
      </c>
      <c r="E10" s="7">
        <f t="shared" si="3"/>
        <v>0.71111201962388293</v>
      </c>
      <c r="F10" s="7">
        <f t="shared" si="3"/>
        <v>0.72442039727244634</v>
      </c>
      <c r="G10" s="7">
        <f t="shared" si="3"/>
        <v>0.61892036702164077</v>
      </c>
      <c r="H10" s="7">
        <f t="shared" si="3"/>
        <v>0.58874376869391742</v>
      </c>
      <c r="I10" s="7">
        <f t="shared" si="3"/>
        <v>0.73854216789126781</v>
      </c>
      <c r="K10" s="7">
        <f>AVERAGE(E10:I10)</f>
        <v>0.67634774410063103</v>
      </c>
      <c r="L10" s="7"/>
      <c r="M10" t="s">
        <v>53</v>
      </c>
    </row>
    <row r="11" spans="2:13" x14ac:dyDescent="0.25">
      <c r="B11" s="15" t="s">
        <v>11</v>
      </c>
      <c r="D11" s="7">
        <f t="shared" ref="D11:I11" si="4">D9-D4</f>
        <v>-1.973427119968818E-2</v>
      </c>
      <c r="E11" s="7">
        <f t="shared" si="4"/>
        <v>-0.1011120196238835</v>
      </c>
      <c r="F11" s="7">
        <f t="shared" si="4"/>
        <v>-6.4420397272446195E-2</v>
      </c>
      <c r="G11" s="7">
        <f t="shared" si="4"/>
        <v>-2.8920367021640914E-2</v>
      </c>
      <c r="H11" s="7">
        <f t="shared" si="4"/>
        <v>-5.8743768693917175E-2</v>
      </c>
      <c r="I11" s="7">
        <f t="shared" si="4"/>
        <v>1.4578321087341806E-3</v>
      </c>
      <c r="K11" s="7"/>
      <c r="L11" s="7">
        <f>AVERAGE(E11:I11)</f>
        <v>-5.0347744100630719E-2</v>
      </c>
    </row>
    <row r="12" spans="2:13" x14ac:dyDescent="0.25">
      <c r="K12" s="7"/>
      <c r="L12" s="7"/>
    </row>
    <row r="13" spans="2:13" x14ac:dyDescent="0.25">
      <c r="B13" s="15"/>
      <c r="K13" s="7"/>
      <c r="L13" s="7"/>
    </row>
    <row r="14" spans="2:13" x14ac:dyDescent="0.25">
      <c r="K14" s="7"/>
      <c r="L14" s="7"/>
    </row>
    <row r="15" spans="2:13" x14ac:dyDescent="0.25">
      <c r="B15" s="36" t="s">
        <v>56</v>
      </c>
      <c r="C15" s="37"/>
      <c r="D15" s="37">
        <v>11.08</v>
      </c>
      <c r="E15" s="37">
        <v>-5.24</v>
      </c>
      <c r="F15" s="37">
        <v>14.15</v>
      </c>
      <c r="G15" s="37">
        <v>20.61</v>
      </c>
      <c r="H15" s="37">
        <v>-10.53</v>
      </c>
      <c r="I15" s="37">
        <v>20.399999999999999</v>
      </c>
      <c r="J15" s="38"/>
      <c r="K15" s="37"/>
      <c r="L15" s="37"/>
    </row>
    <row r="16" spans="2:13" x14ac:dyDescent="0.25">
      <c r="B16" s="36" t="s">
        <v>54</v>
      </c>
      <c r="C16" s="37"/>
      <c r="D16" s="37">
        <v>11.81</v>
      </c>
      <c r="E16" s="37">
        <v>-4.87</v>
      </c>
      <c r="F16" s="37">
        <v>14.94</v>
      </c>
      <c r="G16" s="37">
        <v>21</v>
      </c>
      <c r="H16" s="37">
        <v>-9.91</v>
      </c>
      <c r="I16" s="37">
        <v>21.07</v>
      </c>
      <c r="J16" s="38"/>
      <c r="K16" s="37"/>
      <c r="L16" s="37"/>
    </row>
    <row r="17" spans="2:16" x14ac:dyDescent="0.25">
      <c r="B17" s="36" t="s">
        <v>55</v>
      </c>
      <c r="C17" s="37"/>
      <c r="D17" s="37">
        <v>11.38</v>
      </c>
      <c r="E17" s="37">
        <v>-5.23</v>
      </c>
      <c r="F17" s="37">
        <v>14.51</v>
      </c>
      <c r="G17" s="37">
        <v>20.59</v>
      </c>
      <c r="H17" s="37">
        <v>-10.26</v>
      </c>
      <c r="I17" s="38">
        <v>20.6</v>
      </c>
      <c r="J17" s="38"/>
      <c r="K17" s="37"/>
      <c r="L17" s="37"/>
    </row>
    <row r="18" spans="2:16" x14ac:dyDescent="0.25">
      <c r="B18" s="15" t="s">
        <v>10</v>
      </c>
      <c r="C18" s="37"/>
      <c r="D18" s="37">
        <f t="shared" ref="D18:I18" si="5">D16-D15</f>
        <v>0.73000000000000043</v>
      </c>
      <c r="E18" s="37">
        <f t="shared" si="5"/>
        <v>0.37000000000000011</v>
      </c>
      <c r="F18" s="37">
        <f t="shared" si="5"/>
        <v>0.78999999999999915</v>
      </c>
      <c r="G18" s="37">
        <f t="shared" si="5"/>
        <v>0.39000000000000057</v>
      </c>
      <c r="H18" s="37">
        <f t="shared" si="5"/>
        <v>0.61999999999999922</v>
      </c>
      <c r="I18" s="37">
        <f t="shared" si="5"/>
        <v>0.67000000000000171</v>
      </c>
      <c r="J18" s="38"/>
      <c r="K18" s="37">
        <f>AVERAGE(E18:I18)</f>
        <v>0.56800000000000017</v>
      </c>
      <c r="L18" s="37"/>
      <c r="M18" t="s">
        <v>53</v>
      </c>
    </row>
    <row r="19" spans="2:16" x14ac:dyDescent="0.25">
      <c r="B19" s="15" t="s">
        <v>11</v>
      </c>
      <c r="C19" s="37"/>
      <c r="D19" s="37">
        <f t="shared" ref="D19:I19" si="6">D15-D17</f>
        <v>-0.30000000000000071</v>
      </c>
      <c r="E19" s="37">
        <f t="shared" si="6"/>
        <v>-9.9999999999997868E-3</v>
      </c>
      <c r="F19" s="37">
        <f t="shared" si="6"/>
        <v>-0.35999999999999943</v>
      </c>
      <c r="G19" s="37">
        <f t="shared" si="6"/>
        <v>1.9999999999999574E-2</v>
      </c>
      <c r="H19" s="37">
        <f t="shared" si="6"/>
        <v>-0.26999999999999957</v>
      </c>
      <c r="I19" s="37">
        <f t="shared" si="6"/>
        <v>-0.20000000000000284</v>
      </c>
      <c r="J19" s="38"/>
      <c r="K19" s="37"/>
      <c r="L19" s="37">
        <f>AVERAGE(E19:I19)</f>
        <v>-0.16400000000000042</v>
      </c>
    </row>
    <row r="20" spans="2:16" x14ac:dyDescent="0.25">
      <c r="K20" s="7"/>
      <c r="L20" s="7"/>
    </row>
    <row r="21" spans="2:16" x14ac:dyDescent="0.25">
      <c r="B21" s="15" t="s">
        <v>69</v>
      </c>
      <c r="C21" s="7">
        <v>99.537599999999998</v>
      </c>
      <c r="D21" s="7">
        <v>110.5677</v>
      </c>
      <c r="E21" s="7">
        <v>104.77290000000001</v>
      </c>
      <c r="F21" s="7">
        <v>119.6022</v>
      </c>
      <c r="G21" s="7">
        <v>144.24709999999999</v>
      </c>
      <c r="H21" s="7">
        <v>129.05250000000001</v>
      </c>
      <c r="I21" s="7">
        <v>155.38249999999999</v>
      </c>
      <c r="K21" s="7"/>
      <c r="L21" s="7"/>
      <c r="P21" s="3"/>
    </row>
    <row r="22" spans="2:16" x14ac:dyDescent="0.25">
      <c r="B22" s="15" t="s">
        <v>70</v>
      </c>
      <c r="D22" s="7">
        <f>((D21-C21)/C21)*100</f>
        <v>11.081340116699625</v>
      </c>
      <c r="E22" s="7">
        <f t="shared" ref="E22:I22" si="7">((E21-D21)/D21)*100</f>
        <v>-5.2409519235726121</v>
      </c>
      <c r="F22" s="7">
        <f t="shared" si="7"/>
        <v>14.153755408125562</v>
      </c>
      <c r="G22" s="7">
        <f t="shared" si="7"/>
        <v>20.605724643861063</v>
      </c>
      <c r="H22" s="7">
        <f t="shared" si="7"/>
        <v>-10.533729967534864</v>
      </c>
      <c r="I22" s="7">
        <f t="shared" si="7"/>
        <v>20.402549350070696</v>
      </c>
      <c r="K22" s="7"/>
      <c r="L22" s="7"/>
    </row>
    <row r="23" spans="2:16" x14ac:dyDescent="0.25">
      <c r="B23" s="15" t="s">
        <v>71</v>
      </c>
      <c r="D23" s="3">
        <f>(D21-D24)/D24</f>
        <v>-2.0801302342326915E-5</v>
      </c>
      <c r="E23" s="3">
        <f t="shared" ref="E23:I23" si="8">(E21-E24)/E24</f>
        <v>2.7679679297613867E-5</v>
      </c>
      <c r="F23" s="3">
        <f t="shared" si="8"/>
        <v>-6.5211938801129822E-5</v>
      </c>
      <c r="G23" s="3">
        <f t="shared" si="8"/>
        <v>1.4377950569286098E-3</v>
      </c>
      <c r="H23" s="3">
        <f t="shared" si="8"/>
        <v>3.4406344763237336E-3</v>
      </c>
      <c r="I23" s="3">
        <f t="shared" si="8"/>
        <v>4.5416343418669923E-3</v>
      </c>
      <c r="K23" s="7"/>
      <c r="L23" s="7"/>
    </row>
    <row r="24" spans="2:16" x14ac:dyDescent="0.25">
      <c r="B24" s="15" t="s">
        <v>57</v>
      </c>
      <c r="C24">
        <v>99.54</v>
      </c>
      <c r="D24">
        <v>110.57</v>
      </c>
      <c r="E24">
        <v>104.77</v>
      </c>
      <c r="F24">
        <v>119.61</v>
      </c>
      <c r="G24">
        <v>144.04</v>
      </c>
      <c r="H24">
        <v>128.61000000000001</v>
      </c>
      <c r="I24">
        <v>154.68</v>
      </c>
      <c r="K24" s="7"/>
      <c r="L24" s="7"/>
    </row>
    <row r="25" spans="2:16" x14ac:dyDescent="0.25">
      <c r="B25" s="15" t="s">
        <v>58</v>
      </c>
      <c r="D25" s="7">
        <f>((D24-C24)/C24)*100</f>
        <v>11.080972473377523</v>
      </c>
      <c r="E25" s="7">
        <f t="shared" ref="E25:I25" si="9">((E24-D24)/D24)*100</f>
        <v>-5.2455458080853736</v>
      </c>
      <c r="F25" s="7">
        <f t="shared" si="9"/>
        <v>14.164360026725213</v>
      </c>
      <c r="G25" s="7">
        <f t="shared" si="9"/>
        <v>20.424713652704618</v>
      </c>
      <c r="H25" s="7">
        <f t="shared" si="9"/>
        <v>-10.712302138294904</v>
      </c>
      <c r="I25" s="7">
        <f t="shared" si="9"/>
        <v>20.270585491019354</v>
      </c>
      <c r="K25" s="7"/>
      <c r="L25" s="7"/>
    </row>
    <row r="26" spans="2:16" x14ac:dyDescent="0.25">
      <c r="B26" s="15" t="s">
        <v>10</v>
      </c>
      <c r="D26" s="7">
        <f t="shared" ref="D26:I26" si="10">D16-D25</f>
        <v>0.7290275266224775</v>
      </c>
      <c r="E26" s="7">
        <f t="shared" si="10"/>
        <v>0.37554580808537352</v>
      </c>
      <c r="F26" s="7">
        <f t="shared" si="10"/>
        <v>0.77563997327478695</v>
      </c>
      <c r="G26" s="7">
        <f t="shared" si="10"/>
        <v>0.57528634729538197</v>
      </c>
      <c r="H26" s="7">
        <f t="shared" si="10"/>
        <v>0.8023021382949036</v>
      </c>
      <c r="I26" s="7">
        <f t="shared" si="10"/>
        <v>0.79941450898064659</v>
      </c>
      <c r="K26" s="7">
        <f>AVERAGE(E26:I26)</f>
        <v>0.66563775518621848</v>
      </c>
      <c r="L26" s="7"/>
      <c r="M26" t="s">
        <v>53</v>
      </c>
    </row>
    <row r="27" spans="2:16" x14ac:dyDescent="0.25">
      <c r="B27" s="15" t="s">
        <v>11</v>
      </c>
      <c r="D27" s="7">
        <f t="shared" ref="D27:I27" si="11">D25-D17</f>
        <v>-0.29902752662247778</v>
      </c>
      <c r="E27" s="7">
        <f t="shared" si="11"/>
        <v>-1.5545808085373203E-2</v>
      </c>
      <c r="F27" s="7">
        <f t="shared" si="11"/>
        <v>-0.34563997327478724</v>
      </c>
      <c r="G27" s="7">
        <f t="shared" si="11"/>
        <v>-0.16528634729538183</v>
      </c>
      <c r="H27" s="7">
        <f t="shared" si="11"/>
        <v>-0.45230213829490395</v>
      </c>
      <c r="I27" s="7">
        <f t="shared" si="11"/>
        <v>-0.32941450898064772</v>
      </c>
      <c r="K27" s="7"/>
      <c r="L27" s="7">
        <f>AVERAGE(E27:I27)</f>
        <v>-0.26163775518621879</v>
      </c>
    </row>
    <row r="28" spans="2:16" x14ac:dyDescent="0.25">
      <c r="K28" s="7"/>
      <c r="L28" s="7"/>
    </row>
    <row r="29" spans="2:16" x14ac:dyDescent="0.25">
      <c r="K29" s="7"/>
      <c r="L29" s="7"/>
    </row>
    <row r="30" spans="2:16" x14ac:dyDescent="0.25">
      <c r="K30" s="7"/>
      <c r="L30" s="7"/>
    </row>
    <row r="31" spans="2:16" x14ac:dyDescent="0.25">
      <c r="B31" s="36" t="s">
        <v>59</v>
      </c>
      <c r="C31" s="38"/>
      <c r="D31" s="38">
        <v>15.9</v>
      </c>
      <c r="E31" s="38">
        <v>10.8</v>
      </c>
      <c r="F31" s="38">
        <v>15.95</v>
      </c>
      <c r="G31" s="38">
        <v>7.63</v>
      </c>
      <c r="H31" s="38">
        <v>-9.66</v>
      </c>
      <c r="I31" s="38">
        <v>28.3</v>
      </c>
      <c r="J31" s="38"/>
      <c r="K31" s="37"/>
      <c r="L31" s="7"/>
    </row>
    <row r="32" spans="2:16" x14ac:dyDescent="0.25">
      <c r="B32" s="36" t="s">
        <v>60</v>
      </c>
      <c r="C32" s="38"/>
      <c r="D32" s="38">
        <v>16.52</v>
      </c>
      <c r="E32" s="38">
        <v>11.52</v>
      </c>
      <c r="F32" s="38">
        <v>16.64</v>
      </c>
      <c r="G32" s="38">
        <v>8.1999999999999993</v>
      </c>
      <c r="H32" s="38">
        <v>-9.1199999999999992</v>
      </c>
      <c r="I32" s="38">
        <v>29.12</v>
      </c>
      <c r="J32" s="38"/>
      <c r="K32" s="37"/>
      <c r="L32" s="7"/>
    </row>
    <row r="33" spans="2:12" x14ac:dyDescent="0.25">
      <c r="B33" s="15" t="s">
        <v>10</v>
      </c>
      <c r="C33" s="38"/>
      <c r="D33" s="38">
        <f t="shared" ref="D33:I33" si="12">D32-D31</f>
        <v>0.61999999999999922</v>
      </c>
      <c r="E33" s="38">
        <f t="shared" si="12"/>
        <v>0.71999999999999886</v>
      </c>
      <c r="F33" s="38">
        <f t="shared" si="12"/>
        <v>0.69000000000000128</v>
      </c>
      <c r="G33" s="38">
        <f t="shared" si="12"/>
        <v>0.5699999999999994</v>
      </c>
      <c r="H33" s="38">
        <f t="shared" si="12"/>
        <v>0.54000000000000092</v>
      </c>
      <c r="I33" s="38">
        <f t="shared" si="12"/>
        <v>0.82000000000000028</v>
      </c>
      <c r="J33" s="38"/>
      <c r="K33" s="37">
        <f>AVERAGE(E33:I33)</f>
        <v>0.66800000000000015</v>
      </c>
      <c r="L33" s="7"/>
    </row>
    <row r="34" spans="2:12" x14ac:dyDescent="0.25">
      <c r="K34" s="7"/>
      <c r="L34" s="7"/>
    </row>
    <row r="35" spans="2:12" x14ac:dyDescent="0.25">
      <c r="B35" s="15" t="s">
        <v>61</v>
      </c>
      <c r="C35">
        <v>102.51</v>
      </c>
      <c r="D35">
        <v>118.8</v>
      </c>
      <c r="E35">
        <v>131.63999999999999</v>
      </c>
      <c r="F35">
        <v>152.63999999999999</v>
      </c>
      <c r="G35">
        <v>164.21</v>
      </c>
      <c r="H35">
        <v>148.38</v>
      </c>
      <c r="I35">
        <v>190.43</v>
      </c>
      <c r="K35" s="7"/>
      <c r="L35" s="7"/>
    </row>
    <row r="36" spans="2:12" x14ac:dyDescent="0.25">
      <c r="B36" s="15" t="s">
        <v>62</v>
      </c>
      <c r="D36" s="7">
        <f>((D35-C35)/C35)*100</f>
        <v>15.891132572431948</v>
      </c>
      <c r="E36" s="7">
        <f t="shared" ref="E36:I36" si="13">((E35-D35)/D35)*100</f>
        <v>10.808080808080799</v>
      </c>
      <c r="F36" s="7">
        <f t="shared" si="13"/>
        <v>15.952597994530541</v>
      </c>
      <c r="G36" s="7">
        <f t="shared" si="13"/>
        <v>7.5799266247379604</v>
      </c>
      <c r="H36" s="7">
        <f t="shared" si="13"/>
        <v>-9.6400950003044947</v>
      </c>
      <c r="I36" s="7">
        <f t="shared" si="13"/>
        <v>28.339398840814134</v>
      </c>
      <c r="K36" s="7"/>
      <c r="L36" s="7"/>
    </row>
    <row r="37" spans="2:12" x14ac:dyDescent="0.25">
      <c r="B37" s="15" t="s">
        <v>10</v>
      </c>
      <c r="D37" s="7">
        <f>D32-D36</f>
        <v>0.6288674275680517</v>
      </c>
      <c r="E37" s="7">
        <f t="shared" ref="E37:I37" si="14">E32-E36</f>
        <v>0.7119191919192005</v>
      </c>
      <c r="F37" s="7">
        <f t="shared" si="14"/>
        <v>0.68740200546946006</v>
      </c>
      <c r="G37" s="7">
        <f t="shared" si="14"/>
        <v>0.62007337526203887</v>
      </c>
      <c r="H37" s="7">
        <f t="shared" si="14"/>
        <v>0.52009500030449551</v>
      </c>
      <c r="I37" s="7">
        <f t="shared" si="14"/>
        <v>0.78060115918586703</v>
      </c>
      <c r="K37" s="7">
        <f>AVERAGE(E37:I37)</f>
        <v>0.66401814642821244</v>
      </c>
      <c r="L37" s="7"/>
    </row>
    <row r="38" spans="2:12" x14ac:dyDescent="0.25">
      <c r="K38" s="7"/>
      <c r="L38" s="7"/>
    </row>
    <row r="39" spans="2:12" x14ac:dyDescent="0.25">
      <c r="K39" s="7"/>
      <c r="L39" s="7"/>
    </row>
    <row r="40" spans="2:12" x14ac:dyDescent="0.25">
      <c r="B40" s="15"/>
      <c r="K40" s="7"/>
      <c r="L40" s="7"/>
    </row>
    <row r="41" spans="2:12" x14ac:dyDescent="0.25">
      <c r="B41" s="1" t="s">
        <v>76</v>
      </c>
      <c r="D41">
        <v>6.93</v>
      </c>
      <c r="E41">
        <v>8.33</v>
      </c>
      <c r="F41">
        <v>2.64</v>
      </c>
      <c r="G41">
        <v>10.49</v>
      </c>
      <c r="H41">
        <v>-10.45</v>
      </c>
      <c r="I41">
        <v>26.6</v>
      </c>
      <c r="K41" s="7"/>
      <c r="L41" s="7"/>
    </row>
    <row r="42" spans="2:12" x14ac:dyDescent="0.25">
      <c r="B42" s="1" t="s">
        <v>78</v>
      </c>
      <c r="D42">
        <v>7.4</v>
      </c>
      <c r="E42">
        <v>8.7799999999999994</v>
      </c>
      <c r="F42">
        <v>3.22</v>
      </c>
      <c r="G42">
        <v>10.88</v>
      </c>
      <c r="H42">
        <v>-10</v>
      </c>
      <c r="I42">
        <v>26.88</v>
      </c>
      <c r="K42" s="7"/>
      <c r="L42" s="7"/>
    </row>
    <row r="43" spans="2:12" x14ac:dyDescent="0.25">
      <c r="B43" s="1" t="s">
        <v>77</v>
      </c>
      <c r="D43">
        <v>6.84</v>
      </c>
      <c r="E43">
        <v>8.2200000000000006</v>
      </c>
      <c r="F43">
        <v>2.58</v>
      </c>
      <c r="G43">
        <v>10.24</v>
      </c>
      <c r="H43">
        <v>-10.57</v>
      </c>
      <c r="I43">
        <v>26.05</v>
      </c>
      <c r="K43" s="7"/>
      <c r="L43" s="7"/>
    </row>
    <row r="44" spans="2:12" x14ac:dyDescent="0.25">
      <c r="B44" s="15" t="s">
        <v>10</v>
      </c>
      <c r="D44">
        <f>D42-D41</f>
        <v>0.47000000000000064</v>
      </c>
      <c r="E44">
        <f t="shared" ref="E44:I44" si="15">E42-E41</f>
        <v>0.44999999999999929</v>
      </c>
      <c r="F44">
        <f t="shared" si="15"/>
        <v>0.58000000000000007</v>
      </c>
      <c r="G44">
        <f t="shared" si="15"/>
        <v>0.39000000000000057</v>
      </c>
      <c r="H44">
        <f t="shared" si="15"/>
        <v>0.44999999999999929</v>
      </c>
      <c r="I44">
        <f t="shared" si="15"/>
        <v>0.27999999999999758</v>
      </c>
      <c r="K44" s="7">
        <f>AVERAGE(E44:I44)</f>
        <v>0.42999999999999938</v>
      </c>
      <c r="L44" s="7"/>
    </row>
    <row r="45" spans="2:12" x14ac:dyDescent="0.25">
      <c r="B45" s="15" t="s">
        <v>11</v>
      </c>
      <c r="D45">
        <f>D41-D43</f>
        <v>8.9999999999999858E-2</v>
      </c>
      <c r="E45">
        <f t="shared" ref="E45:I45" si="16">E41-E43</f>
        <v>0.10999999999999943</v>
      </c>
      <c r="F45">
        <f t="shared" si="16"/>
        <v>6.0000000000000053E-2</v>
      </c>
      <c r="G45">
        <f t="shared" si="16"/>
        <v>0.25</v>
      </c>
      <c r="H45">
        <f t="shared" si="16"/>
        <v>0.12000000000000099</v>
      </c>
      <c r="I45">
        <f t="shared" si="16"/>
        <v>0.55000000000000071</v>
      </c>
      <c r="K45" s="7"/>
      <c r="L45" s="7">
        <f>AVERAGE(E45:I45)</f>
        <v>0.21800000000000025</v>
      </c>
    </row>
    <row r="46" spans="2:12" x14ac:dyDescent="0.25">
      <c r="K46" s="7"/>
      <c r="L46" s="7"/>
    </row>
    <row r="47" spans="2:12" x14ac:dyDescent="0.25">
      <c r="B47" s="15" t="s">
        <v>65</v>
      </c>
      <c r="C47">
        <v>103.73</v>
      </c>
      <c r="D47">
        <v>110.92</v>
      </c>
      <c r="E47">
        <v>120.16</v>
      </c>
      <c r="F47">
        <v>123.33</v>
      </c>
      <c r="G47">
        <v>136.27000000000001</v>
      </c>
      <c r="H47">
        <v>122.04</v>
      </c>
      <c r="I47">
        <v>154.49</v>
      </c>
      <c r="K47" s="7"/>
      <c r="L47" s="7"/>
    </row>
    <row r="48" spans="2:12" x14ac:dyDescent="0.25">
      <c r="B48" s="15" t="s">
        <v>66</v>
      </c>
      <c r="D48" s="7">
        <f>((D47-C47)/C47)*100</f>
        <v>6.9314566663453174</v>
      </c>
      <c r="E48" s="7">
        <f t="shared" ref="E48:I48" si="17">((E47-D47)/D47)*100</f>
        <v>8.330328164442836</v>
      </c>
      <c r="F48" s="7">
        <f t="shared" si="17"/>
        <v>2.6381491344873518</v>
      </c>
      <c r="G48" s="7">
        <f t="shared" si="17"/>
        <v>10.492175464201745</v>
      </c>
      <c r="H48" s="7">
        <f t="shared" si="17"/>
        <v>-10.442503852645485</v>
      </c>
      <c r="I48" s="7">
        <f t="shared" si="17"/>
        <v>26.589642740085218</v>
      </c>
      <c r="K48" s="7"/>
      <c r="L48" s="7"/>
    </row>
    <row r="49" spans="2:12" x14ac:dyDescent="0.25">
      <c r="B49" s="15" t="s">
        <v>10</v>
      </c>
      <c r="D49" s="7">
        <f>D42-D48</f>
        <v>0.46854333365468293</v>
      </c>
      <c r="E49" s="7">
        <f t="shared" ref="E49:I49" si="18">E42-E48</f>
        <v>0.44967183555716339</v>
      </c>
      <c r="F49" s="7">
        <f t="shared" si="18"/>
        <v>0.58185086551264842</v>
      </c>
      <c r="G49" s="7">
        <f t="shared" si="18"/>
        <v>0.38782453579825571</v>
      </c>
      <c r="H49" s="7">
        <f t="shared" si="18"/>
        <v>0.4425038526454852</v>
      </c>
      <c r="I49" s="7">
        <f t="shared" si="18"/>
        <v>0.29035725991478145</v>
      </c>
      <c r="K49" s="7">
        <f>AVERAGE(E49:I49)</f>
        <v>0.43044166988566684</v>
      </c>
    </row>
    <row r="50" spans="2:12" x14ac:dyDescent="0.25">
      <c r="B50" s="15" t="s">
        <v>11</v>
      </c>
      <c r="D50" s="7">
        <f>D43-D48</f>
        <v>-9.1456666345317572E-2</v>
      </c>
      <c r="E50" s="7">
        <f t="shared" ref="E50:I50" si="19">E43-E48</f>
        <v>-0.11032816444283533</v>
      </c>
      <c r="F50" s="7">
        <f t="shared" si="19"/>
        <v>-5.8149134487351706E-2</v>
      </c>
      <c r="G50" s="7">
        <f t="shared" si="19"/>
        <v>-0.25217546420174486</v>
      </c>
      <c r="H50" s="7">
        <f t="shared" si="19"/>
        <v>-0.12749614735451509</v>
      </c>
      <c r="I50" s="7">
        <f t="shared" si="19"/>
        <v>-0.53964274008521684</v>
      </c>
      <c r="K50" s="7"/>
      <c r="L50" s="7">
        <f>AVERAGE(E50:I50)</f>
        <v>-0.21755833011433276</v>
      </c>
    </row>
    <row r="51" spans="2:12" x14ac:dyDescent="0.25">
      <c r="B51" s="15"/>
      <c r="K51" s="7"/>
      <c r="L51" s="7"/>
    </row>
    <row r="54" spans="2:12" x14ac:dyDescent="0.25">
      <c r="B54" s="15" t="s">
        <v>74</v>
      </c>
      <c r="D54">
        <v>28.61</v>
      </c>
      <c r="E54">
        <v>12.23</v>
      </c>
      <c r="F54">
        <v>14.54</v>
      </c>
      <c r="G54">
        <v>6.32</v>
      </c>
      <c r="H54">
        <v>-0.24</v>
      </c>
      <c r="I54">
        <v>33.06</v>
      </c>
      <c r="K54" s="7"/>
      <c r="L54" s="7"/>
    </row>
    <row r="55" spans="2:12" x14ac:dyDescent="0.25">
      <c r="B55" s="15" t="s">
        <v>75</v>
      </c>
      <c r="D55">
        <v>28.67</v>
      </c>
      <c r="E55">
        <v>12.22</v>
      </c>
      <c r="F55">
        <v>14.55</v>
      </c>
      <c r="G55">
        <v>6.37</v>
      </c>
      <c r="H55">
        <v>-0.15</v>
      </c>
      <c r="I55">
        <v>33.1</v>
      </c>
      <c r="K55" s="7"/>
      <c r="L55" s="7"/>
    </row>
    <row r="56" spans="2:12" x14ac:dyDescent="0.25">
      <c r="B56" s="15" t="s">
        <v>10</v>
      </c>
      <c r="D56" s="7">
        <f>D60-D54</f>
        <v>0.85307249620334247</v>
      </c>
      <c r="E56" s="7">
        <f t="shared" ref="E56:I56" si="20">E60-E54</f>
        <v>0.70323660834870516</v>
      </c>
      <c r="F56" s="7">
        <f t="shared" si="20"/>
        <v>0.76899884170280686</v>
      </c>
      <c r="G56" s="7">
        <f t="shared" si="20"/>
        <v>0.69353577735896987</v>
      </c>
      <c r="H56" s="7">
        <f t="shared" si="20"/>
        <v>0.67777430118097715</v>
      </c>
      <c r="I56" s="7">
        <f t="shared" si="20"/>
        <v>0.84520668493573226</v>
      </c>
      <c r="K56" s="7">
        <f>AVERAGE(E56:I56)</f>
        <v>0.73775044270543833</v>
      </c>
      <c r="L56" s="7"/>
    </row>
    <row r="57" spans="2:12" x14ac:dyDescent="0.25">
      <c r="B57" s="15" t="s">
        <v>11</v>
      </c>
      <c r="D57">
        <f>D54-D55</f>
        <v>-6.0000000000002274E-2</v>
      </c>
      <c r="E57">
        <f t="shared" ref="E57:I57" si="21">E54-E55</f>
        <v>9.9999999999997868E-3</v>
      </c>
      <c r="F57">
        <f t="shared" si="21"/>
        <v>-1.0000000000001563E-2</v>
      </c>
      <c r="G57">
        <f t="shared" si="21"/>
        <v>-4.9999999999999822E-2</v>
      </c>
      <c r="H57">
        <f t="shared" si="21"/>
        <v>-0.09</v>
      </c>
      <c r="I57">
        <f t="shared" si="21"/>
        <v>-3.9999999999999147E-2</v>
      </c>
      <c r="K57" s="7"/>
      <c r="L57" s="7">
        <f>AVERAGE(E57:I57)</f>
        <v>-3.600000000000015E-2</v>
      </c>
    </row>
    <row r="58" spans="2:12" x14ac:dyDescent="0.25">
      <c r="K58" s="7"/>
      <c r="L58" s="7"/>
    </row>
    <row r="59" spans="2:12" x14ac:dyDescent="0.25">
      <c r="B59" s="15" t="s">
        <v>72</v>
      </c>
      <c r="C59">
        <v>2001.76</v>
      </c>
      <c r="D59">
        <v>2591.54</v>
      </c>
      <c r="E59">
        <v>2926.71</v>
      </c>
      <c r="F59">
        <v>3374.76</v>
      </c>
      <c r="G59">
        <v>3611.45</v>
      </c>
      <c r="H59">
        <v>3627.26</v>
      </c>
      <c r="I59">
        <v>4857.09</v>
      </c>
      <c r="K59" s="7"/>
      <c r="L59" s="7"/>
    </row>
    <row r="60" spans="2:12" x14ac:dyDescent="0.25">
      <c r="B60" s="15" t="s">
        <v>73</v>
      </c>
      <c r="D60" s="7">
        <f>((D59-C59)/C59)*100</f>
        <v>29.463072496203342</v>
      </c>
      <c r="E60" s="7">
        <f t="shared" ref="E60:I60" si="22">((E59-D59)/D59)*100</f>
        <v>12.933236608348706</v>
      </c>
      <c r="F60" s="7">
        <f t="shared" si="22"/>
        <v>15.308998841702806</v>
      </c>
      <c r="G60" s="7">
        <f t="shared" si="22"/>
        <v>7.0135357773589702</v>
      </c>
      <c r="H60" s="7">
        <f t="shared" si="22"/>
        <v>0.43777430118097715</v>
      </c>
      <c r="I60" s="7">
        <f t="shared" si="22"/>
        <v>33.905206684935735</v>
      </c>
      <c r="K60" s="7"/>
      <c r="L60" s="7"/>
    </row>
    <row r="61" spans="2:12" x14ac:dyDescent="0.25">
      <c r="B61" s="15"/>
      <c r="D61" s="7"/>
      <c r="E61" s="7"/>
      <c r="F61" s="7"/>
      <c r="G61" s="7"/>
      <c r="H61" s="7"/>
      <c r="I61" s="7"/>
      <c r="K61" s="7"/>
      <c r="L61" s="7"/>
    </row>
    <row r="62" spans="2:12" x14ac:dyDescent="0.25">
      <c r="B62" s="15" t="s">
        <v>63</v>
      </c>
      <c r="C62">
        <v>101.77</v>
      </c>
      <c r="D62">
        <v>130.88</v>
      </c>
      <c r="E62">
        <v>146.88</v>
      </c>
      <c r="F62" s="17">
        <v>168.25</v>
      </c>
      <c r="G62">
        <v>178.89</v>
      </c>
      <c r="H62">
        <v>178.45</v>
      </c>
      <c r="I62">
        <v>237.45</v>
      </c>
      <c r="K62" s="7"/>
      <c r="L62" s="7"/>
    </row>
    <row r="63" spans="2:12" x14ac:dyDescent="0.25">
      <c r="B63" s="15" t="s">
        <v>64</v>
      </c>
      <c r="D63" s="7">
        <f>((D62-C62)/C62)*100</f>
        <v>28.60371425763978</v>
      </c>
      <c r="E63" s="7">
        <f t="shared" ref="E63:I63" si="23">((E62-D62)/D62)*100</f>
        <v>12.224938875305625</v>
      </c>
      <c r="F63" s="7">
        <f t="shared" si="23"/>
        <v>14.549291938997824</v>
      </c>
      <c r="G63" s="7">
        <f t="shared" si="23"/>
        <v>6.3239227340267377</v>
      </c>
      <c r="H63" s="7">
        <f t="shared" si="23"/>
        <v>-0.24596120520990428</v>
      </c>
      <c r="I63" s="7">
        <f t="shared" si="23"/>
        <v>33.062482488091902</v>
      </c>
      <c r="K63" s="7"/>
      <c r="L63" s="7"/>
    </row>
    <row r="64" spans="2:12" x14ac:dyDescent="0.25">
      <c r="B64" s="15" t="s">
        <v>10</v>
      </c>
      <c r="D64" s="7">
        <f>D60-D63</f>
        <v>0.85935823856356208</v>
      </c>
      <c r="E64" s="7">
        <f t="shared" ref="E64:I64" si="24">E60-E63</f>
        <v>0.70829773304308041</v>
      </c>
      <c r="F64" s="7">
        <f t="shared" si="24"/>
        <v>0.75970690270498231</v>
      </c>
      <c r="G64" s="7">
        <f t="shared" si="24"/>
        <v>0.6896130433322325</v>
      </c>
      <c r="H64" s="7">
        <f t="shared" si="24"/>
        <v>0.68373550639088143</v>
      </c>
      <c r="I64" s="7">
        <f t="shared" si="24"/>
        <v>0.84272419684383237</v>
      </c>
      <c r="K64" s="7">
        <f>AVERAGE(E64:I64)</f>
        <v>0.73681547646300183</v>
      </c>
    </row>
    <row r="65" spans="2:12" x14ac:dyDescent="0.25">
      <c r="B65" s="15" t="s">
        <v>11</v>
      </c>
      <c r="D65" s="7">
        <f>D63-D55</f>
        <v>-6.6285742360221889E-2</v>
      </c>
      <c r="E65" s="7">
        <f t="shared" ref="E65:I65" si="25">E63-E55</f>
        <v>4.9388753056245349E-3</v>
      </c>
      <c r="F65" s="7">
        <f t="shared" si="25"/>
        <v>-7.0806100217701839E-4</v>
      </c>
      <c r="G65" s="7">
        <f t="shared" si="25"/>
        <v>-4.6077265973262449E-2</v>
      </c>
      <c r="H65" s="7">
        <f t="shared" si="25"/>
        <v>-9.5961205209904282E-2</v>
      </c>
      <c r="I65" s="7">
        <f t="shared" si="25"/>
        <v>-3.7517511908099266E-2</v>
      </c>
      <c r="L65" s="7">
        <f>AVERAGE(E65:I65)</f>
        <v>-3.5065033757563695E-2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CECF-BF14-4845-8173-0C61AC18ABD7}">
  <dimension ref="B1:I25"/>
  <sheetViews>
    <sheetView workbookViewId="0"/>
  </sheetViews>
  <sheetFormatPr defaultRowHeight="15" x14ac:dyDescent="0.25"/>
  <cols>
    <col min="2" max="2" width="33.28515625" customWidth="1"/>
    <col min="3" max="3" width="12.5703125" customWidth="1"/>
    <col min="4" max="4" width="12.28515625" customWidth="1"/>
    <col min="5" max="8" width="15.140625" bestFit="1" customWidth="1"/>
    <col min="9" max="9" width="14.42578125" customWidth="1"/>
    <col min="10" max="10" width="11" customWidth="1"/>
    <col min="11" max="11" width="14" customWidth="1"/>
  </cols>
  <sheetData>
    <row r="1" spans="2:9" x14ac:dyDescent="0.25">
      <c r="I1" s="12"/>
    </row>
    <row r="2" spans="2:9" x14ac:dyDescent="0.25">
      <c r="B2" s="10" t="s">
        <v>5</v>
      </c>
      <c r="C2" s="10">
        <v>2014</v>
      </c>
      <c r="D2" s="10">
        <v>2015</v>
      </c>
      <c r="E2" s="10">
        <v>2016</v>
      </c>
      <c r="F2" s="10">
        <v>2017</v>
      </c>
      <c r="G2" s="10">
        <v>2018</v>
      </c>
      <c r="H2" s="10">
        <v>2019</v>
      </c>
      <c r="I2" s="11" t="s">
        <v>1</v>
      </c>
    </row>
    <row r="3" spans="2:9" x14ac:dyDescent="0.25">
      <c r="B3" t="s">
        <v>2</v>
      </c>
      <c r="C3" s="9">
        <v>231880154</v>
      </c>
      <c r="D3" s="9">
        <v>226198931</v>
      </c>
      <c r="E3" s="9">
        <v>223222039</v>
      </c>
      <c r="F3" s="9">
        <v>245815818</v>
      </c>
      <c r="G3" s="9">
        <v>274768506</v>
      </c>
      <c r="H3" s="9">
        <v>281441122</v>
      </c>
      <c r="I3" s="12"/>
    </row>
    <row r="4" spans="2:9" x14ac:dyDescent="0.25">
      <c r="B4" t="s">
        <v>0</v>
      </c>
      <c r="C4" s="9">
        <v>39535737</v>
      </c>
      <c r="D4" s="9">
        <v>44341565</v>
      </c>
      <c r="E4" s="9">
        <v>41371984</v>
      </c>
      <c r="F4" s="9">
        <v>44756666</v>
      </c>
      <c r="G4" s="9">
        <v>49706758</v>
      </c>
      <c r="H4" s="9">
        <v>51221448</v>
      </c>
      <c r="I4" s="12"/>
    </row>
    <row r="5" spans="2:9" x14ac:dyDescent="0.25">
      <c r="B5" s="2" t="s">
        <v>6</v>
      </c>
      <c r="C5" s="6">
        <f>C4/C3</f>
        <v>0.17050073634158444</v>
      </c>
      <c r="D5" s="6">
        <f t="shared" ref="D5:H5" si="0">D4/D3</f>
        <v>0.19602906523019775</v>
      </c>
      <c r="E5" s="6">
        <f t="shared" si="0"/>
        <v>0.18534005058523814</v>
      </c>
      <c r="F5" s="6">
        <f t="shared" si="0"/>
        <v>0.18207398679282713</v>
      </c>
      <c r="G5" s="6">
        <f t="shared" si="0"/>
        <v>0.18090413171297004</v>
      </c>
      <c r="H5" s="6">
        <f t="shared" si="0"/>
        <v>0.18199702884925253</v>
      </c>
      <c r="I5" s="13">
        <f>AVERAGE(C5:H5)</f>
        <v>0.18280749991867837</v>
      </c>
    </row>
    <row r="6" spans="2:9" x14ac:dyDescent="0.25">
      <c r="I6" s="12"/>
    </row>
    <row r="7" spans="2:9" x14ac:dyDescent="0.25">
      <c r="I7" s="12"/>
    </row>
    <row r="8" spans="2:9" x14ac:dyDescent="0.25">
      <c r="B8" s="10" t="s">
        <v>3</v>
      </c>
      <c r="C8" s="10">
        <v>2014</v>
      </c>
      <c r="D8" s="10">
        <v>2015</v>
      </c>
      <c r="E8" s="10">
        <v>2016</v>
      </c>
      <c r="F8" s="10">
        <v>2017</v>
      </c>
      <c r="G8" s="10">
        <v>2018</v>
      </c>
      <c r="H8" s="10">
        <v>2019</v>
      </c>
      <c r="I8" s="11" t="s">
        <v>1</v>
      </c>
    </row>
    <row r="9" spans="2:9" x14ac:dyDescent="0.25">
      <c r="B9" t="s">
        <v>2</v>
      </c>
      <c r="C9" s="9">
        <v>13944987</v>
      </c>
      <c r="D9" s="9">
        <v>15761605</v>
      </c>
      <c r="E9" s="9">
        <v>16231153</v>
      </c>
      <c r="F9" s="9">
        <v>23583250</v>
      </c>
      <c r="G9" s="9">
        <v>32845105</v>
      </c>
      <c r="H9" s="9">
        <v>44903246</v>
      </c>
      <c r="I9" s="12"/>
    </row>
    <row r="10" spans="2:9" x14ac:dyDescent="0.25">
      <c r="B10" t="s">
        <v>0</v>
      </c>
      <c r="C10" s="9">
        <v>2565136</v>
      </c>
      <c r="D10" s="9">
        <v>2868270</v>
      </c>
      <c r="E10" s="9">
        <v>3422226</v>
      </c>
      <c r="F10" s="9">
        <v>4191552</v>
      </c>
      <c r="G10" s="9">
        <v>5957479</v>
      </c>
      <c r="H10" s="9">
        <v>8170665</v>
      </c>
      <c r="I10" s="12"/>
    </row>
    <row r="11" spans="2:9" x14ac:dyDescent="0.25">
      <c r="B11" s="2" t="s">
        <v>6</v>
      </c>
      <c r="C11" s="6">
        <f>C10/C9</f>
        <v>0.18394681902536014</v>
      </c>
      <c r="D11" s="6">
        <f t="shared" ref="D11:H11" si="1">D10/D9</f>
        <v>0.18197829472315796</v>
      </c>
      <c r="E11" s="6">
        <f t="shared" si="1"/>
        <v>0.21084306210409082</v>
      </c>
      <c r="F11" s="6">
        <f t="shared" si="1"/>
        <v>0.1777342817465786</v>
      </c>
      <c r="G11" s="6">
        <f t="shared" si="1"/>
        <v>0.18138103075024423</v>
      </c>
      <c r="H11" s="6">
        <f t="shared" si="1"/>
        <v>0.18196156687647927</v>
      </c>
      <c r="I11" s="13">
        <f>AVERAGE(C11:H11)</f>
        <v>0.18630750920431849</v>
      </c>
    </row>
    <row r="12" spans="2:9" x14ac:dyDescent="0.25">
      <c r="B12" s="2"/>
      <c r="C12" s="9"/>
      <c r="D12" s="9"/>
      <c r="E12" s="9"/>
      <c r="F12" s="9"/>
      <c r="G12" s="9"/>
      <c r="H12" s="9"/>
      <c r="I12" s="12"/>
    </row>
    <row r="13" spans="2:9" x14ac:dyDescent="0.25">
      <c r="I13" s="12"/>
    </row>
    <row r="14" spans="2:9" x14ac:dyDescent="0.25">
      <c r="B14" s="10" t="s">
        <v>4</v>
      </c>
      <c r="C14" s="10">
        <v>2014</v>
      </c>
      <c r="D14" s="10">
        <v>2015</v>
      </c>
      <c r="E14" s="10">
        <v>2016</v>
      </c>
      <c r="F14" s="10">
        <v>2017</v>
      </c>
      <c r="G14" s="10">
        <v>2018</v>
      </c>
      <c r="H14" s="10">
        <v>2019</v>
      </c>
      <c r="I14" s="11" t="s">
        <v>1</v>
      </c>
    </row>
    <row r="15" spans="2:9" x14ac:dyDescent="0.25">
      <c r="B15" t="s">
        <v>2</v>
      </c>
      <c r="C15" s="9">
        <v>201401546</v>
      </c>
      <c r="D15" s="9">
        <v>184653314</v>
      </c>
      <c r="E15" s="9">
        <v>191368175</v>
      </c>
      <c r="F15" s="9">
        <v>244455039</v>
      </c>
      <c r="G15" s="9">
        <v>282044286</v>
      </c>
      <c r="H15" s="9">
        <v>279075341</v>
      </c>
      <c r="I15" s="12"/>
    </row>
    <row r="16" spans="2:9" x14ac:dyDescent="0.25">
      <c r="B16" t="s">
        <v>0</v>
      </c>
      <c r="C16" s="9">
        <v>15487001</v>
      </c>
      <c r="D16" s="9">
        <v>18051966</v>
      </c>
      <c r="E16" s="9">
        <v>21509558</v>
      </c>
      <c r="F16" s="9">
        <v>27381329</v>
      </c>
      <c r="G16" s="9">
        <v>33421807</v>
      </c>
      <c r="H16" s="9">
        <v>32065881</v>
      </c>
      <c r="I16" s="12"/>
    </row>
    <row r="17" spans="2:9" x14ac:dyDescent="0.25">
      <c r="B17" s="2" t="s">
        <v>6</v>
      </c>
      <c r="C17" s="6">
        <f>C16/C15</f>
        <v>7.6896137629449968E-2</v>
      </c>
      <c r="D17" s="6">
        <f t="shared" ref="D17:H17" si="2">D16/D15</f>
        <v>9.7761397339448775E-2</v>
      </c>
      <c r="E17" s="6">
        <f t="shared" si="2"/>
        <v>0.11239882493523283</v>
      </c>
      <c r="F17" s="6">
        <f t="shared" si="2"/>
        <v>0.11200967307530119</v>
      </c>
      <c r="G17" s="6">
        <f t="shared" si="2"/>
        <v>0.11849843680222616</v>
      </c>
      <c r="H17" s="6">
        <f t="shared" si="2"/>
        <v>0.11490044546787816</v>
      </c>
      <c r="I17" s="13">
        <f>AVERAGE(C17:H17)</f>
        <v>0.10541081920825618</v>
      </c>
    </row>
    <row r="20" spans="2:9" x14ac:dyDescent="0.25">
      <c r="B20" s="10" t="s">
        <v>7</v>
      </c>
      <c r="C20" s="10">
        <v>2014</v>
      </c>
      <c r="D20" s="10">
        <v>2015</v>
      </c>
      <c r="E20" s="10">
        <v>2016</v>
      </c>
      <c r="F20" s="10">
        <v>2017</v>
      </c>
      <c r="G20" s="10">
        <v>2018</v>
      </c>
      <c r="H20" s="10">
        <v>2019</v>
      </c>
      <c r="I20" s="11" t="s">
        <v>1</v>
      </c>
    </row>
    <row r="21" spans="2:9" x14ac:dyDescent="0.25">
      <c r="B21" t="s">
        <v>2</v>
      </c>
      <c r="C21" s="9">
        <v>127594401</v>
      </c>
      <c r="D21" s="9">
        <v>106329115</v>
      </c>
      <c r="E21" s="9">
        <v>120261684</v>
      </c>
      <c r="F21" s="9">
        <v>121851075</v>
      </c>
      <c r="G21" s="9">
        <v>139856910</v>
      </c>
      <c r="H21" s="9">
        <v>144778219</v>
      </c>
    </row>
    <row r="22" spans="2:9" x14ac:dyDescent="0.25">
      <c r="B22" t="s">
        <v>0</v>
      </c>
      <c r="C22" s="9">
        <v>36349221</v>
      </c>
      <c r="D22" s="9">
        <v>30258843</v>
      </c>
      <c r="E22" s="9">
        <v>33504392</v>
      </c>
      <c r="F22" s="9">
        <v>35980983</v>
      </c>
      <c r="G22" s="9">
        <v>42860426</v>
      </c>
      <c r="H22" s="9">
        <v>40550127</v>
      </c>
    </row>
    <row r="23" spans="2:9" x14ac:dyDescent="0.25">
      <c r="B23" s="2" t="s">
        <v>6</v>
      </c>
      <c r="C23" s="6">
        <f>C22/C21</f>
        <v>0.28488100351676088</v>
      </c>
      <c r="D23" s="6">
        <f t="shared" ref="D23:H23" si="3">D22/D21</f>
        <v>0.28457721104892109</v>
      </c>
      <c r="E23" s="6">
        <f t="shared" si="3"/>
        <v>0.27859573295181861</v>
      </c>
      <c r="F23" s="6">
        <f t="shared" si="3"/>
        <v>0.29528654548185151</v>
      </c>
      <c r="G23" s="6">
        <f t="shared" si="3"/>
        <v>0.30645912311375961</v>
      </c>
      <c r="H23" s="6">
        <f t="shared" si="3"/>
        <v>0.28008444419391565</v>
      </c>
      <c r="I23" s="8">
        <f>AVERAGE(C23:H23)</f>
        <v>0.28831401005117124</v>
      </c>
    </row>
    <row r="25" spans="2:9" x14ac:dyDescent="0.25">
      <c r="B25" t="s">
        <v>18</v>
      </c>
      <c r="G25" s="19">
        <f>3580470/19598729</f>
        <v>0.18268888763143773</v>
      </c>
      <c r="H25" s="19">
        <f>3677434/20476854</f>
        <v>0.17958979440884815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Global</vt:lpstr>
      <vt:lpstr>Emerging Markets</vt:lpstr>
      <vt:lpstr>Global Small-Cap</vt:lpstr>
      <vt:lpstr>TD</vt:lpstr>
      <vt:lpstr>DividendLek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2021-07-11T08:09:42Z</dcterms:modified>
</cp:coreProperties>
</file>