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7c741cee80ec8cf3/Financieel/IndexFondsenOnderzoek/KeuzeWelkIndexFonds/OnderzoekPerFonds/Avantis/"/>
    </mc:Choice>
  </mc:AlternateContent>
  <xr:revisionPtr revIDLastSave="1038" documentId="13_ncr:1_{1145E7EB-B52A-4035-9DB0-6756A4D32375}" xr6:coauthVersionLast="47" xr6:coauthVersionMax="47" xr10:uidLastSave="{DD27A657-EF2E-4618-A190-BDC1B81BD3B4}"/>
  <bookViews>
    <workbookView xWindow="6630" yWindow="4050" windowWidth="17220" windowHeight="15555" xr2:uid="{00000000-000D-0000-FFFF-FFFF00000000}"/>
  </bookViews>
  <sheets>
    <sheet name="AVUS" sheetId="19" r:id="rId1"/>
    <sheet name="AVDE" sheetId="20" r:id="rId2"/>
    <sheet name="AVEM" sheetId="21" r:id="rId3"/>
    <sheet name="AVUV" sheetId="17" r:id="rId4"/>
    <sheet name="AVDV" sheetId="18" r:id="rId5"/>
    <sheet name="Sum" sheetId="2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22" l="1"/>
  <c r="B6" i="21" l="1"/>
  <c r="B7" i="21" s="1"/>
  <c r="B16" i="21" s="1"/>
  <c r="F4" i="21"/>
  <c r="F4" i="19"/>
  <c r="B6" i="19" s="1"/>
  <c r="B7" i="19" s="1"/>
  <c r="B16" i="19" s="1"/>
  <c r="F4" i="20"/>
  <c r="B6" i="20" s="1"/>
  <c r="F8" i="17"/>
  <c r="B6" i="17" s="1"/>
  <c r="D6" i="17" s="1"/>
  <c r="F8" i="18"/>
  <c r="B6" i="18" s="1"/>
  <c r="D6" i="18" s="1"/>
  <c r="C14" i="21"/>
  <c r="B14" i="21"/>
  <c r="C7" i="21"/>
  <c r="C15" i="21" s="1"/>
  <c r="C14" i="20"/>
  <c r="B14" i="20"/>
  <c r="C7" i="20"/>
  <c r="C15" i="20" s="1"/>
  <c r="C14" i="19"/>
  <c r="B14" i="19"/>
  <c r="C7" i="19"/>
  <c r="C16" i="19" s="1"/>
  <c r="C13" i="18"/>
  <c r="C16" i="18" s="1"/>
  <c r="D18" i="17"/>
  <c r="D18" i="18"/>
  <c r="C16" i="17"/>
  <c r="C7" i="18"/>
  <c r="C15" i="18" s="1"/>
  <c r="C10" i="18"/>
  <c r="B22" i="18" s="1"/>
  <c r="C7" i="17"/>
  <c r="C15" i="17" s="1"/>
  <c r="C10" i="17"/>
  <c r="B22" i="17" s="1"/>
  <c r="C14" i="17"/>
  <c r="C14" i="18"/>
  <c r="B14" i="18"/>
  <c r="B14" i="17"/>
  <c r="D6" i="19" l="1"/>
  <c r="B7" i="20"/>
  <c r="B10" i="20" s="1"/>
  <c r="D6" i="20"/>
  <c r="D6" i="21"/>
  <c r="B7" i="17"/>
  <c r="B16" i="17" s="1"/>
  <c r="D16" i="17" s="1"/>
  <c r="B7" i="18"/>
  <c r="C10" i="19"/>
  <c r="B22" i="19" s="1"/>
  <c r="C15" i="19"/>
  <c r="C10" i="20"/>
  <c r="B15" i="21"/>
  <c r="B10" i="21"/>
  <c r="C16" i="21"/>
  <c r="D16" i="21" s="1"/>
  <c r="C10" i="21"/>
  <c r="B22" i="21" s="1"/>
  <c r="B16" i="20"/>
  <c r="C16" i="20"/>
  <c r="B15" i="19"/>
  <c r="D16" i="19"/>
  <c r="B10" i="19"/>
  <c r="D10" i="19" l="1"/>
  <c r="D10" i="20"/>
  <c r="B22" i="20"/>
  <c r="B15" i="20"/>
  <c r="B15" i="17"/>
  <c r="B10" i="17"/>
  <c r="D10" i="17" s="1"/>
  <c r="B16" i="18"/>
  <c r="D16" i="18" s="1"/>
  <c r="B10" i="18"/>
  <c r="D10" i="18" s="1"/>
  <c r="B15" i="18"/>
  <c r="D16" i="20"/>
  <c r="D10" i="21"/>
  <c r="B20" i="19" l="1"/>
  <c r="B21" i="19"/>
  <c r="B21" i="20"/>
  <c r="B20" i="20"/>
  <c r="B20" i="21"/>
  <c r="D9" i="22" s="1"/>
  <c r="B21" i="21"/>
  <c r="B21" i="17"/>
  <c r="B20" i="17"/>
  <c r="B21" i="18"/>
  <c r="B20" i="18"/>
  <c r="B16" i="22" l="1"/>
  <c r="B9" i="22"/>
  <c r="C16" i="22"/>
  <c r="C9" i="22"/>
  <c r="C2" i="22"/>
  <c r="C4" i="22" s="1"/>
  <c r="C11" i="22" l="1"/>
  <c r="C18" i="22"/>
</calcChain>
</file>

<file path=xl/sharedStrings.xml><?xml version="1.0" encoding="utf-8"?>
<sst xmlns="http://schemas.openxmlformats.org/spreadsheetml/2006/main" count="119" uniqueCount="37">
  <si>
    <t>Dividend income (net)</t>
  </si>
  <si>
    <t>Net asset value end of year</t>
  </si>
  <si>
    <t>TER</t>
  </si>
  <si>
    <t>Average NAV</t>
  </si>
  <si>
    <t>Remarks</t>
  </si>
  <si>
    <t>Transaction costs can't be found</t>
  </si>
  <si>
    <t>Foreign withholding taxes</t>
  </si>
  <si>
    <t>% tax leakage</t>
  </si>
  <si>
    <t>Average</t>
  </si>
  <si>
    <t>Avantis U.S. Small Cap Value ETF (AVUV)</t>
  </si>
  <si>
    <t>Avantis International Small Cap Value ETF (AVDV)</t>
  </si>
  <si>
    <t>Bookyear != calender year: august</t>
  </si>
  <si>
    <t>Turnover</t>
  </si>
  <si>
    <t>Lending income</t>
  </si>
  <si>
    <t>Fees</t>
  </si>
  <si>
    <t>Lending income %</t>
  </si>
  <si>
    <t>Dividend (gross)</t>
  </si>
  <si>
    <t>Leakage costs</t>
  </si>
  <si>
    <t>Total average costs</t>
  </si>
  <si>
    <t>Avantis U.S. Equity ETF (AVUS)</t>
  </si>
  <si>
    <t>Avantis International Equity ETF (AVDE)</t>
  </si>
  <si>
    <t>Avantis Emerging Markets Equity ETF (AVEM)</t>
  </si>
  <si>
    <t>First year</t>
  </si>
  <si>
    <t>9/24/2019 - 8/31/2020</t>
  </si>
  <si>
    <t>years</t>
  </si>
  <si>
    <t>Total average costs (withouth div leak)</t>
  </si>
  <si>
    <t>AVUV/AVDV 50-50</t>
  </si>
  <si>
    <t>Transaction costs</t>
  </si>
  <si>
    <t>(estimate based on IUSN x2 because of higher turnover)</t>
  </si>
  <si>
    <t>Total costs</t>
  </si>
  <si>
    <t>Estimated future costs  (withouth div leak)</t>
  </si>
  <si>
    <t>AVUS</t>
  </si>
  <si>
    <t>AVDE</t>
  </si>
  <si>
    <t>AVEM</t>
  </si>
  <si>
    <t>Total</t>
  </si>
  <si>
    <t>Core Global</t>
  </si>
  <si>
    <t>Core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</si>
</sst>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0.000%"/>
    <numFmt numFmtId="165" formatCode="_ * #,##0_ ;_ * \-#,##0_ ;_ * &quot;-&quot;??_ ;_ @_ "/>
    <numFmt numFmtId="166" formatCode="0.0000%"/>
    <numFmt numFmtId="167" formatCode="0.0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10" fontId="0" fillId="0" borderId="0" xfId="1" applyNumberFormat="1" applyFont="1"/>
    <xf numFmtId="164" fontId="0" fillId="0" borderId="0" xfId="0" applyNumberFormat="1"/>
    <xf numFmtId="10" fontId="0" fillId="0" borderId="0" xfId="0" applyNumberFormat="1"/>
    <xf numFmtId="165" fontId="0" fillId="0" borderId="0" xfId="2" applyNumberFormat="1" applyFont="1"/>
    <xf numFmtId="0" fontId="2" fillId="2" borderId="0" xfId="0" applyFont="1" applyFill="1"/>
    <xf numFmtId="0" fontId="0" fillId="2" borderId="0" xfId="0" applyFill="1"/>
    <xf numFmtId="10" fontId="2" fillId="0" borderId="0" xfId="0" applyNumberFormat="1" applyFont="1"/>
    <xf numFmtId="10" fontId="0" fillId="0" borderId="0" xfId="1" applyNumberFormat="1" applyFont="1" applyFill="1"/>
    <xf numFmtId="164" fontId="0" fillId="0" borderId="0" xfId="1" applyNumberFormat="1" applyFont="1" applyFill="1"/>
    <xf numFmtId="0" fontId="3" fillId="0" borderId="0" xfId="3"/>
    <xf numFmtId="0" fontId="0" fillId="0" borderId="0" xfId="0" applyAlignment="1">
      <alignment horizontal="left"/>
    </xf>
    <xf numFmtId="0" fontId="3" fillId="0" borderId="0" xfId="3" applyAlignment="1">
      <alignment horizontal="left"/>
    </xf>
    <xf numFmtId="9" fontId="0" fillId="0" borderId="0" xfId="0" applyNumberFormat="1"/>
    <xf numFmtId="9" fontId="0" fillId="0" borderId="0" xfId="1" applyFont="1"/>
    <xf numFmtId="164" fontId="0" fillId="0" borderId="0" xfId="1" applyNumberFormat="1" applyFont="1"/>
    <xf numFmtId="2" fontId="0" fillId="0" borderId="0" xfId="0" applyNumberFormat="1" applyAlignment="1">
      <alignment horizontal="left"/>
    </xf>
    <xf numFmtId="166" fontId="0" fillId="0" borderId="0" xfId="0" applyNumberFormat="1"/>
    <xf numFmtId="167" fontId="0" fillId="0" borderId="0" xfId="0" applyNumberFormat="1"/>
    <xf numFmtId="0" fontId="0" fillId="0" borderId="0" xfId="0" applyFont="1"/>
  </cellXfs>
  <cellStyles count="4">
    <cellStyle name="Hyperlink" xfId="3" builtinId="8"/>
    <cellStyle name="Komma" xfId="2" builtinId="3"/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78A3-B1EB-43A6-B192-86B446B193C1}">
  <dimension ref="A1:G45"/>
  <sheetViews>
    <sheetView tabSelected="1" workbookViewId="0"/>
  </sheetViews>
  <sheetFormatPr defaultRowHeight="15" x14ac:dyDescent="0.25"/>
  <cols>
    <col min="1" max="1" width="38.42578125" customWidth="1"/>
    <col min="2" max="4" width="13.7109375" customWidth="1"/>
    <col min="6" max="6" width="34.42578125" customWidth="1"/>
  </cols>
  <sheetData>
    <row r="1" spans="1:7" x14ac:dyDescent="0.25">
      <c r="A1" s="6" t="s">
        <v>19</v>
      </c>
      <c r="B1" s="6"/>
      <c r="C1" s="6"/>
      <c r="D1" s="7"/>
    </row>
    <row r="2" spans="1:7" x14ac:dyDescent="0.25">
      <c r="F2" s="1" t="s">
        <v>22</v>
      </c>
    </row>
    <row r="3" spans="1:7" x14ac:dyDescent="0.25">
      <c r="B3" s="1">
        <v>2020</v>
      </c>
      <c r="C3" s="1">
        <v>2021</v>
      </c>
      <c r="D3" s="1" t="s">
        <v>8</v>
      </c>
      <c r="F3" t="s">
        <v>23</v>
      </c>
    </row>
    <row r="4" spans="1:7" x14ac:dyDescent="0.25">
      <c r="A4" t="s">
        <v>1</v>
      </c>
      <c r="B4" s="5">
        <v>436098997</v>
      </c>
      <c r="C4" s="5">
        <v>1486457587</v>
      </c>
      <c r="D4" s="1"/>
      <c r="F4" s="17">
        <f>342/366</f>
        <v>0.93442622950819676</v>
      </c>
      <c r="G4" t="s">
        <v>24</v>
      </c>
    </row>
    <row r="5" spans="1:7" x14ac:dyDescent="0.25">
      <c r="A5" t="s">
        <v>14</v>
      </c>
      <c r="B5" s="5">
        <v>329876</v>
      </c>
      <c r="C5" s="5">
        <v>1316876</v>
      </c>
      <c r="D5" s="1"/>
    </row>
    <row r="6" spans="1:7" x14ac:dyDescent="0.25">
      <c r="A6" t="s">
        <v>2</v>
      </c>
      <c r="B6" s="4">
        <f>0.15%*F4</f>
        <v>1.4016393442622952E-3</v>
      </c>
      <c r="C6" s="4">
        <v>1.5E-3</v>
      </c>
      <c r="D6" s="4">
        <f>AVERAGE(B6:C6)</f>
        <v>1.4508196721311475E-3</v>
      </c>
    </row>
    <row r="7" spans="1:7" x14ac:dyDescent="0.25">
      <c r="A7" t="s">
        <v>3</v>
      </c>
      <c r="B7" s="5">
        <f>B5/B6</f>
        <v>235350128.65497074</v>
      </c>
      <c r="C7" s="5">
        <f>C5/C6</f>
        <v>877917333.33333337</v>
      </c>
      <c r="D7" s="4"/>
    </row>
    <row r="8" spans="1:7" x14ac:dyDescent="0.25">
      <c r="B8" s="5"/>
      <c r="C8" s="5"/>
      <c r="D8" s="4"/>
    </row>
    <row r="9" spans="1:7" x14ac:dyDescent="0.25">
      <c r="A9" t="s">
        <v>13</v>
      </c>
      <c r="B9" s="5">
        <v>3003</v>
      </c>
      <c r="C9" s="5">
        <v>25260</v>
      </c>
      <c r="D9" s="4"/>
    </row>
    <row r="10" spans="1:7" x14ac:dyDescent="0.25">
      <c r="A10" t="s">
        <v>15</v>
      </c>
      <c r="B10" s="16">
        <f>B9/B7</f>
        <v>1.2759712591457617E-5</v>
      </c>
      <c r="C10" s="16">
        <f>C9/C7</f>
        <v>2.8772640704212088E-5</v>
      </c>
      <c r="D10" s="18">
        <f>AVERAGE(B10:C10)</f>
        <v>2.0766176647834853E-5</v>
      </c>
    </row>
    <row r="11" spans="1:7" x14ac:dyDescent="0.25">
      <c r="D11" s="4"/>
    </row>
    <row r="12" spans="1:7" x14ac:dyDescent="0.25">
      <c r="A12" t="s">
        <v>0</v>
      </c>
      <c r="B12" s="5">
        <v>4187944</v>
      </c>
      <c r="C12" s="5">
        <v>13232521</v>
      </c>
      <c r="D12" s="4"/>
    </row>
    <row r="13" spans="1:7" x14ac:dyDescent="0.25">
      <c r="A13" t="s">
        <v>6</v>
      </c>
      <c r="B13" s="5">
        <v>883</v>
      </c>
      <c r="C13" s="5">
        <v>2311</v>
      </c>
      <c r="D13" s="4"/>
    </row>
    <row r="14" spans="1:7" x14ac:dyDescent="0.25">
      <c r="A14" t="s">
        <v>7</v>
      </c>
      <c r="B14" s="9">
        <f t="shared" ref="B14:C14" si="0">B13/(B12+B13)</f>
        <v>2.1079887042362933E-4</v>
      </c>
      <c r="C14" s="9">
        <f t="shared" si="0"/>
        <v>1.7461498566812182E-4</v>
      </c>
      <c r="D14" s="4"/>
    </row>
    <row r="15" spans="1:7" x14ac:dyDescent="0.25">
      <c r="A15" t="s">
        <v>16</v>
      </c>
      <c r="B15" s="9">
        <f>(B12+B13)/B7</f>
        <v>1.7798277927185358E-2</v>
      </c>
      <c r="C15" s="9">
        <f>(C12+C13)/C7</f>
        <v>1.507525993335743E-2</v>
      </c>
      <c r="D15" s="4"/>
    </row>
    <row r="16" spans="1:7" x14ac:dyDescent="0.25">
      <c r="A16" t="s">
        <v>17</v>
      </c>
      <c r="B16" s="10">
        <f>B13/B7</f>
        <v>3.7518568825364883E-6</v>
      </c>
      <c r="C16" s="10">
        <f>C13/C7</f>
        <v>2.6323662972064186E-6</v>
      </c>
      <c r="D16" s="19">
        <f>AVERAGE(B16:C16)</f>
        <v>3.1921115898714537E-6</v>
      </c>
    </row>
    <row r="17" spans="1:4" x14ac:dyDescent="0.25">
      <c r="B17" s="9"/>
      <c r="C17" s="9"/>
      <c r="D17" s="4"/>
    </row>
    <row r="18" spans="1:4" x14ac:dyDescent="0.25">
      <c r="A18" s="12" t="s">
        <v>12</v>
      </c>
      <c r="B18" s="14">
        <v>0.03</v>
      </c>
      <c r="C18" s="14">
        <v>0.04</v>
      </c>
      <c r="D18" s="14"/>
    </row>
    <row r="19" spans="1:4" x14ac:dyDescent="0.25">
      <c r="D19" s="4"/>
    </row>
    <row r="20" spans="1:4" x14ac:dyDescent="0.25">
      <c r="A20" s="1" t="s">
        <v>18</v>
      </c>
      <c r="B20" s="2">
        <f>C6-D10+D16</f>
        <v>1.4824259349420367E-3</v>
      </c>
      <c r="C20" s="5"/>
      <c r="D20" s="4"/>
    </row>
    <row r="21" spans="1:4" x14ac:dyDescent="0.25">
      <c r="A21" s="1" t="s">
        <v>25</v>
      </c>
      <c r="B21" s="4">
        <f>C6-D10</f>
        <v>1.4792338233521652E-3</v>
      </c>
      <c r="D21" s="3"/>
    </row>
    <row r="22" spans="1:4" x14ac:dyDescent="0.25">
      <c r="A22" s="1" t="s">
        <v>30</v>
      </c>
      <c r="B22" s="4">
        <f>C6-C10</f>
        <v>1.4712273592957879E-3</v>
      </c>
      <c r="D22" s="4"/>
    </row>
    <row r="23" spans="1:4" x14ac:dyDescent="0.25">
      <c r="D23" s="4"/>
    </row>
    <row r="24" spans="1:4" x14ac:dyDescent="0.25">
      <c r="D24" s="10"/>
    </row>
    <row r="25" spans="1:4" x14ac:dyDescent="0.25">
      <c r="B25" s="3"/>
      <c r="C25" s="3"/>
      <c r="D25" s="10"/>
    </row>
    <row r="26" spans="1:4" x14ac:dyDescent="0.25">
      <c r="B26" s="3"/>
      <c r="C26" s="3"/>
    </row>
    <row r="27" spans="1:4" x14ac:dyDescent="0.25">
      <c r="B27" s="3"/>
      <c r="C27" s="3"/>
    </row>
    <row r="29" spans="1:4" x14ac:dyDescent="0.25">
      <c r="B29" s="4"/>
      <c r="C29" s="4"/>
    </row>
    <row r="30" spans="1:4" x14ac:dyDescent="0.25">
      <c r="A30" s="1"/>
      <c r="B30" s="8"/>
      <c r="C30" s="8"/>
    </row>
    <row r="31" spans="1:4" x14ac:dyDescent="0.25">
      <c r="B31" s="4"/>
      <c r="C31" s="4"/>
    </row>
    <row r="33" spans="1:3" x14ac:dyDescent="0.25">
      <c r="A33" s="1"/>
    </row>
    <row r="34" spans="1:3" x14ac:dyDescent="0.25">
      <c r="A34" s="13"/>
      <c r="B34" s="11"/>
      <c r="C34" s="11"/>
    </row>
    <row r="35" spans="1:3" x14ac:dyDescent="0.25">
      <c r="A35" s="12"/>
      <c r="B35" s="11"/>
      <c r="C35" s="11"/>
    </row>
    <row r="36" spans="1:3" x14ac:dyDescent="0.25">
      <c r="A36" s="12"/>
      <c r="B36" s="11"/>
      <c r="C36" s="11"/>
    </row>
    <row r="37" spans="1:3" x14ac:dyDescent="0.25">
      <c r="A37" s="12"/>
      <c r="B37" s="11"/>
      <c r="C37" s="11"/>
    </row>
    <row r="38" spans="1:3" x14ac:dyDescent="0.25">
      <c r="A38" s="12"/>
      <c r="B38" s="11"/>
      <c r="C38" s="11"/>
    </row>
    <row r="39" spans="1:3" x14ac:dyDescent="0.25">
      <c r="A39" s="12"/>
      <c r="B39" s="11"/>
      <c r="C39" s="11"/>
    </row>
    <row r="45" spans="1:3" x14ac:dyDescent="0.25">
      <c r="B45" s="2"/>
      <c r="C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F730-CD7B-4BE0-818C-4803132121D8}">
  <dimension ref="A1:G45"/>
  <sheetViews>
    <sheetView workbookViewId="0"/>
  </sheetViews>
  <sheetFormatPr defaultRowHeight="15" x14ac:dyDescent="0.25"/>
  <cols>
    <col min="1" max="1" width="38.42578125" customWidth="1"/>
    <col min="2" max="4" width="13.7109375" customWidth="1"/>
    <col min="6" max="6" width="34.42578125" customWidth="1"/>
  </cols>
  <sheetData>
    <row r="1" spans="1:7" x14ac:dyDescent="0.25">
      <c r="A1" s="6" t="s">
        <v>20</v>
      </c>
      <c r="B1" s="6"/>
      <c r="C1" s="6"/>
      <c r="D1" s="7"/>
    </row>
    <row r="2" spans="1:7" x14ac:dyDescent="0.25">
      <c r="F2" s="1" t="s">
        <v>22</v>
      </c>
    </row>
    <row r="3" spans="1:7" x14ac:dyDescent="0.25">
      <c r="B3" s="1">
        <v>2020</v>
      </c>
      <c r="C3" s="1">
        <v>2021</v>
      </c>
      <c r="D3" s="1" t="s">
        <v>8</v>
      </c>
      <c r="F3" t="s">
        <v>23</v>
      </c>
    </row>
    <row r="4" spans="1:7" x14ac:dyDescent="0.25">
      <c r="A4" t="s">
        <v>1</v>
      </c>
      <c r="B4" s="5">
        <v>341344095</v>
      </c>
      <c r="C4" s="5">
        <v>997543705</v>
      </c>
      <c r="D4" s="1"/>
      <c r="F4" s="17">
        <f>342/366</f>
        <v>0.93442622950819676</v>
      </c>
      <c r="G4" t="s">
        <v>24</v>
      </c>
    </row>
    <row r="5" spans="1:7" x14ac:dyDescent="0.25">
      <c r="A5" t="s">
        <v>14</v>
      </c>
      <c r="B5" s="5">
        <v>379637</v>
      </c>
      <c r="C5" s="5">
        <v>1451556</v>
      </c>
      <c r="D5" s="1"/>
    </row>
    <row r="6" spans="1:7" x14ac:dyDescent="0.25">
      <c r="A6" t="s">
        <v>2</v>
      </c>
      <c r="B6" s="4">
        <f>0.23%*F4</f>
        <v>2.1491803278688524E-3</v>
      </c>
      <c r="C6" s="4">
        <v>2.3E-3</v>
      </c>
      <c r="D6" s="4">
        <f>AVERAGE(B6:C6)</f>
        <v>2.2245901639344262E-3</v>
      </c>
    </row>
    <row r="7" spans="1:7" x14ac:dyDescent="0.25">
      <c r="A7" t="s">
        <v>3</v>
      </c>
      <c r="B7" s="5">
        <f>B5/B6</f>
        <v>176642692.6010679</v>
      </c>
      <c r="C7" s="5">
        <f>C5/C6</f>
        <v>631111304.34782612</v>
      </c>
      <c r="D7" s="4"/>
    </row>
    <row r="8" spans="1:7" x14ac:dyDescent="0.25">
      <c r="B8" s="5"/>
      <c r="C8" s="5"/>
      <c r="D8" s="4"/>
    </row>
    <row r="9" spans="1:7" x14ac:dyDescent="0.25">
      <c r="A9" t="s">
        <v>13</v>
      </c>
      <c r="B9" s="5">
        <v>32657</v>
      </c>
      <c r="C9" s="5">
        <v>263805</v>
      </c>
      <c r="D9" s="4"/>
    </row>
    <row r="10" spans="1:7" x14ac:dyDescent="0.25">
      <c r="A10" t="s">
        <v>15</v>
      </c>
      <c r="B10" s="16">
        <f>B9/B7</f>
        <v>1.8487603149116948E-4</v>
      </c>
      <c r="C10" s="16">
        <f>C9/C7</f>
        <v>4.1800075229615665E-4</v>
      </c>
      <c r="D10" s="3">
        <f>AVERAGE(B10:C10)</f>
        <v>3.0143839189366304E-4</v>
      </c>
    </row>
    <row r="11" spans="1:7" x14ac:dyDescent="0.25">
      <c r="D11" s="4"/>
    </row>
    <row r="12" spans="1:7" x14ac:dyDescent="0.25">
      <c r="A12" t="s">
        <v>0</v>
      </c>
      <c r="B12" s="5">
        <v>4582772</v>
      </c>
      <c r="C12" s="5">
        <v>17013346</v>
      </c>
      <c r="D12" s="4"/>
    </row>
    <row r="13" spans="1:7" x14ac:dyDescent="0.25">
      <c r="A13" t="s">
        <v>6</v>
      </c>
      <c r="B13" s="5">
        <v>488017</v>
      </c>
      <c r="C13" s="5">
        <v>1642168</v>
      </c>
      <c r="D13" s="4"/>
    </row>
    <row r="14" spans="1:7" x14ac:dyDescent="0.25">
      <c r="A14" t="s">
        <v>7</v>
      </c>
      <c r="B14" s="9">
        <f t="shared" ref="B14:C14" si="0">B13/(B12+B13)</f>
        <v>9.6240841415408923E-2</v>
      </c>
      <c r="C14" s="9">
        <f t="shared" si="0"/>
        <v>8.8025878032628846E-2</v>
      </c>
      <c r="D14" s="4"/>
    </row>
    <row r="15" spans="1:7" x14ac:dyDescent="0.25">
      <c r="A15" t="s">
        <v>16</v>
      </c>
      <c r="B15" s="9">
        <f>(B12+B13)/B7</f>
        <v>2.8706474778732761E-2</v>
      </c>
      <c r="C15" s="9">
        <f>(C12+C13)/C7</f>
        <v>2.9559784259098512E-2</v>
      </c>
      <c r="D15" s="4"/>
    </row>
    <row r="16" spans="1:7" x14ac:dyDescent="0.25">
      <c r="A16" t="s">
        <v>17</v>
      </c>
      <c r="B16" s="10">
        <f>B13/B7</f>
        <v>2.7627352867754559E-3</v>
      </c>
      <c r="C16" s="10">
        <f>C13/C7</f>
        <v>2.6020259638622279E-3</v>
      </c>
      <c r="D16" s="4">
        <f>AVERAGE(B16:C16)</f>
        <v>2.6823806253188417E-3</v>
      </c>
    </row>
    <row r="17" spans="1:4" x14ac:dyDescent="0.25">
      <c r="B17" s="9"/>
      <c r="C17" s="9"/>
      <c r="D17" s="4"/>
    </row>
    <row r="18" spans="1:4" x14ac:dyDescent="0.25">
      <c r="A18" s="12" t="s">
        <v>12</v>
      </c>
      <c r="B18" s="14">
        <v>0.08</v>
      </c>
      <c r="C18" s="14">
        <v>7.0000000000000007E-2</v>
      </c>
      <c r="D18" s="14"/>
    </row>
    <row r="19" spans="1:4" x14ac:dyDescent="0.25">
      <c r="D19" s="4"/>
    </row>
    <row r="20" spans="1:4" x14ac:dyDescent="0.25">
      <c r="A20" s="1" t="s">
        <v>18</v>
      </c>
      <c r="B20" s="2">
        <f>C6-D10+D16</f>
        <v>4.6809422334251789E-3</v>
      </c>
      <c r="C20" s="5"/>
      <c r="D20" s="4"/>
    </row>
    <row r="21" spans="1:4" x14ac:dyDescent="0.25">
      <c r="A21" s="1" t="s">
        <v>25</v>
      </c>
      <c r="B21" s="4">
        <f>C6-D10</f>
        <v>1.9985616081063368E-3</v>
      </c>
      <c r="D21" s="3"/>
    </row>
    <row r="22" spans="1:4" x14ac:dyDescent="0.25">
      <c r="A22" s="1" t="s">
        <v>30</v>
      </c>
      <c r="B22" s="4">
        <f>C6-C10</f>
        <v>1.8819992477038432E-3</v>
      </c>
      <c r="D22" s="4"/>
    </row>
    <row r="23" spans="1:4" x14ac:dyDescent="0.25">
      <c r="D23" s="4"/>
    </row>
    <row r="24" spans="1:4" x14ac:dyDescent="0.25">
      <c r="D24" s="10"/>
    </row>
    <row r="25" spans="1:4" x14ac:dyDescent="0.25">
      <c r="B25" s="3"/>
      <c r="C25" s="3"/>
      <c r="D25" s="10"/>
    </row>
    <row r="26" spans="1:4" x14ac:dyDescent="0.25">
      <c r="B26" s="3"/>
      <c r="C26" s="3"/>
    </row>
    <row r="27" spans="1:4" x14ac:dyDescent="0.25">
      <c r="B27" s="3"/>
      <c r="C27" s="3"/>
    </row>
    <row r="29" spans="1:4" x14ac:dyDescent="0.25">
      <c r="B29" s="4"/>
      <c r="C29" s="4"/>
    </row>
    <row r="30" spans="1:4" x14ac:dyDescent="0.25">
      <c r="A30" s="1"/>
      <c r="B30" s="8"/>
      <c r="C30" s="8"/>
    </row>
    <row r="31" spans="1:4" x14ac:dyDescent="0.25">
      <c r="B31" s="4"/>
      <c r="C31" s="4"/>
    </row>
    <row r="33" spans="1:3" x14ac:dyDescent="0.25">
      <c r="A33" s="1"/>
    </row>
    <row r="34" spans="1:3" x14ac:dyDescent="0.25">
      <c r="A34" s="13"/>
      <c r="B34" s="11"/>
      <c r="C34" s="11"/>
    </row>
    <row r="35" spans="1:3" x14ac:dyDescent="0.25">
      <c r="A35" s="12"/>
      <c r="B35" s="11"/>
      <c r="C35" s="11"/>
    </row>
    <row r="36" spans="1:3" x14ac:dyDescent="0.25">
      <c r="A36" s="12"/>
      <c r="B36" s="11"/>
      <c r="C36" s="11"/>
    </row>
    <row r="37" spans="1:3" x14ac:dyDescent="0.25">
      <c r="A37" s="12"/>
      <c r="B37" s="11"/>
      <c r="C37" s="11"/>
    </row>
    <row r="38" spans="1:3" x14ac:dyDescent="0.25">
      <c r="A38" s="12"/>
      <c r="B38" s="11"/>
      <c r="C38" s="11"/>
    </row>
    <row r="39" spans="1:3" x14ac:dyDescent="0.25">
      <c r="A39" s="12"/>
      <c r="B39" s="11"/>
      <c r="C39" s="11"/>
    </row>
    <row r="45" spans="1:3" x14ac:dyDescent="0.25">
      <c r="B45" s="2"/>
      <c r="C4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83D2-7A4A-4EFD-A0BB-DCD393B7C72C}">
  <dimension ref="A1:G45"/>
  <sheetViews>
    <sheetView workbookViewId="0"/>
  </sheetViews>
  <sheetFormatPr defaultRowHeight="15" x14ac:dyDescent="0.25"/>
  <cols>
    <col min="1" max="1" width="38.42578125" customWidth="1"/>
    <col min="2" max="4" width="13.7109375" customWidth="1"/>
    <col min="6" max="6" width="34.42578125" customWidth="1"/>
  </cols>
  <sheetData>
    <row r="1" spans="1:7" x14ac:dyDescent="0.25">
      <c r="A1" s="6" t="s">
        <v>21</v>
      </c>
      <c r="B1" s="6"/>
      <c r="C1" s="6"/>
      <c r="D1" s="7"/>
      <c r="F1" s="1"/>
    </row>
    <row r="2" spans="1:7" x14ac:dyDescent="0.25">
      <c r="F2" s="1" t="s">
        <v>22</v>
      </c>
    </row>
    <row r="3" spans="1:7" x14ac:dyDescent="0.25">
      <c r="B3" s="1">
        <v>2020</v>
      </c>
      <c r="C3" s="1">
        <v>2021</v>
      </c>
      <c r="D3" s="1" t="s">
        <v>8</v>
      </c>
      <c r="F3" t="s">
        <v>23</v>
      </c>
    </row>
    <row r="4" spans="1:7" x14ac:dyDescent="0.25">
      <c r="A4" t="s">
        <v>1</v>
      </c>
      <c r="B4" s="5">
        <v>245445738</v>
      </c>
      <c r="C4" s="5">
        <v>864826515</v>
      </c>
      <c r="D4" s="1"/>
      <c r="F4" s="17">
        <f>349/366</f>
        <v>0.95355191256830596</v>
      </c>
      <c r="G4" t="s">
        <v>24</v>
      </c>
    </row>
    <row r="5" spans="1:7" x14ac:dyDescent="0.25">
      <c r="A5" t="s">
        <v>14</v>
      </c>
      <c r="B5" s="5">
        <v>422970</v>
      </c>
      <c r="C5" s="5">
        <v>1890706</v>
      </c>
      <c r="D5" s="1"/>
    </row>
    <row r="6" spans="1:7" x14ac:dyDescent="0.25">
      <c r="A6" t="s">
        <v>2</v>
      </c>
      <c r="B6" s="4">
        <f>0.33%*F4</f>
        <v>3.1467213114754096E-3</v>
      </c>
      <c r="C6" s="4">
        <v>3.3E-3</v>
      </c>
      <c r="D6" s="4">
        <f>AVERAGE(B6:C6)</f>
        <v>3.2233606557377048E-3</v>
      </c>
    </row>
    <row r="7" spans="1:7" x14ac:dyDescent="0.25">
      <c r="A7" t="s">
        <v>3</v>
      </c>
      <c r="B7" s="5">
        <f>B5/B6</f>
        <v>134416097.94217244</v>
      </c>
      <c r="C7" s="5">
        <f>C5/C6</f>
        <v>572941212.12121212</v>
      </c>
      <c r="D7" s="4"/>
    </row>
    <row r="8" spans="1:7" x14ac:dyDescent="0.25">
      <c r="B8" s="5"/>
      <c r="C8" s="5"/>
      <c r="D8" s="4"/>
    </row>
    <row r="9" spans="1:7" x14ac:dyDescent="0.25">
      <c r="A9" t="s">
        <v>13</v>
      </c>
      <c r="B9" s="5">
        <v>21611</v>
      </c>
      <c r="C9" s="5">
        <v>227531</v>
      </c>
      <c r="D9" s="4"/>
    </row>
    <row r="10" spans="1:7" x14ac:dyDescent="0.25">
      <c r="A10" t="s">
        <v>15</v>
      </c>
      <c r="B10" s="16">
        <f>B9/B7</f>
        <v>1.6077687368441044E-4</v>
      </c>
      <c r="C10" s="16">
        <f>C9/C7</f>
        <v>3.9712800403658737E-4</v>
      </c>
      <c r="D10" s="3">
        <f>AVERAGE(B10:C10)</f>
        <v>2.7895243886049889E-4</v>
      </c>
    </row>
    <row r="11" spans="1:7" x14ac:dyDescent="0.25">
      <c r="D11" s="4"/>
    </row>
    <row r="12" spans="1:7" x14ac:dyDescent="0.25">
      <c r="A12" t="s">
        <v>0</v>
      </c>
      <c r="B12" s="5">
        <v>4176992</v>
      </c>
      <c r="C12" s="5">
        <v>15104729</v>
      </c>
      <c r="D12" s="4"/>
    </row>
    <row r="13" spans="1:7" x14ac:dyDescent="0.25">
      <c r="A13" t="s">
        <v>6</v>
      </c>
      <c r="B13" s="5">
        <v>560827</v>
      </c>
      <c r="C13" s="5">
        <v>2031372</v>
      </c>
      <c r="D13" s="4"/>
    </row>
    <row r="14" spans="1:7" x14ac:dyDescent="0.25">
      <c r="A14" t="s">
        <v>7</v>
      </c>
      <c r="B14" s="9">
        <f t="shared" ref="B14:C14" si="0">B13/(B12+B13)</f>
        <v>0.11837239877673672</v>
      </c>
      <c r="C14" s="9">
        <f t="shared" si="0"/>
        <v>0.11854341894926973</v>
      </c>
      <c r="D14" s="4"/>
    </row>
    <row r="15" spans="1:7" x14ac:dyDescent="0.25">
      <c r="A15" t="s">
        <v>16</v>
      </c>
      <c r="B15" s="9">
        <f>(B12+B13)/B7</f>
        <v>3.524740765825736E-2</v>
      </c>
      <c r="C15" s="9">
        <f>(C12+C13)/C7</f>
        <v>2.9909003991101735E-2</v>
      </c>
      <c r="D15" s="4"/>
    </row>
    <row r="16" spans="1:7" x14ac:dyDescent="0.25">
      <c r="A16" t="s">
        <v>17</v>
      </c>
      <c r="B16" s="10">
        <f>B13/B7</f>
        <v>4.1723201951694442E-3</v>
      </c>
      <c r="C16" s="10">
        <f>C13/C7</f>
        <v>3.5455155904725536E-3</v>
      </c>
      <c r="D16" s="4">
        <f>AVERAGE(B16:C16)</f>
        <v>3.8589178928209989E-3</v>
      </c>
    </row>
    <row r="17" spans="1:4" x14ac:dyDescent="0.25">
      <c r="B17" s="9"/>
      <c r="C17" s="9"/>
      <c r="D17" s="4"/>
    </row>
    <row r="18" spans="1:4" x14ac:dyDescent="0.25">
      <c r="A18" s="12" t="s">
        <v>12</v>
      </c>
      <c r="B18" s="14">
        <v>0.08</v>
      </c>
      <c r="C18" s="14">
        <v>0.05</v>
      </c>
      <c r="D18" s="14"/>
    </row>
    <row r="19" spans="1:4" x14ac:dyDescent="0.25">
      <c r="D19" s="4"/>
    </row>
    <row r="20" spans="1:4" x14ac:dyDescent="0.25">
      <c r="A20" s="1" t="s">
        <v>18</v>
      </c>
      <c r="B20" s="2">
        <f>C6-D10+D16</f>
        <v>6.8799654539604994E-3</v>
      </c>
      <c r="C20" s="5"/>
      <c r="D20" s="4"/>
    </row>
    <row r="21" spans="1:4" x14ac:dyDescent="0.25">
      <c r="A21" s="1" t="s">
        <v>25</v>
      </c>
      <c r="B21" s="4">
        <f>C6-D10</f>
        <v>3.021047561139501E-3</v>
      </c>
      <c r="D21" s="3"/>
    </row>
    <row r="22" spans="1:4" x14ac:dyDescent="0.25">
      <c r="A22" s="1" t="s">
        <v>30</v>
      </c>
      <c r="B22" s="4">
        <f>C6-C10</f>
        <v>2.9028719959634124E-3</v>
      </c>
      <c r="D22" s="4"/>
    </row>
    <row r="23" spans="1:4" x14ac:dyDescent="0.25">
      <c r="D23" s="4"/>
    </row>
    <row r="24" spans="1:4" x14ac:dyDescent="0.25">
      <c r="D24" s="10"/>
    </row>
    <row r="25" spans="1:4" x14ac:dyDescent="0.25">
      <c r="B25" s="3"/>
      <c r="C25" s="3"/>
      <c r="D25" s="10"/>
    </row>
    <row r="26" spans="1:4" x14ac:dyDescent="0.25">
      <c r="B26" s="3"/>
      <c r="C26" s="3"/>
    </row>
    <row r="27" spans="1:4" x14ac:dyDescent="0.25">
      <c r="B27" s="3"/>
      <c r="C27" s="3"/>
    </row>
    <row r="29" spans="1:4" x14ac:dyDescent="0.25">
      <c r="B29" s="4"/>
      <c r="C29" s="4"/>
    </row>
    <row r="30" spans="1:4" x14ac:dyDescent="0.25">
      <c r="A30" s="1"/>
      <c r="B30" s="8"/>
      <c r="C30" s="8"/>
    </row>
    <row r="31" spans="1:4" x14ac:dyDescent="0.25">
      <c r="B31" s="4"/>
      <c r="C31" s="4"/>
    </row>
    <row r="33" spans="1:3" x14ac:dyDescent="0.25">
      <c r="A33" s="1"/>
    </row>
    <row r="34" spans="1:3" x14ac:dyDescent="0.25">
      <c r="A34" s="13"/>
      <c r="B34" s="11"/>
      <c r="C34" s="11"/>
    </row>
    <row r="35" spans="1:3" x14ac:dyDescent="0.25">
      <c r="A35" s="12"/>
      <c r="B35" s="11"/>
      <c r="C35" s="11"/>
    </row>
    <row r="36" spans="1:3" x14ac:dyDescent="0.25">
      <c r="A36" s="12"/>
      <c r="B36" s="11"/>
      <c r="C36" s="11"/>
    </row>
    <row r="37" spans="1:3" x14ac:dyDescent="0.25">
      <c r="A37" s="12"/>
      <c r="B37" s="11"/>
      <c r="C37" s="11"/>
    </row>
    <row r="38" spans="1:3" x14ac:dyDescent="0.25">
      <c r="A38" s="12"/>
      <c r="B38" s="11"/>
      <c r="C38" s="11"/>
    </row>
    <row r="39" spans="1:3" x14ac:dyDescent="0.25">
      <c r="A39" s="12"/>
      <c r="B39" s="11"/>
      <c r="C39" s="11"/>
    </row>
    <row r="45" spans="1:3" x14ac:dyDescent="0.25">
      <c r="B45" s="2"/>
      <c r="C4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C80A-B9F0-42B2-B14F-324E5B39F7D5}">
  <dimension ref="A1:G45"/>
  <sheetViews>
    <sheetView workbookViewId="0"/>
  </sheetViews>
  <sheetFormatPr defaultRowHeight="15" x14ac:dyDescent="0.25"/>
  <cols>
    <col min="1" max="1" width="38.42578125" customWidth="1"/>
    <col min="2" max="4" width="13.7109375" customWidth="1"/>
    <col min="6" max="6" width="34.42578125" customWidth="1"/>
  </cols>
  <sheetData>
    <row r="1" spans="1:7" x14ac:dyDescent="0.25">
      <c r="A1" s="6" t="s">
        <v>9</v>
      </c>
      <c r="B1" s="6"/>
      <c r="C1" s="6"/>
      <c r="D1" s="7"/>
      <c r="F1" s="1" t="s">
        <v>4</v>
      </c>
    </row>
    <row r="3" spans="1:7" x14ac:dyDescent="0.25">
      <c r="B3" s="1">
        <v>2020</v>
      </c>
      <c r="C3" s="1">
        <v>2021</v>
      </c>
      <c r="D3" s="1" t="s">
        <v>8</v>
      </c>
      <c r="F3" t="s">
        <v>5</v>
      </c>
    </row>
    <row r="4" spans="1:7" x14ac:dyDescent="0.25">
      <c r="A4" t="s">
        <v>1</v>
      </c>
      <c r="B4" s="5">
        <v>355298485</v>
      </c>
      <c r="C4" s="5">
        <v>1570143136</v>
      </c>
      <c r="D4" s="1"/>
      <c r="F4" t="s">
        <v>11</v>
      </c>
    </row>
    <row r="5" spans="1:7" x14ac:dyDescent="0.25">
      <c r="A5" t="s">
        <v>14</v>
      </c>
      <c r="B5" s="5">
        <v>317911</v>
      </c>
      <c r="C5" s="5">
        <v>2181290</v>
      </c>
      <c r="D5" s="1"/>
    </row>
    <row r="6" spans="1:7" x14ac:dyDescent="0.25">
      <c r="A6" t="s">
        <v>2</v>
      </c>
      <c r="B6" s="4">
        <f>0.25%*F8</f>
        <v>2.3360655737704921E-3</v>
      </c>
      <c r="C6" s="4">
        <v>2.5000000000000001E-3</v>
      </c>
      <c r="D6" s="4">
        <f>AVERAGE(B6:C6)</f>
        <v>2.4180327868852458E-3</v>
      </c>
      <c r="F6" s="1" t="s">
        <v>22</v>
      </c>
    </row>
    <row r="7" spans="1:7" x14ac:dyDescent="0.25">
      <c r="A7" t="s">
        <v>3</v>
      </c>
      <c r="B7" s="5">
        <f>B5/B6</f>
        <v>136088217.54385963</v>
      </c>
      <c r="C7" s="5">
        <f>C5/C6</f>
        <v>872516000</v>
      </c>
      <c r="D7" s="4"/>
      <c r="F7" t="s">
        <v>23</v>
      </c>
    </row>
    <row r="8" spans="1:7" x14ac:dyDescent="0.25">
      <c r="B8" s="5"/>
      <c r="C8" s="5"/>
      <c r="D8" s="4"/>
      <c r="F8" s="17">
        <f>342/366</f>
        <v>0.93442622950819676</v>
      </c>
      <c r="G8" t="s">
        <v>24</v>
      </c>
    </row>
    <row r="9" spans="1:7" x14ac:dyDescent="0.25">
      <c r="A9" t="s">
        <v>13</v>
      </c>
      <c r="B9" s="5">
        <v>7410</v>
      </c>
      <c r="C9" s="5">
        <v>92091</v>
      </c>
      <c r="D9" s="4"/>
    </row>
    <row r="10" spans="1:7" x14ac:dyDescent="0.25">
      <c r="A10" t="s">
        <v>15</v>
      </c>
      <c r="B10" s="16">
        <f>B9/B7</f>
        <v>5.4449974683604362E-5</v>
      </c>
      <c r="C10" s="16">
        <f>C9/C7</f>
        <v>1.0554648854576879E-4</v>
      </c>
      <c r="D10" s="18">
        <f>AVERAGE(B10:C10)</f>
        <v>7.9998231614686579E-5</v>
      </c>
    </row>
    <row r="11" spans="1:7" x14ac:dyDescent="0.25">
      <c r="D11" s="4"/>
    </row>
    <row r="12" spans="1:7" x14ac:dyDescent="0.25">
      <c r="A12" t="s">
        <v>0</v>
      </c>
      <c r="B12" s="5">
        <v>2685568</v>
      </c>
      <c r="C12" s="5">
        <v>17083897</v>
      </c>
      <c r="D12" s="4"/>
    </row>
    <row r="13" spans="1:7" x14ac:dyDescent="0.25">
      <c r="A13" t="s">
        <v>6</v>
      </c>
      <c r="B13" s="5">
        <v>4931</v>
      </c>
      <c r="C13" s="5">
        <v>21826</v>
      </c>
      <c r="D13" s="4"/>
    </row>
    <row r="14" spans="1:7" x14ac:dyDescent="0.25">
      <c r="A14" t="s">
        <v>7</v>
      </c>
      <c r="B14" s="9">
        <f t="shared" ref="B14:C14" si="0">B13/(B12+B13)</f>
        <v>1.8327455241574147E-3</v>
      </c>
      <c r="C14" s="9">
        <f t="shared" si="0"/>
        <v>1.2759472370738145E-3</v>
      </c>
      <c r="D14" s="4"/>
    </row>
    <row r="15" spans="1:7" x14ac:dyDescent="0.25">
      <c r="A15" t="s">
        <v>16</v>
      </c>
      <c r="B15" s="9">
        <f>(B12+B13)/B7</f>
        <v>1.9770256739036821E-2</v>
      </c>
      <c r="C15" s="9">
        <f>(C12+C13)/C7</f>
        <v>1.9605053660907076E-2</v>
      </c>
      <c r="D15" s="4"/>
    </row>
    <row r="16" spans="1:7" x14ac:dyDescent="0.25">
      <c r="A16" t="s">
        <v>17</v>
      </c>
      <c r="B16" s="10">
        <f>B13/B7</f>
        <v>3.6233849549912701E-5</v>
      </c>
      <c r="C16" s="10">
        <f>C13/C7</f>
        <v>2.5015014051318255E-5</v>
      </c>
      <c r="D16" s="18">
        <f>AVERAGE(B16:C16)</f>
        <v>3.0624431800615477E-5</v>
      </c>
    </row>
    <row r="17" spans="1:4" x14ac:dyDescent="0.25">
      <c r="B17" s="9"/>
      <c r="C17" s="9"/>
      <c r="D17" s="4"/>
    </row>
    <row r="18" spans="1:4" x14ac:dyDescent="0.25">
      <c r="A18" s="12" t="s">
        <v>12</v>
      </c>
      <c r="B18" s="14">
        <v>0.2</v>
      </c>
      <c r="C18" s="14">
        <v>0.22</v>
      </c>
      <c r="D18" s="14">
        <f>AVERAGE(B18:C18)</f>
        <v>0.21000000000000002</v>
      </c>
    </row>
    <row r="19" spans="1:4" x14ac:dyDescent="0.25">
      <c r="D19" s="4"/>
    </row>
    <row r="20" spans="1:4" x14ac:dyDescent="0.25">
      <c r="A20" s="1" t="s">
        <v>18</v>
      </c>
      <c r="B20" s="2">
        <f>C6-D10+D16</f>
        <v>2.4506262001859291E-3</v>
      </c>
      <c r="C20" s="5"/>
      <c r="D20" s="4"/>
    </row>
    <row r="21" spans="1:4" x14ac:dyDescent="0.25">
      <c r="A21" s="1" t="s">
        <v>25</v>
      </c>
      <c r="B21" s="4">
        <f>C6-D10</f>
        <v>2.4200017683853135E-3</v>
      </c>
      <c r="D21" s="3"/>
    </row>
    <row r="22" spans="1:4" x14ac:dyDescent="0.25">
      <c r="A22" s="1" t="s">
        <v>30</v>
      </c>
      <c r="B22" s="4">
        <f>C6-C10</f>
        <v>2.3944535114542313E-3</v>
      </c>
      <c r="D22" s="4"/>
    </row>
    <row r="23" spans="1:4" x14ac:dyDescent="0.25">
      <c r="D23" s="4"/>
    </row>
    <row r="24" spans="1:4" x14ac:dyDescent="0.25">
      <c r="D24" s="10"/>
    </row>
    <row r="25" spans="1:4" x14ac:dyDescent="0.25">
      <c r="B25" s="3"/>
      <c r="C25" s="3"/>
      <c r="D25" s="10"/>
    </row>
    <row r="26" spans="1:4" x14ac:dyDescent="0.25">
      <c r="B26" s="3"/>
      <c r="C26" s="3"/>
    </row>
    <row r="27" spans="1:4" x14ac:dyDescent="0.25">
      <c r="B27" s="3"/>
      <c r="C27" s="3"/>
    </row>
    <row r="29" spans="1:4" x14ac:dyDescent="0.25">
      <c r="B29" s="4"/>
      <c r="C29" s="4"/>
    </row>
    <row r="30" spans="1:4" x14ac:dyDescent="0.25">
      <c r="A30" s="1"/>
      <c r="B30" s="8"/>
      <c r="C30" s="8"/>
    </row>
    <row r="31" spans="1:4" x14ac:dyDescent="0.25">
      <c r="B31" s="4"/>
      <c r="C31" s="4"/>
    </row>
    <row r="33" spans="1:3" x14ac:dyDescent="0.25">
      <c r="A33" s="1"/>
    </row>
    <row r="34" spans="1:3" x14ac:dyDescent="0.25">
      <c r="A34" s="13"/>
      <c r="B34" s="11"/>
      <c r="C34" s="11"/>
    </row>
    <row r="35" spans="1:3" x14ac:dyDescent="0.25">
      <c r="A35" s="12"/>
      <c r="B35" s="11"/>
      <c r="C35" s="11"/>
    </row>
    <row r="36" spans="1:3" x14ac:dyDescent="0.25">
      <c r="A36" s="12"/>
      <c r="B36" s="11"/>
      <c r="C36" s="11"/>
    </row>
    <row r="37" spans="1:3" x14ac:dyDescent="0.25">
      <c r="A37" s="12"/>
      <c r="B37" s="11"/>
      <c r="C37" s="11"/>
    </row>
    <row r="38" spans="1:3" x14ac:dyDescent="0.25">
      <c r="A38" s="12"/>
      <c r="B38" s="11"/>
      <c r="C38" s="11"/>
    </row>
    <row r="39" spans="1:3" x14ac:dyDescent="0.25">
      <c r="A39" s="12"/>
      <c r="B39" s="11"/>
      <c r="C39" s="11"/>
    </row>
    <row r="45" spans="1:3" x14ac:dyDescent="0.25">
      <c r="B45" s="2"/>
      <c r="C4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ED46-EEA8-4CD3-B87C-CF32F0FABA87}">
  <dimension ref="A1:G25"/>
  <sheetViews>
    <sheetView workbookViewId="0"/>
  </sheetViews>
  <sheetFormatPr defaultRowHeight="15" x14ac:dyDescent="0.25"/>
  <cols>
    <col min="1" max="1" width="38.42578125" customWidth="1"/>
    <col min="2" max="4" width="13.7109375" customWidth="1"/>
    <col min="6" max="6" width="34.42578125" customWidth="1"/>
  </cols>
  <sheetData>
    <row r="1" spans="1:7" x14ac:dyDescent="0.25">
      <c r="A1" s="6" t="s">
        <v>10</v>
      </c>
      <c r="B1" s="6"/>
      <c r="C1" s="6"/>
      <c r="D1" s="7"/>
      <c r="F1" s="1" t="s">
        <v>4</v>
      </c>
    </row>
    <row r="3" spans="1:7" x14ac:dyDescent="0.25">
      <c r="B3" s="1">
        <v>2020</v>
      </c>
      <c r="C3" s="1">
        <v>2021</v>
      </c>
      <c r="D3" s="1" t="s">
        <v>8</v>
      </c>
      <c r="F3" t="s">
        <v>5</v>
      </c>
    </row>
    <row r="4" spans="1:7" x14ac:dyDescent="0.25">
      <c r="A4" t="s">
        <v>1</v>
      </c>
      <c r="B4" s="5">
        <v>274824683</v>
      </c>
      <c r="C4" s="5">
        <v>1056702827</v>
      </c>
      <c r="D4" s="1"/>
      <c r="F4" t="s">
        <v>11</v>
      </c>
    </row>
    <row r="5" spans="1:7" x14ac:dyDescent="0.25">
      <c r="A5" t="s">
        <v>14</v>
      </c>
      <c r="B5" s="5">
        <v>292899</v>
      </c>
      <c r="C5" s="5">
        <v>2087838</v>
      </c>
      <c r="D5" s="1"/>
    </row>
    <row r="6" spans="1:7" x14ac:dyDescent="0.25">
      <c r="A6" t="s">
        <v>2</v>
      </c>
      <c r="B6" s="4">
        <f>0.36%*F8</f>
        <v>3.3639344262295081E-3</v>
      </c>
      <c r="C6" s="4">
        <v>3.5999999999999999E-3</v>
      </c>
      <c r="D6" s="4">
        <f>AVERAGE(B6:C6)</f>
        <v>3.481967213114754E-3</v>
      </c>
      <c r="F6" s="1" t="s">
        <v>22</v>
      </c>
    </row>
    <row r="7" spans="1:7" x14ac:dyDescent="0.25">
      <c r="A7" t="s">
        <v>3</v>
      </c>
      <c r="B7" s="5">
        <f>B5/B6</f>
        <v>87070365.49707602</v>
      </c>
      <c r="C7" s="5">
        <f>C5/C6</f>
        <v>579955000</v>
      </c>
      <c r="D7" s="4"/>
      <c r="F7" t="s">
        <v>23</v>
      </c>
    </row>
    <row r="8" spans="1:7" x14ac:dyDescent="0.25">
      <c r="B8" s="5"/>
      <c r="C8" s="5"/>
      <c r="D8" s="4"/>
      <c r="F8" s="17">
        <f>342/366</f>
        <v>0.93442622950819676</v>
      </c>
      <c r="G8" t="s">
        <v>24</v>
      </c>
    </row>
    <row r="9" spans="1:7" x14ac:dyDescent="0.25">
      <c r="A9" t="s">
        <v>13</v>
      </c>
      <c r="B9" s="5">
        <v>25648</v>
      </c>
      <c r="C9" s="5">
        <v>349475</v>
      </c>
      <c r="D9" s="4"/>
    </row>
    <row r="10" spans="1:7" x14ac:dyDescent="0.25">
      <c r="A10" t="s">
        <v>15</v>
      </c>
      <c r="B10" s="16">
        <f>B9/B7</f>
        <v>2.9456635278350023E-4</v>
      </c>
      <c r="C10" s="16">
        <f>C9/C7</f>
        <v>6.0258985610952577E-4</v>
      </c>
      <c r="D10" s="3">
        <f>AVERAGE(B10:C10)</f>
        <v>4.48578104446513E-4</v>
      </c>
    </row>
    <row r="11" spans="1:7" x14ac:dyDescent="0.25">
      <c r="D11" s="4"/>
    </row>
    <row r="12" spans="1:7" x14ac:dyDescent="0.25">
      <c r="A12" t="s">
        <v>0</v>
      </c>
      <c r="B12" s="5">
        <v>2054134</v>
      </c>
      <c r="C12" s="5">
        <v>15495150</v>
      </c>
      <c r="D12" s="4"/>
    </row>
    <row r="13" spans="1:7" x14ac:dyDescent="0.25">
      <c r="A13" t="s">
        <v>6</v>
      </c>
      <c r="B13" s="5">
        <v>213731</v>
      </c>
      <c r="C13" s="5">
        <f>1431156</f>
        <v>1431156</v>
      </c>
      <c r="D13" s="4"/>
    </row>
    <row r="14" spans="1:7" x14ac:dyDescent="0.25">
      <c r="A14" t="s">
        <v>7</v>
      </c>
      <c r="B14" s="9">
        <f t="shared" ref="B14:C14" si="0">B13/(B12+B13)</f>
        <v>9.4243264039085214E-2</v>
      </c>
      <c r="C14" s="9">
        <f t="shared" si="0"/>
        <v>8.4552175767116586E-2</v>
      </c>
      <c r="D14" s="4"/>
    </row>
    <row r="15" spans="1:7" x14ac:dyDescent="0.25">
      <c r="A15" t="s">
        <v>16</v>
      </c>
      <c r="B15" s="9">
        <f>(B12+B13)/B7</f>
        <v>2.6046347538028411E-2</v>
      </c>
      <c r="C15" s="9">
        <f>(C12+C13)/C7</f>
        <v>2.918555060306403E-2</v>
      </c>
      <c r="D15" s="4"/>
    </row>
    <row r="16" spans="1:7" x14ac:dyDescent="0.25">
      <c r="A16" t="s">
        <v>17</v>
      </c>
      <c r="B16" s="9">
        <f>B13/B7</f>
        <v>2.4546928082801889E-3</v>
      </c>
      <c r="C16" s="9">
        <f>C13/C7</f>
        <v>2.4677018044503454E-3</v>
      </c>
      <c r="D16" s="4">
        <f>AVERAGE(B16:C16)</f>
        <v>2.4611973063652674E-3</v>
      </c>
    </row>
    <row r="17" spans="1:4" x14ac:dyDescent="0.25">
      <c r="A17" s="12"/>
      <c r="B17" s="11"/>
      <c r="C17" s="11"/>
    </row>
    <row r="18" spans="1:4" x14ac:dyDescent="0.25">
      <c r="A18" s="12" t="s">
        <v>12</v>
      </c>
      <c r="B18" s="14">
        <v>0.32</v>
      </c>
      <c r="C18" s="15">
        <v>0.21</v>
      </c>
      <c r="D18" s="14">
        <f>AVERAGE(B18:C18)</f>
        <v>0.26500000000000001</v>
      </c>
    </row>
    <row r="19" spans="1:4" x14ac:dyDescent="0.25">
      <c r="A19" s="12"/>
      <c r="B19" s="11"/>
      <c r="C19" s="11"/>
    </row>
    <row r="20" spans="1:4" x14ac:dyDescent="0.25">
      <c r="A20" s="1" t="s">
        <v>18</v>
      </c>
      <c r="B20" s="4">
        <f>C6-D10+D16</f>
        <v>5.6126192019187544E-3</v>
      </c>
    </row>
    <row r="21" spans="1:4" x14ac:dyDescent="0.25">
      <c r="A21" s="1" t="s">
        <v>25</v>
      </c>
      <c r="B21" s="4">
        <f>C6-D10</f>
        <v>3.151421895553487E-3</v>
      </c>
    </row>
    <row r="22" spans="1:4" x14ac:dyDescent="0.25">
      <c r="A22" s="1" t="s">
        <v>30</v>
      </c>
      <c r="B22" s="4">
        <f>C6-C10</f>
        <v>2.997410143890474E-3</v>
      </c>
    </row>
    <row r="25" spans="1:4" x14ac:dyDescent="0.25">
      <c r="B25" s="2"/>
      <c r="C25" s="2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5BC6-03BD-4995-BFCE-A1AFF8375114}">
  <dimension ref="B2:D18"/>
  <sheetViews>
    <sheetView workbookViewId="0"/>
  </sheetViews>
  <sheetFormatPr defaultRowHeight="15" x14ac:dyDescent="0.25"/>
  <cols>
    <col min="2" max="2" width="21.5703125" customWidth="1"/>
  </cols>
  <sheetData>
    <row r="2" spans="2:4" x14ac:dyDescent="0.25">
      <c r="B2" s="1" t="s">
        <v>26</v>
      </c>
      <c r="C2" s="8">
        <f>(50%*AVUV!B20)+(50%*AVDV!B20)</f>
        <v>4.0316227010523415E-3</v>
      </c>
    </row>
    <row r="3" spans="2:4" x14ac:dyDescent="0.25">
      <c r="B3" t="s">
        <v>27</v>
      </c>
      <c r="C3" s="4">
        <v>1.1000000000000001E-3</v>
      </c>
      <c r="D3" t="s">
        <v>28</v>
      </c>
    </row>
    <row r="4" spans="2:4" x14ac:dyDescent="0.25">
      <c r="B4" t="s">
        <v>29</v>
      </c>
      <c r="C4" s="4">
        <f>SUM(C2:C3)</f>
        <v>5.1316227010523418E-3</v>
      </c>
    </row>
    <row r="6" spans="2:4" x14ac:dyDescent="0.25">
      <c r="B6" s="1" t="s">
        <v>35</v>
      </c>
    </row>
    <row r="7" spans="2:4" x14ac:dyDescent="0.25">
      <c r="B7" s="20" t="s">
        <v>31</v>
      </c>
      <c r="C7" s="20" t="s">
        <v>32</v>
      </c>
      <c r="D7" s="20" t="s">
        <v>33</v>
      </c>
    </row>
    <row r="8" spans="2:4" x14ac:dyDescent="0.25">
      <c r="B8" s="4">
        <v>0.60799999999999998</v>
      </c>
      <c r="C8" s="4">
        <v>0.27700000000000002</v>
      </c>
      <c r="D8" s="4">
        <v>0.115</v>
      </c>
    </row>
    <row r="9" spans="2:4" x14ac:dyDescent="0.25">
      <c r="B9" s="4">
        <f>B8*AVUS!B20</f>
        <v>9.0131496844475826E-4</v>
      </c>
      <c r="C9" s="4">
        <f>C8*AVDE!B20</f>
        <v>1.2966209986587747E-3</v>
      </c>
      <c r="D9" s="4">
        <f>D8*AVEM!B20</f>
        <v>7.9119602720545748E-4</v>
      </c>
    </row>
    <row r="11" spans="2:4" x14ac:dyDescent="0.25">
      <c r="B11" s="1" t="s">
        <v>34</v>
      </c>
      <c r="C11" s="8">
        <f>SUM(B9:D9)</f>
        <v>2.9891319943089905E-3</v>
      </c>
    </row>
    <row r="13" spans="2:4" x14ac:dyDescent="0.25">
      <c r="B13" s="1" t="s">
        <v>36</v>
      </c>
    </row>
    <row r="14" spans="2:4" x14ac:dyDescent="0.25">
      <c r="B14" s="20" t="s">
        <v>31</v>
      </c>
      <c r="C14" s="20" t="s">
        <v>32</v>
      </c>
    </row>
    <row r="15" spans="2:4" x14ac:dyDescent="0.25">
      <c r="B15" s="4">
        <v>0.68799999999999994</v>
      </c>
      <c r="C15" s="4">
        <f>100%-B15</f>
        <v>0.31200000000000006</v>
      </c>
    </row>
    <row r="16" spans="2:4" x14ac:dyDescent="0.25">
      <c r="B16" s="4">
        <f>B15*AVUS!B20</f>
        <v>1.0199090432401212E-3</v>
      </c>
      <c r="C16" s="4">
        <f>C15*AVDE!B20</f>
        <v>1.4604539768286562E-3</v>
      </c>
    </row>
    <row r="18" spans="2:3" x14ac:dyDescent="0.25">
      <c r="B18" s="1" t="s">
        <v>34</v>
      </c>
      <c r="C18" s="8">
        <f>SUM(B16:C16)</f>
        <v>2.4803630200687776E-3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AVUS</vt:lpstr>
      <vt:lpstr>AVDE</vt:lpstr>
      <vt:lpstr>AVEM</vt:lpstr>
      <vt:lpstr>AVUV</vt:lpstr>
      <vt:lpstr>AVDV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</dc:creator>
  <cp:lastModifiedBy>Gerben van Loon</cp:lastModifiedBy>
  <dcterms:created xsi:type="dcterms:W3CDTF">2015-06-05T18:19:34Z</dcterms:created>
  <dcterms:modified xsi:type="dcterms:W3CDTF">2022-02-25T20:36:43Z</dcterms:modified>
</cp:coreProperties>
</file>