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1143" documentId="13_ncr:1_{A6ACE176-4C08-4AFF-ACEF-0847542540D3}" xr6:coauthVersionLast="47" xr6:coauthVersionMax="47" xr10:uidLastSave="{9DD91384-646B-43B8-A0D3-2F31A933E543}"/>
  <bookViews>
    <workbookView xWindow="12015" yWindow="1500" windowWidth="21870" windowHeight="17505" xr2:uid="{00000000-000D-0000-FFFF-FFFF00000000}"/>
  </bookViews>
  <sheets>
    <sheet name="Aanames" sheetId="6" r:id="rId1"/>
    <sheet name="IWDA" sheetId="1" r:id="rId2"/>
    <sheet name="EMIM" sheetId="4" r:id="rId3"/>
    <sheet name="IEMM" sheetId="9" r:id="rId4"/>
    <sheet name="IEMA" sheetId="11" r:id="rId5"/>
    <sheet name="WSML" sheetId="3" r:id="rId6"/>
    <sheet name="IEMS" sheetId="2" r:id="rId7"/>
    <sheet name="IWVL" sheetId="12" r:id="rId8"/>
    <sheet name="Dividendlek" sheetId="14" r:id="rId9"/>
    <sheet name="TrackingDifference" sheetId="5" r:id="rId10"/>
    <sheet name="Lending%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4" l="1"/>
  <c r="J20" i="14"/>
  <c r="J15" i="14"/>
  <c r="J10" i="14"/>
  <c r="J5" i="14"/>
  <c r="H25" i="14"/>
  <c r="J27" i="14"/>
  <c r="H20" i="14"/>
  <c r="H15" i="14"/>
  <c r="H10" i="14"/>
  <c r="H5" i="14"/>
  <c r="J20" i="9"/>
  <c r="J16" i="9"/>
  <c r="J8" i="9"/>
  <c r="J13" i="9"/>
  <c r="K13" i="9" s="1"/>
  <c r="J12" i="9"/>
  <c r="K20" i="9"/>
  <c r="K16" i="9"/>
  <c r="K12" i="9"/>
  <c r="K7" i="9"/>
  <c r="I20" i="4"/>
  <c r="I16" i="4"/>
  <c r="I13" i="4"/>
  <c r="I12" i="4"/>
  <c r="H20" i="4"/>
  <c r="H16" i="4"/>
  <c r="H13" i="4"/>
  <c r="H12" i="4"/>
  <c r="H8" i="4"/>
  <c r="I7" i="4"/>
  <c r="B28" i="12"/>
  <c r="B27" i="2"/>
  <c r="B27" i="11"/>
  <c r="B29" i="1"/>
  <c r="B30" i="1"/>
  <c r="M47" i="5"/>
  <c r="I21" i="12"/>
  <c r="I17" i="12"/>
  <c r="I14" i="12"/>
  <c r="I13" i="12"/>
  <c r="I12" i="12"/>
  <c r="I7" i="12"/>
  <c r="H12" i="12"/>
  <c r="H13" i="12"/>
  <c r="H8" i="12"/>
  <c r="H21" i="12" s="1"/>
  <c r="J20" i="2"/>
  <c r="J16" i="2"/>
  <c r="J13" i="2"/>
  <c r="J12" i="2"/>
  <c r="J7" i="2"/>
  <c r="B24" i="3"/>
  <c r="B25" i="3" s="1"/>
  <c r="N20" i="5"/>
  <c r="M19" i="5"/>
  <c r="E20" i="3"/>
  <c r="E16" i="3"/>
  <c r="E13" i="3"/>
  <c r="E12" i="3"/>
  <c r="E7" i="3"/>
  <c r="D16" i="3"/>
  <c r="D12" i="3"/>
  <c r="D8" i="3"/>
  <c r="D20" i="3" s="1"/>
  <c r="M40" i="5"/>
  <c r="J20" i="11"/>
  <c r="J16" i="11"/>
  <c r="J13" i="11"/>
  <c r="J12" i="11"/>
  <c r="J7" i="11"/>
  <c r="I12" i="11"/>
  <c r="I8" i="11"/>
  <c r="I16" i="11" s="1"/>
  <c r="I12" i="2"/>
  <c r="I8" i="2"/>
  <c r="I20" i="2" s="1"/>
  <c r="I12" i="9"/>
  <c r="I8" i="9"/>
  <c r="I20" i="9" s="1"/>
  <c r="N13" i="5"/>
  <c r="M12" i="5"/>
  <c r="G12" i="4"/>
  <c r="G8" i="4"/>
  <c r="G20" i="4" s="1"/>
  <c r="B8" i="4"/>
  <c r="J21" i="1"/>
  <c r="J12" i="1"/>
  <c r="J17" i="1"/>
  <c r="N48" i="5"/>
  <c r="J48" i="5"/>
  <c r="J47" i="5"/>
  <c r="J41" i="5"/>
  <c r="J40" i="5"/>
  <c r="J34" i="5"/>
  <c r="J33" i="5"/>
  <c r="J27" i="5"/>
  <c r="J26" i="5"/>
  <c r="J20" i="5"/>
  <c r="J19" i="5"/>
  <c r="J12" i="5"/>
  <c r="J13" i="5"/>
  <c r="J6" i="5"/>
  <c r="J5" i="5"/>
  <c r="K30" i="5"/>
  <c r="K23" i="5"/>
  <c r="K9" i="5"/>
  <c r="K2" i="5"/>
  <c r="I21" i="1"/>
  <c r="I17" i="1"/>
  <c r="I12" i="1"/>
  <c r="I13" i="1"/>
  <c r="I14" i="1"/>
  <c r="I8" i="1"/>
  <c r="J7" i="1"/>
  <c r="H17" i="12" l="1"/>
  <c r="H14" i="12"/>
  <c r="I13" i="2"/>
  <c r="I16" i="2"/>
  <c r="D13" i="3"/>
  <c r="I13" i="11"/>
  <c r="I20" i="11"/>
  <c r="I13" i="9"/>
  <c r="I16" i="9"/>
  <c r="G13" i="4"/>
  <c r="G16" i="4"/>
  <c r="B25" i="14"/>
  <c r="C25" i="14"/>
  <c r="D25" i="14"/>
  <c r="E25" i="14"/>
  <c r="F25" i="14"/>
  <c r="G25" i="14"/>
  <c r="B20" i="14" l="1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H7" i="11" l="1"/>
  <c r="C8" i="12" l="1"/>
  <c r="D8" i="12"/>
  <c r="E8" i="12"/>
  <c r="F8" i="12"/>
  <c r="G8" i="12"/>
  <c r="C8" i="11"/>
  <c r="D8" i="11"/>
  <c r="E8" i="11"/>
  <c r="F8" i="11"/>
  <c r="G8" i="11"/>
  <c r="H8" i="11"/>
  <c r="H16" i="11" s="1"/>
  <c r="C8" i="9"/>
  <c r="D8" i="9"/>
  <c r="E8" i="9"/>
  <c r="F8" i="9"/>
  <c r="G8" i="9"/>
  <c r="H8" i="9"/>
  <c r="H20" i="9" s="1"/>
  <c r="B8" i="3"/>
  <c r="C8" i="3"/>
  <c r="C13" i="3" s="1"/>
  <c r="C8" i="2"/>
  <c r="D8" i="2"/>
  <c r="E8" i="2"/>
  <c r="F8" i="2"/>
  <c r="G8" i="2"/>
  <c r="H8" i="2"/>
  <c r="C8" i="4"/>
  <c r="D8" i="4"/>
  <c r="E8" i="4"/>
  <c r="F8" i="4"/>
  <c r="F13" i="4" s="1"/>
  <c r="C8" i="1"/>
  <c r="D8" i="1"/>
  <c r="E8" i="1"/>
  <c r="F8" i="1"/>
  <c r="G8" i="1"/>
  <c r="H8" i="1"/>
  <c r="H14" i="1" s="1"/>
  <c r="B8" i="11"/>
  <c r="E47" i="5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E27" i="5"/>
  <c r="F27" i="5"/>
  <c r="G27" i="5"/>
  <c r="H27" i="5"/>
  <c r="I27" i="5"/>
  <c r="E26" i="5"/>
  <c r="F26" i="5"/>
  <c r="G26" i="5"/>
  <c r="H26" i="5"/>
  <c r="I26" i="5"/>
  <c r="E48" i="5"/>
  <c r="F48" i="5"/>
  <c r="G48" i="5"/>
  <c r="H48" i="5"/>
  <c r="I48" i="5"/>
  <c r="D48" i="5"/>
  <c r="D34" i="5"/>
  <c r="N34" i="5" s="1"/>
  <c r="D33" i="5"/>
  <c r="D27" i="5"/>
  <c r="D26" i="5"/>
  <c r="I20" i="5"/>
  <c r="I19" i="5"/>
  <c r="E13" i="5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H20" i="5"/>
  <c r="G21" i="12"/>
  <c r="G17" i="12"/>
  <c r="G14" i="12"/>
  <c r="G13" i="12"/>
  <c r="G12" i="12"/>
  <c r="C20" i="3"/>
  <c r="H20" i="2"/>
  <c r="H12" i="11"/>
  <c r="C12" i="3"/>
  <c r="C16" i="3"/>
  <c r="H16" i="2"/>
  <c r="H13" i="2"/>
  <c r="H12" i="2"/>
  <c r="H12" i="1"/>
  <c r="F12" i="4"/>
  <c r="H13" i="9"/>
  <c r="H12" i="9"/>
  <c r="H16" i="9" l="1"/>
  <c r="M33" i="5"/>
  <c r="M26" i="5"/>
  <c r="N27" i="5"/>
  <c r="F16" i="4"/>
  <c r="F20" i="4"/>
  <c r="H17" i="1"/>
  <c r="H21" i="1"/>
  <c r="H13" i="1"/>
  <c r="H13" i="11"/>
  <c r="H20" i="11"/>
  <c r="B18" i="12" l="1"/>
  <c r="B25" i="12"/>
  <c r="D47" i="5"/>
  <c r="F12" i="12" l="1"/>
  <c r="E12" i="12"/>
  <c r="D12" i="12"/>
  <c r="C12" i="12"/>
  <c r="B12" i="12"/>
  <c r="B8" i="12"/>
  <c r="C13" i="12" l="1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D17" i="11"/>
  <c r="C17" i="11"/>
  <c r="B17" i="11"/>
  <c r="D41" i="5"/>
  <c r="N41" i="5" s="1"/>
  <c r="D40" i="5"/>
  <c r="G12" i="11"/>
  <c r="F12" i="11"/>
  <c r="E12" i="11"/>
  <c r="D12" i="11"/>
  <c r="C12" i="11"/>
  <c r="B12" i="11"/>
  <c r="G13" i="11"/>
  <c r="F16" i="11"/>
  <c r="E13" i="11"/>
  <c r="D20" i="11"/>
  <c r="C13" i="11"/>
  <c r="B16" i="11"/>
  <c r="B24" i="11" l="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 s="1"/>
  <c r="B24" i="9" l="1"/>
  <c r="B24" i="12"/>
  <c r="B26" i="12" s="1"/>
  <c r="D13" i="9"/>
  <c r="B27" i="9" s="1"/>
  <c r="E16" i="9"/>
  <c r="C20" i="9"/>
  <c r="G20" i="9"/>
  <c r="E13" i="9"/>
  <c r="B16" i="9"/>
  <c r="F16" i="9"/>
  <c r="D20" i="9"/>
  <c r="B13" i="9"/>
  <c r="F13" i="9"/>
  <c r="C16" i="9"/>
  <c r="G16" i="9"/>
  <c r="B24" i="2" l="1"/>
  <c r="B23" i="11"/>
  <c r="B25" i="11" s="1"/>
  <c r="B23" i="9" l="1"/>
  <c r="B25" i="9" s="1"/>
  <c r="B17" i="4"/>
  <c r="C17" i="2"/>
  <c r="B17" i="2"/>
  <c r="B18" i="1"/>
  <c r="C18" i="1"/>
  <c r="D17" i="2"/>
  <c r="D18" i="1"/>
  <c r="B8" i="1" l="1"/>
  <c r="B14" i="1" s="1"/>
  <c r="C14" i="1"/>
  <c r="D14" i="1"/>
  <c r="E14" i="1"/>
  <c r="F14" i="1"/>
  <c r="G14" i="1"/>
  <c r="H19" i="5" l="1"/>
  <c r="D13" i="5"/>
  <c r="D12" i="5"/>
  <c r="C6" i="5"/>
  <c r="N6" i="5" s="1"/>
  <c r="C5" i="5"/>
  <c r="M5" i="5" s="1"/>
  <c r="B24" i="4" l="1"/>
  <c r="B26" i="1"/>
  <c r="B12" i="3" l="1"/>
  <c r="B16" i="3" l="1"/>
  <c r="B13" i="3"/>
  <c r="B20" i="3"/>
  <c r="C11" i="2"/>
  <c r="C12" i="2" s="1"/>
  <c r="E12" i="4"/>
  <c r="D12" i="4"/>
  <c r="C12" i="4"/>
  <c r="B12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B20" i="4" l="1"/>
  <c r="B16" i="4"/>
  <c r="B13" i="4"/>
  <c r="B27" i="4" s="1"/>
  <c r="B28" i="4" s="1"/>
  <c r="C20" i="4"/>
  <c r="C16" i="4"/>
  <c r="C13" i="4"/>
  <c r="D16" i="4"/>
  <c r="D13" i="4"/>
  <c r="E20" i="4"/>
  <c r="E13" i="4"/>
  <c r="E16" i="4"/>
  <c r="C16" i="2"/>
  <c r="E20" i="2"/>
  <c r="E13" i="2"/>
  <c r="B20" i="2"/>
  <c r="B13" i="2"/>
  <c r="D20" i="2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3" i="2" l="1"/>
  <c r="B25" i="2" s="1"/>
  <c r="B23" i="3"/>
  <c r="B13" i="1"/>
  <c r="J13" i="1" s="1"/>
  <c r="B17" i="1"/>
  <c r="B21" i="1"/>
  <c r="B23" i="4" l="1"/>
  <c r="B25" i="4" s="1"/>
  <c r="B25" i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M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N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<sst xmlns="http://schemas.openxmlformats.org/spreadsheetml/2006/main" count="324" uniqueCount="148">
  <si>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</si>
  <si>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</si>
  <si>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</si>
  <si>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</si>
  <si>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</si>
  <si>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</si>
  <si>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</si>
  <si>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</si>
  <si>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</si>
  <si>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</si>
  <si>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</si>
  <si>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</si>
  <si>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</si>
  <si>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</si>
  <si>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</si>
  <si>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</si>
  <si>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</si>
  <si>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</si>
  <si>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</si>
  <si>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</si>
  <si>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</si>
  <si>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</si>
  <si>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</si>
  <si>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</si>
  <si>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</si>
  <si>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</si>
  <si>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</si>
  <si>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</si>
  <si>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</si>
  <si>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</si>
  <si>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</si>
  <si>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Optimized selectie, maar heeft 1611/1637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</si>
  <si>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</si>
  <si>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</si>
  <si>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</si>
  <si>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</si>
  <si>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</si>
  <si>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</si>
  <si>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</si>
  <si>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</si>
  <si>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</si>
  <si>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</si>
  <si>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</si>
  <si>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</si>
  <si>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</si>
  <si>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</si>
  <si>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</si>
  <si>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</si>
  <si>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</si>
  <si>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Netto index</t>
  </si>
  <si>
    <t>Bruto index</t>
  </si>
  <si>
    <t>TD</t>
  </si>
  <si>
    <t>OPNI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</si>
  <si>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</si>
  <si>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</si>
  <si>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</si>
  <si>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</si>
  <si>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</si>
  <si>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</si>
  <si>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</si>
  <si>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</si>
  <si>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</si>
  <si>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</si>
  <si>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</si>
  <si>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</si>
  <si>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</si>
  <si>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</si>
  <si>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</si>
  <si>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</si>
  <si>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</si>
  <si>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</si>
  <si>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</si>
  <si>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</si>
  <si>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</si>
  <si>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</si>
  <si>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</si>
  <si>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</si>
  <si>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</si>
  <si>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</si>
  <si>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</si>
  <si>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</si>
  <si>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</si>
  <si>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</si>
  <si>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</si>
  <si>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</si>
  <si>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</si>
  <si>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</si>
  <si>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</si>
  <si>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</si>
  <si>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</si>
  <si>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</si>
  <si>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</si>
  <si>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</si>
  <si>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3 basispunten er naast maar, niet onaardig</t>
  </si>
  <si>
    <t>Fund</t>
  </si>
  <si>
    <t>Agent</t>
  </si>
  <si>
    <t>Gemiddelde (2016-2020)</t>
  </si>
  <si>
    <t>On 27 March 2020, the total expense ratio (“TER”) for iShares MSCI EM UCITS ETF USD (Acc) was changed from 0.68% to 0.18%.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</si>
  <si>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</si>
  <si>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</si>
  <si>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</si>
  <si>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</si>
  <si>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</si>
  <si>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</si>
  <si>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</si>
  <si>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</si>
  <si>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</si>
  <si>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</si>
  <si>
    <t>IWDA</t>
  </si>
  <si>
    <t>EMIM</t>
  </si>
  <si>
    <t>IEMS</t>
  </si>
  <si>
    <t>WSML</t>
  </si>
  <si>
    <t>IEMM</t>
  </si>
  <si>
    <t>IEMA</t>
  </si>
  <si>
    <t>IWVL</t>
  </si>
  <si>
    <t>iShares III plc</t>
  </si>
  <si>
    <t>iShares plc</t>
  </si>
  <si>
    <t>iShares IV plc</t>
  </si>
  <si>
    <t>MSCI EMERGING MARKETS IMI (USD) gross</t>
  </si>
  <si>
    <t>MSCI EMERGING MARKETS IMI (USD) net</t>
  </si>
  <si>
    <t>MSCI World Small Cap Index (USD) gross</t>
  </si>
  <si>
    <t>MSCI World Small Cap Index (USD) net returns</t>
  </si>
  <si>
    <t>MSCI Emerging Markets Small Cap Index (USD) - gross returns</t>
  </si>
  <si>
    <t>MSCI Emerging Markets Small Cap Index (USD) - net  returns</t>
  </si>
  <si>
    <t>iShares WSML</t>
  </si>
  <si>
    <t>2014-2021</t>
  </si>
  <si>
    <t>Boekjaar anders dan kalenderjaar! Boekjaar eind feb. Skip daarom 2015 omdat geen vol jaar is</t>
  </si>
  <si>
    <t>2016-2021</t>
  </si>
  <si>
    <t>On 27 March 2020, the total expense ratio ("TER") for iShares MSCI EM UCITS ETF USD (Dist) changed from 0.75% to 0.18%.</t>
  </si>
  <si>
    <t>Boekjaar anders dan kalenderjaar! Tot eind feb</t>
  </si>
  <si>
    <t>2015-2021</t>
  </si>
  <si>
    <t>Boekjaar anders dan kalenderjaar! Eind juni</t>
  </si>
  <si>
    <t>Boekjaar anders dan kalenderjaar: eind mei</t>
  </si>
  <si>
    <t>2020-2021</t>
  </si>
  <si>
    <t>Boekjaar anders dan kalenderjaar! Juni</t>
  </si>
  <si>
    <t>juni</t>
  </si>
  <si>
    <t>Wat</t>
  </si>
  <si>
    <t>Waar zit het</t>
  </si>
  <si>
    <t>Boekjaar</t>
  </si>
  <si>
    <t>feb</t>
  </si>
  <si>
    <t>mei</t>
  </si>
  <si>
    <t>2015-2022</t>
  </si>
  <si>
    <t>2016-2022</t>
  </si>
  <si>
    <t>iShares VII PLC</t>
  </si>
  <si>
    <t>iShares II PLC</t>
  </si>
  <si>
    <t>iShares MSCI World Islamic UCITS ETF</t>
  </si>
  <si>
    <t>okt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</si>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</sst>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7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164" fontId="0" fillId="0" borderId="0" xfId="2" applyNumberFormat="1" applyFont="1"/>
    <xf numFmtId="165" fontId="2" fillId="0" borderId="0" xfId="0" applyNumberFormat="1" applyFont="1"/>
    <xf numFmtId="166" fontId="0" fillId="0" borderId="0" xfId="1" applyNumberFormat="1" applyFont="1"/>
    <xf numFmtId="10" fontId="2" fillId="0" borderId="0" xfId="1" applyNumberFormat="1" applyFont="1"/>
    <xf numFmtId="164" fontId="1" fillId="0" borderId="0" xfId="2" applyNumberFormat="1" applyFont="1"/>
    <xf numFmtId="10" fontId="1" fillId="0" borderId="0" xfId="1" applyNumberFormat="1" applyFont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0" fontId="0" fillId="0" borderId="0" xfId="1" applyNumberFormat="1" applyFont="1" applyFill="1"/>
    <xf numFmtId="10" fontId="2" fillId="0" borderId="0" xfId="0" applyNumberFormat="1" applyFont="1"/>
    <xf numFmtId="166" fontId="1" fillId="0" borderId="0" xfId="1" applyNumberFormat="1" applyFont="1"/>
    <xf numFmtId="165" fontId="1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1" fillId="0" borderId="0" xfId="1" applyNumberFormat="1" applyFont="1" applyFill="1"/>
    <xf numFmtId="2" fontId="0" fillId="0" borderId="0" xfId="0" applyNumberFormat="1"/>
    <xf numFmtId="165" fontId="1" fillId="0" borderId="0" xfId="1" applyNumberFormat="1" applyFont="1" applyFill="1"/>
    <xf numFmtId="43" fontId="0" fillId="0" borderId="0" xfId="3" applyFont="1"/>
    <xf numFmtId="164" fontId="0" fillId="0" borderId="0" xfId="0" applyNumberFormat="1"/>
    <xf numFmtId="167" fontId="0" fillId="0" borderId="0" xfId="0" applyNumberFormat="1"/>
    <xf numFmtId="17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1" applyNumberFormat="1" applyFont="1"/>
  </cellXfs>
  <cellStyles count="4">
    <cellStyle name="Komma" xfId="3" builtinId="3"/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D27"/>
  <sheetViews>
    <sheetView tabSelected="1" zoomScale="145" zoomScaleNormal="145" workbookViewId="0">
      <selection activeCell="D28" sqref="D28"/>
    </sheetView>
  </sheetViews>
  <sheetFormatPr defaultRowHeight="15" x14ac:dyDescent="0.25"/>
  <cols>
    <col min="2" max="2" width="108.85546875" customWidth="1"/>
    <col min="3" max="3" width="20.42578125" customWidth="1"/>
  </cols>
  <sheetData>
    <row r="2" spans="2:4" x14ac:dyDescent="0.25">
      <c r="B2" s="1" t="s">
        <v>4</v>
      </c>
    </row>
    <row r="3" spans="2:4" x14ac:dyDescent="0.25">
      <c r="B3" s="6" t="s">
        <v>54</v>
      </c>
    </row>
    <row r="4" spans="2:4" x14ac:dyDescent="0.25">
      <c r="B4" s="6" t="s">
        <v>17</v>
      </c>
    </row>
    <row r="6" spans="2:4" x14ac:dyDescent="0.25">
      <c r="B6" s="6" t="s">
        <v>18</v>
      </c>
    </row>
    <row r="8" spans="2:4" x14ac:dyDescent="0.25">
      <c r="B8" s="6" t="s">
        <v>14</v>
      </c>
    </row>
    <row r="9" spans="2:4" x14ac:dyDescent="0.25">
      <c r="B9" s="6"/>
    </row>
    <row r="10" spans="2:4" x14ac:dyDescent="0.25">
      <c r="B10" s="6" t="s">
        <v>34</v>
      </c>
    </row>
    <row r="11" spans="2:4" x14ac:dyDescent="0.25">
      <c r="B11" s="6" t="s">
        <v>60</v>
      </c>
    </row>
    <row r="12" spans="2:4" x14ac:dyDescent="0.25">
      <c r="B12" s="6" t="s">
        <v>61</v>
      </c>
    </row>
    <row r="16" spans="2:4" x14ac:dyDescent="0.25">
      <c r="B16" s="1" t="s">
        <v>136</v>
      </c>
      <c r="C16" s="1" t="s">
        <v>137</v>
      </c>
      <c r="D16" s="1" t="s">
        <v>138</v>
      </c>
    </row>
    <row r="17" spans="2:4" x14ac:dyDescent="0.25">
      <c r="B17" t="s">
        <v>108</v>
      </c>
      <c r="C17" t="s">
        <v>115</v>
      </c>
      <c r="D17" t="s">
        <v>135</v>
      </c>
    </row>
    <row r="18" spans="2:4" x14ac:dyDescent="0.25">
      <c r="B18" t="s">
        <v>109</v>
      </c>
      <c r="C18" t="s">
        <v>116</v>
      </c>
      <c r="D18" t="s">
        <v>139</v>
      </c>
    </row>
    <row r="19" spans="2:4" x14ac:dyDescent="0.25">
      <c r="B19" t="s">
        <v>110</v>
      </c>
      <c r="C19" t="s">
        <v>115</v>
      </c>
      <c r="D19" t="s">
        <v>135</v>
      </c>
    </row>
    <row r="20" spans="2:4" x14ac:dyDescent="0.25">
      <c r="B20" t="s">
        <v>111</v>
      </c>
      <c r="C20" t="s">
        <v>115</v>
      </c>
      <c r="D20" t="s">
        <v>135</v>
      </c>
    </row>
    <row r="21" spans="2:4" x14ac:dyDescent="0.25">
      <c r="B21" t="s">
        <v>112</v>
      </c>
      <c r="C21" t="s">
        <v>116</v>
      </c>
      <c r="D21" t="s">
        <v>139</v>
      </c>
    </row>
    <row r="22" spans="2:4" x14ac:dyDescent="0.25">
      <c r="B22" t="s">
        <v>113</v>
      </c>
      <c r="C22" t="s">
        <v>115</v>
      </c>
      <c r="D22" t="s">
        <v>135</v>
      </c>
    </row>
    <row r="23" spans="2:4" x14ac:dyDescent="0.25">
      <c r="B23" t="s">
        <v>114</v>
      </c>
      <c r="C23" s="44" t="s">
        <v>117</v>
      </c>
      <c r="D23" t="s">
        <v>140</v>
      </c>
    </row>
    <row r="25" spans="2:4" x14ac:dyDescent="0.25">
      <c r="B25" s="1"/>
    </row>
    <row r="26" spans="2:4" x14ac:dyDescent="0.25">
      <c r="B26" t="s">
        <v>145</v>
      </c>
      <c r="C26" t="s">
        <v>144</v>
      </c>
      <c r="D26" t="s">
        <v>146</v>
      </c>
    </row>
    <row r="27" spans="2:4" x14ac:dyDescent="0.25">
      <c r="B27" t="s">
        <v>99</v>
      </c>
      <c r="C27" t="s">
        <v>143</v>
      </c>
      <c r="D27" t="s">
        <v>147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O48"/>
  <sheetViews>
    <sheetView zoomScale="145" zoomScaleNormal="145" workbookViewId="0">
      <selection activeCell="M47" sqref="M47"/>
    </sheetView>
  </sheetViews>
  <sheetFormatPr defaultRowHeight="15" x14ac:dyDescent="0.25"/>
  <cols>
    <col min="2" max="2" width="56.5703125" bestFit="1" customWidth="1"/>
    <col min="11" max="11" width="18.5703125" customWidth="1"/>
    <col min="15" max="15" width="11.85546875" customWidth="1"/>
  </cols>
  <sheetData>
    <row r="1" spans="2:15" x14ac:dyDescent="0.25">
      <c r="C1" s="35">
        <v>2014</v>
      </c>
      <c r="D1" s="35">
        <v>2015</v>
      </c>
      <c r="E1" s="35">
        <v>2016</v>
      </c>
      <c r="F1" s="35">
        <v>2017</v>
      </c>
      <c r="G1" s="35">
        <v>2018</v>
      </c>
      <c r="H1" s="35">
        <v>2019</v>
      </c>
      <c r="I1" s="35">
        <v>2020</v>
      </c>
      <c r="J1" s="35">
        <v>2021</v>
      </c>
      <c r="K1" s="24" t="s">
        <v>69</v>
      </c>
      <c r="L1" s="26"/>
      <c r="M1" s="24" t="s">
        <v>51</v>
      </c>
      <c r="N1" s="24" t="s">
        <v>52</v>
      </c>
    </row>
    <row r="2" spans="2:15" x14ac:dyDescent="0.25">
      <c r="B2" s="24" t="s">
        <v>43</v>
      </c>
      <c r="C2" s="25">
        <v>5.05</v>
      </c>
      <c r="D2" s="25">
        <v>-0.77</v>
      </c>
      <c r="E2" s="25">
        <v>7.73</v>
      </c>
      <c r="F2" s="25">
        <v>22.45</v>
      </c>
      <c r="G2" s="25">
        <v>-8.65</v>
      </c>
      <c r="H2" s="25">
        <v>27.76</v>
      </c>
      <c r="I2" s="25">
        <v>15.95</v>
      </c>
      <c r="J2" s="25">
        <v>21.9</v>
      </c>
      <c r="K2" s="27">
        <f>AVERAGE(C2:J2)</f>
        <v>11.427500000000002</v>
      </c>
      <c r="L2" s="26"/>
      <c r="M2" s="26"/>
      <c r="N2" s="26"/>
    </row>
    <row r="3" spans="2:15" x14ac:dyDescent="0.25">
      <c r="B3" s="24" t="s">
        <v>44</v>
      </c>
      <c r="C3" s="25">
        <v>5.5</v>
      </c>
      <c r="D3" s="25">
        <v>-0.32</v>
      </c>
      <c r="E3" s="25">
        <v>8.15</v>
      </c>
      <c r="F3" s="25">
        <v>23.07</v>
      </c>
      <c r="G3" s="25">
        <v>-8.1999999999999993</v>
      </c>
      <c r="H3" s="25">
        <v>28.4</v>
      </c>
      <c r="I3" s="25">
        <v>16.5</v>
      </c>
      <c r="J3" s="25">
        <v>22.35</v>
      </c>
      <c r="K3" s="26"/>
      <c r="L3" s="26"/>
      <c r="M3" s="27"/>
      <c r="N3" s="27"/>
    </row>
    <row r="4" spans="2:15" x14ac:dyDescent="0.25">
      <c r="B4" s="24" t="s">
        <v>45</v>
      </c>
      <c r="C4" s="28">
        <v>4.9400000000000004</v>
      </c>
      <c r="D4" s="28">
        <v>-0.87</v>
      </c>
      <c r="E4" s="28">
        <v>7.51</v>
      </c>
      <c r="F4" s="28">
        <v>22.4</v>
      </c>
      <c r="G4" s="28">
        <v>-8.7100000000000009</v>
      </c>
      <c r="H4" s="28">
        <v>27.67</v>
      </c>
      <c r="I4" s="25">
        <v>15.9</v>
      </c>
      <c r="J4" s="25">
        <v>21.82</v>
      </c>
      <c r="K4" s="26"/>
      <c r="L4" s="26"/>
      <c r="M4" s="27"/>
      <c r="N4" s="27"/>
    </row>
    <row r="5" spans="2:15" x14ac:dyDescent="0.25">
      <c r="B5" s="24" t="s">
        <v>46</v>
      </c>
      <c r="C5" s="25">
        <f t="shared" ref="C5:J5" si="0">C3-C2</f>
        <v>0.45000000000000018</v>
      </c>
      <c r="D5" s="25">
        <f t="shared" si="0"/>
        <v>0.45</v>
      </c>
      <c r="E5" s="25">
        <f t="shared" si="0"/>
        <v>0.41999999999999993</v>
      </c>
      <c r="F5" s="25">
        <f t="shared" si="0"/>
        <v>0.62000000000000099</v>
      </c>
      <c r="G5" s="25">
        <f t="shared" si="0"/>
        <v>0.45000000000000107</v>
      </c>
      <c r="H5" s="25">
        <f t="shared" si="0"/>
        <v>0.63999999999999702</v>
      </c>
      <c r="I5" s="25">
        <f t="shared" si="0"/>
        <v>0.55000000000000071</v>
      </c>
      <c r="J5" s="25">
        <f t="shared" si="0"/>
        <v>0.45000000000000284</v>
      </c>
      <c r="K5" s="26"/>
      <c r="L5" s="26"/>
      <c r="M5" s="27">
        <f>AVERAGE(C5:J5)</f>
        <v>0.50375000000000036</v>
      </c>
      <c r="N5" s="27"/>
    </row>
    <row r="6" spans="2:15" x14ac:dyDescent="0.25">
      <c r="B6" s="24" t="s">
        <v>47</v>
      </c>
      <c r="C6" s="25">
        <f>C2-C4</f>
        <v>0.10999999999999943</v>
      </c>
      <c r="D6" s="25">
        <f t="shared" ref="D6:J6" si="1">D2-D4</f>
        <v>9.9999999999999978E-2</v>
      </c>
      <c r="E6" s="25">
        <f t="shared" si="1"/>
        <v>0.22000000000000064</v>
      </c>
      <c r="F6" s="25">
        <f t="shared" si="1"/>
        <v>5.0000000000000711E-2</v>
      </c>
      <c r="G6" s="25">
        <f t="shared" si="1"/>
        <v>6.0000000000000497E-2</v>
      </c>
      <c r="H6" s="25">
        <f t="shared" si="1"/>
        <v>8.9999999999999858E-2</v>
      </c>
      <c r="I6" s="25">
        <f t="shared" si="1"/>
        <v>4.9999999999998934E-2</v>
      </c>
      <c r="J6" s="25">
        <f t="shared" si="1"/>
        <v>7.9999999999998295E-2</v>
      </c>
      <c r="K6" s="26"/>
      <c r="L6" s="26"/>
      <c r="M6" s="27"/>
      <c r="N6" s="27">
        <f>AVERAGE(C6:J6)</f>
        <v>9.4999999999999793E-2</v>
      </c>
    </row>
    <row r="7" spans="2:15" x14ac:dyDescent="0.25">
      <c r="K7" s="26"/>
    </row>
    <row r="8" spans="2:15" x14ac:dyDescent="0.25">
      <c r="K8" s="26"/>
    </row>
    <row r="9" spans="2:15" x14ac:dyDescent="0.25">
      <c r="B9" s="29" t="s">
        <v>48</v>
      </c>
      <c r="D9" s="30">
        <v>-14.38</v>
      </c>
      <c r="E9" s="30">
        <v>9.61</v>
      </c>
      <c r="F9" s="30">
        <v>36.979999999999997</v>
      </c>
      <c r="G9" s="30">
        <v>-14.83</v>
      </c>
      <c r="H9" s="30">
        <v>17.45</v>
      </c>
      <c r="I9" s="30">
        <v>18.350000000000001</v>
      </c>
      <c r="J9" s="30">
        <v>-0.24</v>
      </c>
      <c r="K9" s="27">
        <f>AVERAGE(C9:J9)</f>
        <v>7.5628571428571423</v>
      </c>
      <c r="L9" s="31"/>
      <c r="M9" s="31"/>
    </row>
    <row r="10" spans="2:15" x14ac:dyDescent="0.25">
      <c r="B10" s="29" t="s">
        <v>118</v>
      </c>
      <c r="D10" s="30">
        <v>-13.55</v>
      </c>
      <c r="E10" s="30">
        <v>10.3</v>
      </c>
      <c r="F10" s="30">
        <v>37.28</v>
      </c>
      <c r="G10" s="30">
        <v>-14.71</v>
      </c>
      <c r="H10" s="32">
        <v>18.100000000000001</v>
      </c>
      <c r="I10" s="30">
        <v>18.78</v>
      </c>
      <c r="J10" s="30">
        <v>0.06</v>
      </c>
      <c r="K10" s="26"/>
      <c r="L10" s="31"/>
      <c r="M10" s="31"/>
    </row>
    <row r="11" spans="2:15" x14ac:dyDescent="0.25">
      <c r="B11" s="29" t="s">
        <v>119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32">
        <v>18.39</v>
      </c>
      <c r="J11" s="32">
        <v>-0.28000000000000003</v>
      </c>
      <c r="K11" s="26"/>
      <c r="L11" s="31"/>
      <c r="M11" s="31"/>
    </row>
    <row r="12" spans="2:15" x14ac:dyDescent="0.25">
      <c r="B12" s="29" t="s">
        <v>46</v>
      </c>
      <c r="D12" s="30">
        <f>D10-D9</f>
        <v>0.83000000000000007</v>
      </c>
      <c r="E12" s="30">
        <f t="shared" ref="E12:I12" si="2">E10-E9</f>
        <v>0.69000000000000128</v>
      </c>
      <c r="F12" s="30">
        <f t="shared" si="2"/>
        <v>0.30000000000000426</v>
      </c>
      <c r="G12" s="30">
        <f t="shared" si="2"/>
        <v>0.11999999999999922</v>
      </c>
      <c r="H12" s="30">
        <f t="shared" si="2"/>
        <v>0.65000000000000213</v>
      </c>
      <c r="I12" s="30">
        <f t="shared" si="2"/>
        <v>0.42999999999999972</v>
      </c>
      <c r="J12" s="30">
        <f t="shared" ref="J12" si="3">J10-J9</f>
        <v>0.3</v>
      </c>
      <c r="K12" s="26"/>
      <c r="M12" s="33">
        <f>AVERAGE(E12:J12)</f>
        <v>0.41500000000000109</v>
      </c>
      <c r="N12" s="31"/>
      <c r="O12">
        <v>2016</v>
      </c>
    </row>
    <row r="13" spans="2:15" x14ac:dyDescent="0.25">
      <c r="B13" s="29" t="s">
        <v>47</v>
      </c>
      <c r="D13" s="30">
        <f>D9-D11</f>
        <v>-0.52000000000000135</v>
      </c>
      <c r="E13" s="30">
        <f t="shared" ref="E13:I13" si="4">E9-E11</f>
        <v>-0.29000000000000092</v>
      </c>
      <c r="F13" s="30">
        <f t="shared" si="4"/>
        <v>0.14999999999999858</v>
      </c>
      <c r="G13" s="30">
        <f t="shared" si="4"/>
        <v>0.20999999999999908</v>
      </c>
      <c r="H13" s="30">
        <f t="shared" si="4"/>
        <v>-0.19000000000000128</v>
      </c>
      <c r="I13" s="30">
        <f t="shared" si="4"/>
        <v>-3.9999999999999147E-2</v>
      </c>
      <c r="J13" s="30">
        <f t="shared" ref="J13" si="5">J9-J11</f>
        <v>4.0000000000000036E-2</v>
      </c>
      <c r="K13" s="26"/>
      <c r="M13" s="33"/>
      <c r="N13" s="33">
        <f>AVERAGE(E13:J13)</f>
        <v>-2.0000000000000611E-2</v>
      </c>
      <c r="O13">
        <v>2016</v>
      </c>
    </row>
    <row r="14" spans="2:15" x14ac:dyDescent="0.25">
      <c r="K14" s="26"/>
    </row>
    <row r="15" spans="2:15" x14ac:dyDescent="0.25">
      <c r="K15" s="26"/>
    </row>
    <row r="16" spans="2:15" x14ac:dyDescent="0.25">
      <c r="B16" s="34" t="s">
        <v>124</v>
      </c>
      <c r="C16" s="31"/>
      <c r="D16" s="31"/>
      <c r="E16" s="31"/>
      <c r="F16" s="31"/>
      <c r="G16" s="31"/>
      <c r="H16" s="31">
        <v>25.73</v>
      </c>
      <c r="I16" s="31">
        <v>15.83</v>
      </c>
      <c r="J16" s="31">
        <v>15.81</v>
      </c>
      <c r="K16" s="26"/>
      <c r="L16" s="31"/>
      <c r="M16" s="31"/>
      <c r="N16" s="31"/>
      <c r="O16" s="31"/>
    </row>
    <row r="17" spans="2:15" x14ac:dyDescent="0.25">
      <c r="B17" s="29" t="s">
        <v>120</v>
      </c>
      <c r="C17" s="31"/>
      <c r="D17" s="31"/>
      <c r="E17" s="31"/>
      <c r="F17" s="31"/>
      <c r="G17" s="31"/>
      <c r="H17" s="31">
        <v>26.78</v>
      </c>
      <c r="I17" s="31">
        <v>16.47</v>
      </c>
      <c r="J17" s="31">
        <v>16.18</v>
      </c>
      <c r="K17" s="26"/>
      <c r="L17" s="31"/>
      <c r="M17" s="31"/>
      <c r="N17" s="31"/>
      <c r="O17" s="31"/>
    </row>
    <row r="18" spans="2:15" x14ac:dyDescent="0.25">
      <c r="B18" s="29" t="s">
        <v>121</v>
      </c>
      <c r="C18" s="31"/>
      <c r="D18" s="31"/>
      <c r="E18" s="31"/>
      <c r="F18" s="31"/>
      <c r="G18" s="31"/>
      <c r="H18" s="31">
        <v>26.19</v>
      </c>
      <c r="I18" s="31">
        <v>15.96</v>
      </c>
      <c r="J18" s="31">
        <v>15.75</v>
      </c>
      <c r="K18" s="26"/>
      <c r="L18" s="31"/>
      <c r="M18" s="31"/>
      <c r="N18" s="31"/>
      <c r="O18" s="31"/>
    </row>
    <row r="19" spans="2:15" x14ac:dyDescent="0.25">
      <c r="B19" s="29" t="s">
        <v>46</v>
      </c>
      <c r="C19" s="31"/>
      <c r="D19" s="31"/>
      <c r="E19" s="31"/>
      <c r="F19" s="31"/>
      <c r="G19" s="31"/>
      <c r="H19" s="31">
        <f>H17-H16</f>
        <v>1.0500000000000007</v>
      </c>
      <c r="I19" s="31">
        <f>I17-I16</f>
        <v>0.63999999999999879</v>
      </c>
      <c r="J19" s="31">
        <f>J17-J16</f>
        <v>0.36999999999999922</v>
      </c>
      <c r="K19" s="26"/>
      <c r="L19" s="31"/>
      <c r="M19" s="33">
        <f>AVERAGE(I19:J19)</f>
        <v>0.50499999999999901</v>
      </c>
      <c r="N19" s="31"/>
      <c r="O19" s="31">
        <v>2019</v>
      </c>
    </row>
    <row r="20" spans="2:15" x14ac:dyDescent="0.25">
      <c r="B20" s="29" t="s">
        <v>47</v>
      </c>
      <c r="H20" s="30">
        <f t="shared" ref="H20:J20" si="6">H16-H18</f>
        <v>-0.46000000000000085</v>
      </c>
      <c r="I20" s="30">
        <f t="shared" si="6"/>
        <v>-0.13000000000000078</v>
      </c>
      <c r="J20" s="30">
        <f t="shared" si="6"/>
        <v>6.0000000000000497E-2</v>
      </c>
      <c r="K20" s="26"/>
      <c r="N20" s="37">
        <f>AVERAGE(I20:J20)</f>
        <v>-3.5000000000000142E-2</v>
      </c>
      <c r="O20">
        <v>2019</v>
      </c>
    </row>
    <row r="21" spans="2:15" x14ac:dyDescent="0.25">
      <c r="K21" s="26"/>
    </row>
    <row r="22" spans="2:15" x14ac:dyDescent="0.25">
      <c r="K22" s="26"/>
    </row>
    <row r="23" spans="2:15" x14ac:dyDescent="0.25">
      <c r="B23" s="24" t="s">
        <v>64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>
        <v>18.170000000000002</v>
      </c>
      <c r="K23" s="27">
        <f>AVERAGE(C23:J23)</f>
        <v>8.2528571428571436</v>
      </c>
    </row>
    <row r="24" spans="2:15" x14ac:dyDescent="0.25">
      <c r="B24" s="29" t="s">
        <v>122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>
        <v>19.29</v>
      </c>
      <c r="K24" s="26"/>
    </row>
    <row r="25" spans="2:15" x14ac:dyDescent="0.25">
      <c r="B25" s="29" t="s">
        <v>123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>
        <v>18.75</v>
      </c>
      <c r="K25" s="26"/>
    </row>
    <row r="26" spans="2:15" x14ac:dyDescent="0.25">
      <c r="B26" s="24" t="s">
        <v>46</v>
      </c>
      <c r="D26">
        <f>D24-D23</f>
        <v>0.85999999999999943</v>
      </c>
      <c r="E26">
        <f t="shared" ref="E26:J26" si="7">E24-E23</f>
        <v>0.25</v>
      </c>
      <c r="F26">
        <f t="shared" si="7"/>
        <v>0.32999999999999829</v>
      </c>
      <c r="G26">
        <f t="shared" si="7"/>
        <v>0.32999999999999829</v>
      </c>
      <c r="H26">
        <f t="shared" si="7"/>
        <v>0.85999999999999943</v>
      </c>
      <c r="I26">
        <f t="shared" si="7"/>
        <v>1.3200000000000003</v>
      </c>
      <c r="J26">
        <f t="shared" si="7"/>
        <v>1.1199999999999974</v>
      </c>
      <c r="K26" s="26"/>
      <c r="M26" s="37">
        <f>AVERAGE(D26:J26)</f>
        <v>0.72428571428571331</v>
      </c>
    </row>
    <row r="27" spans="2:15" x14ac:dyDescent="0.25">
      <c r="B27" s="24" t="s">
        <v>47</v>
      </c>
      <c r="D27">
        <f>D23-D25</f>
        <v>-0.58000000000000007</v>
      </c>
      <c r="E27">
        <f t="shared" ref="E27:J27" si="8">E23-E25</f>
        <v>3.0000000000000249E-2</v>
      </c>
      <c r="F27">
        <f t="shared" si="8"/>
        <v>4.9999999999997158E-2</v>
      </c>
      <c r="G27">
        <f t="shared" si="8"/>
        <v>-3.9999999999999147E-2</v>
      </c>
      <c r="H27">
        <f t="shared" si="8"/>
        <v>-0.4399999999999995</v>
      </c>
      <c r="I27">
        <f t="shared" si="8"/>
        <v>-0.89000000000000057</v>
      </c>
      <c r="J27">
        <f t="shared" si="8"/>
        <v>-0.57999999999999829</v>
      </c>
      <c r="K27" s="26"/>
      <c r="N27" s="37">
        <f>AVERAGE(D27:J27)</f>
        <v>-0.35000000000000003</v>
      </c>
    </row>
    <row r="30" spans="2:15" x14ac:dyDescent="0.25">
      <c r="B30" s="24" t="s">
        <v>71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>
        <v>-2.64</v>
      </c>
      <c r="K30" s="37">
        <f>AVERAGE(D30:J30)</f>
        <v>7.055714285714286</v>
      </c>
    </row>
    <row r="31" spans="2:15" x14ac:dyDescent="0.25">
      <c r="B31" s="29" t="s">
        <v>50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  <c r="J31">
        <v>-2.2200000000000002</v>
      </c>
    </row>
    <row r="32" spans="2:15" x14ac:dyDescent="0.25">
      <c r="B32" s="29" t="s">
        <v>49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  <c r="J32">
        <v>-2.54</v>
      </c>
    </row>
    <row r="33" spans="2:15" x14ac:dyDescent="0.25">
      <c r="B33" s="24" t="s">
        <v>46</v>
      </c>
      <c r="D33">
        <f>D31-D30</f>
        <v>0.74000000000000021</v>
      </c>
      <c r="E33">
        <f t="shared" ref="E33:J33" si="9">E31-E30</f>
        <v>1.08</v>
      </c>
      <c r="F33">
        <f t="shared" si="9"/>
        <v>1.2800000000000011</v>
      </c>
      <c r="G33">
        <f t="shared" si="9"/>
        <v>0.84999999999999964</v>
      </c>
      <c r="H33">
        <f t="shared" si="9"/>
        <v>1.4100000000000001</v>
      </c>
      <c r="I33">
        <f t="shared" si="9"/>
        <v>0.69000000000000128</v>
      </c>
      <c r="J33">
        <f t="shared" si="9"/>
        <v>0.41999999999999993</v>
      </c>
      <c r="M33" s="37">
        <f>AVERAGE(D33:J33)</f>
        <v>0.9242857142857146</v>
      </c>
    </row>
    <row r="34" spans="2:15" x14ac:dyDescent="0.25">
      <c r="B34" s="24" t="s">
        <v>47</v>
      </c>
      <c r="D34">
        <f>D30-D32</f>
        <v>-0.41999999999999993</v>
      </c>
      <c r="E34">
        <f t="shared" ref="E34:J34" si="10">E30-E32</f>
        <v>-0.66999999999999993</v>
      </c>
      <c r="F34">
        <f t="shared" si="10"/>
        <v>-0.81000000000000227</v>
      </c>
      <c r="G34">
        <f t="shared" si="10"/>
        <v>-0.51999999999999957</v>
      </c>
      <c r="H34">
        <f t="shared" si="10"/>
        <v>-0.95000000000000284</v>
      </c>
      <c r="I34">
        <f t="shared" si="10"/>
        <v>-0.30999999999999872</v>
      </c>
      <c r="J34">
        <f t="shared" si="10"/>
        <v>-0.10000000000000009</v>
      </c>
      <c r="M34" s="37"/>
      <c r="N34" s="37">
        <f>AVERAGE(D34:J34)</f>
        <v>-0.54000000000000048</v>
      </c>
    </row>
    <row r="35" spans="2:15" x14ac:dyDescent="0.25">
      <c r="M35" s="37"/>
      <c r="N35" s="37"/>
    </row>
    <row r="36" spans="2:15" x14ac:dyDescent="0.25">
      <c r="M36" s="37"/>
      <c r="N36" s="37"/>
    </row>
    <row r="37" spans="2:15" x14ac:dyDescent="0.25">
      <c r="B37" s="24" t="s">
        <v>76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J37">
        <v>-2.59</v>
      </c>
      <c r="M37" s="37"/>
      <c r="N37" s="37"/>
    </row>
    <row r="38" spans="2:15" x14ac:dyDescent="0.25">
      <c r="B38" s="29" t="s">
        <v>50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J38">
        <v>-2.2200000000000002</v>
      </c>
      <c r="M38" s="37"/>
      <c r="N38" s="37"/>
    </row>
    <row r="39" spans="2:15" x14ac:dyDescent="0.25">
      <c r="B39" s="29" t="s">
        <v>49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J39">
        <v>-2.54</v>
      </c>
      <c r="M39" s="37"/>
      <c r="N39" s="37"/>
    </row>
    <row r="40" spans="2:15" x14ac:dyDescent="0.25">
      <c r="B40" s="24" t="s">
        <v>46</v>
      </c>
      <c r="D40">
        <f>D38-D37</f>
        <v>0.73000000000000043</v>
      </c>
      <c r="E40">
        <f t="shared" ref="E40:J40" si="11">E38-E37</f>
        <v>1.0299999999999994</v>
      </c>
      <c r="F40">
        <f t="shared" si="11"/>
        <v>1.1599999999999966</v>
      </c>
      <c r="G40">
        <f t="shared" si="11"/>
        <v>0.86999999999999922</v>
      </c>
      <c r="H40">
        <f t="shared" si="11"/>
        <v>1.3399999999999999</v>
      </c>
      <c r="I40">
        <f t="shared" si="11"/>
        <v>0.66000000000000014</v>
      </c>
      <c r="J40">
        <f t="shared" si="11"/>
        <v>0.36999999999999966</v>
      </c>
      <c r="M40" s="37">
        <f>AVERAGE(D40:J40)</f>
        <v>0.87999999999999923</v>
      </c>
      <c r="N40" s="37"/>
    </row>
    <row r="41" spans="2:15" x14ac:dyDescent="0.25">
      <c r="B41" s="24" t="s">
        <v>47</v>
      </c>
      <c r="D41">
        <f>D37-D39</f>
        <v>-0.41000000000000014</v>
      </c>
      <c r="E41">
        <f t="shared" ref="E41:J41" si="12">E37-E39</f>
        <v>-0.61999999999999922</v>
      </c>
      <c r="F41">
        <f t="shared" si="12"/>
        <v>-0.68999999999999773</v>
      </c>
      <c r="G41">
        <f t="shared" si="12"/>
        <v>-0.53999999999999915</v>
      </c>
      <c r="H41">
        <f t="shared" si="12"/>
        <v>-0.88000000000000256</v>
      </c>
      <c r="I41">
        <f t="shared" si="12"/>
        <v>-0.27999999999999758</v>
      </c>
      <c r="J41">
        <f t="shared" si="12"/>
        <v>-4.9999999999999822E-2</v>
      </c>
      <c r="N41" s="37">
        <f>AVERAGE(D41:J41)</f>
        <v>-0.49571428571428516</v>
      </c>
    </row>
    <row r="44" spans="2:15" x14ac:dyDescent="0.25">
      <c r="B44" s="24" t="s">
        <v>83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  <c r="J44">
        <v>20.03</v>
      </c>
    </row>
    <row r="45" spans="2:15" x14ac:dyDescent="0.25">
      <c r="B45" s="24" t="s">
        <v>84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>
        <v>-3.35</v>
      </c>
      <c r="J45">
        <v>20.77</v>
      </c>
    </row>
    <row r="46" spans="2:15" x14ac:dyDescent="0.25">
      <c r="B46" s="24" t="s">
        <v>85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  <c r="J46">
        <v>20.04</v>
      </c>
    </row>
    <row r="47" spans="2:15" x14ac:dyDescent="0.25">
      <c r="B47" s="24" t="s">
        <v>46</v>
      </c>
      <c r="D47">
        <f>D45-D44</f>
        <v>0.54</v>
      </c>
      <c r="E47">
        <f t="shared" ref="E47:H47" si="13">E45-E44</f>
        <v>0.71999999999999886</v>
      </c>
      <c r="F47">
        <f t="shared" si="13"/>
        <v>0.71999999999999886</v>
      </c>
      <c r="G47">
        <f t="shared" si="13"/>
        <v>0.5</v>
      </c>
      <c r="H47">
        <f t="shared" si="13"/>
        <v>0.71000000000000085</v>
      </c>
      <c r="I47" s="37">
        <f>I45-I44</f>
        <v>0.58000000000000007</v>
      </c>
      <c r="J47" s="37">
        <f>J45-J44</f>
        <v>0.73999999999999844</v>
      </c>
      <c r="M47" s="37">
        <f>AVERAGE(E47:J47)</f>
        <v>0.66166666666666618</v>
      </c>
      <c r="O47">
        <v>2016</v>
      </c>
    </row>
    <row r="48" spans="2:15" x14ac:dyDescent="0.25">
      <c r="B48" s="24" t="s">
        <v>47</v>
      </c>
      <c r="D48">
        <f>D46-D44</f>
        <v>-9.9999999999997868E-3</v>
      </c>
      <c r="E48">
        <f t="shared" ref="E48:J48" si="14">E46-E44</f>
        <v>-9.9999999999997868E-3</v>
      </c>
      <c r="F48">
        <f t="shared" si="14"/>
        <v>-1.0000000000001563E-2</v>
      </c>
      <c r="G48">
        <f t="shared" si="14"/>
        <v>-2.9999999999999361E-2</v>
      </c>
      <c r="H48">
        <f t="shared" si="14"/>
        <v>-0.14000000000000057</v>
      </c>
      <c r="I48">
        <f t="shared" si="14"/>
        <v>-4.0000000000000036E-2</v>
      </c>
      <c r="J48">
        <f t="shared" si="14"/>
        <v>9.9999999999980105E-3</v>
      </c>
      <c r="N48">
        <f>SUM(E48:J48)</f>
        <v>-0.2200000000000033</v>
      </c>
      <c r="O48">
        <v>2016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9"/>
  <sheetViews>
    <sheetView zoomScale="130" zoomScaleNormal="130" workbookViewId="0">
      <selection activeCell="B10" sqref="B10"/>
    </sheetView>
  </sheetViews>
  <sheetFormatPr defaultRowHeight="15" x14ac:dyDescent="0.25"/>
  <sheetData>
    <row r="1" spans="2:4" x14ac:dyDescent="0.25">
      <c r="C1" t="s">
        <v>94</v>
      </c>
      <c r="D1" t="s">
        <v>95</v>
      </c>
    </row>
    <row r="2" spans="2:4" x14ac:dyDescent="0.25">
      <c r="B2" s="42">
        <v>41730</v>
      </c>
      <c r="C2">
        <v>60</v>
      </c>
      <c r="D2">
        <v>40</v>
      </c>
    </row>
    <row r="3" spans="2:4" x14ac:dyDescent="0.25">
      <c r="B3" s="42">
        <v>41760</v>
      </c>
      <c r="C3">
        <v>62.5</v>
      </c>
      <c r="D3">
        <v>37.5</v>
      </c>
    </row>
    <row r="4" spans="2:4" x14ac:dyDescent="0.25">
      <c r="B4">
        <v>2016</v>
      </c>
      <c r="C4">
        <v>62.5</v>
      </c>
      <c r="D4">
        <v>37.5</v>
      </c>
    </row>
    <row r="5" spans="2:4" x14ac:dyDescent="0.25">
      <c r="B5">
        <v>2017</v>
      </c>
      <c r="C5">
        <v>62.5</v>
      </c>
      <c r="D5">
        <v>37.5</v>
      </c>
    </row>
    <row r="6" spans="2:4" x14ac:dyDescent="0.25">
      <c r="B6">
        <v>2018</v>
      </c>
      <c r="C6">
        <v>62.5</v>
      </c>
      <c r="D6">
        <v>37.5</v>
      </c>
    </row>
    <row r="7" spans="2:4" x14ac:dyDescent="0.25">
      <c r="B7">
        <v>2019</v>
      </c>
      <c r="C7">
        <v>62.5</v>
      </c>
      <c r="D7">
        <v>37.5</v>
      </c>
    </row>
    <row r="8" spans="2:4" x14ac:dyDescent="0.25">
      <c r="B8">
        <v>2020</v>
      </c>
      <c r="C8">
        <v>62.5</v>
      </c>
      <c r="D8">
        <v>37.5</v>
      </c>
    </row>
    <row r="9" spans="2:4" x14ac:dyDescent="0.25">
      <c r="B9">
        <v>2021</v>
      </c>
      <c r="C9">
        <v>62.5</v>
      </c>
      <c r="D9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2"/>
  <sheetViews>
    <sheetView zoomScale="115" zoomScaleNormal="115" workbookViewId="0">
      <selection activeCell="L17" sqref="L17"/>
    </sheetView>
  </sheetViews>
  <sheetFormatPr defaultRowHeight="15" x14ac:dyDescent="0.25"/>
  <cols>
    <col min="1" max="1" width="36.42578125" customWidth="1"/>
    <col min="2" max="9" width="17.7109375" customWidth="1"/>
    <col min="10" max="10" width="14.140625" customWidth="1"/>
    <col min="11" max="11" width="13.28515625" customWidth="1"/>
    <col min="12" max="12" width="91.85546875" customWidth="1"/>
    <col min="16" max="16" width="13.7109375" bestFit="1" customWidth="1"/>
    <col min="18" max="18" width="9.85546875" bestFit="1" customWidth="1"/>
  </cols>
  <sheetData>
    <row r="2" spans="1:12" x14ac:dyDescent="0.25">
      <c r="A2" s="8" t="s">
        <v>6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19</v>
      </c>
      <c r="L3" t="s">
        <v>53</v>
      </c>
    </row>
    <row r="4" spans="1:12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  <c r="L4" t="s">
        <v>24</v>
      </c>
    </row>
    <row r="5" spans="1:12" x14ac:dyDescent="0.25">
      <c r="A5" t="s">
        <v>12</v>
      </c>
      <c r="B5" s="15">
        <v>1487510</v>
      </c>
      <c r="C5" s="15">
        <v>4268212</v>
      </c>
      <c r="D5" s="16">
        <v>6473287</v>
      </c>
      <c r="E5" s="16">
        <v>10938731</v>
      </c>
      <c r="F5" s="16">
        <v>14711738</v>
      </c>
      <c r="G5" s="16">
        <v>19581640</v>
      </c>
      <c r="H5" s="16">
        <v>23478559</v>
      </c>
      <c r="I5" s="16">
        <v>40303449</v>
      </c>
      <c r="J5" s="1"/>
      <c r="L5" t="s">
        <v>25</v>
      </c>
    </row>
    <row r="6" spans="1:12" x14ac:dyDescent="0.25">
      <c r="A6" t="s">
        <v>11</v>
      </c>
      <c r="B6" s="15">
        <v>3363</v>
      </c>
      <c r="C6" s="15">
        <v>5351</v>
      </c>
      <c r="D6" s="16">
        <v>10764</v>
      </c>
      <c r="E6" s="16">
        <v>17143</v>
      </c>
      <c r="F6" s="16">
        <v>26741</v>
      </c>
      <c r="G6" s="16">
        <v>34465</v>
      </c>
      <c r="H6" s="16">
        <v>45197</v>
      </c>
      <c r="I6" s="16">
        <v>62625</v>
      </c>
      <c r="L6" t="s">
        <v>26</v>
      </c>
    </row>
    <row r="7" spans="1:12" x14ac:dyDescent="0.25">
      <c r="A7" t="s">
        <v>13</v>
      </c>
      <c r="B7" s="17">
        <v>3.8999999999999998E-3</v>
      </c>
      <c r="C7" s="17">
        <v>2E-3</v>
      </c>
      <c r="D7" s="17">
        <v>2E-3</v>
      </c>
      <c r="E7" s="17">
        <v>2E-3</v>
      </c>
      <c r="F7" s="17">
        <v>2E-3</v>
      </c>
      <c r="G7" s="17">
        <v>2E-3</v>
      </c>
      <c r="H7" s="17">
        <v>2E-3</v>
      </c>
      <c r="I7" s="17">
        <v>2E-3</v>
      </c>
      <c r="J7" s="5">
        <f>AVERAGE(B7:I7)</f>
        <v>2.2374999999999999E-3</v>
      </c>
      <c r="L7" t="s">
        <v>31</v>
      </c>
    </row>
    <row r="8" spans="1:12" x14ac:dyDescent="0.25">
      <c r="A8" t="s">
        <v>16</v>
      </c>
      <c r="B8" s="16">
        <f>B6/B7</f>
        <v>862307.69230769237</v>
      </c>
      <c r="C8" s="16">
        <f t="shared" ref="C8:I8" si="0">C6/C7</f>
        <v>2675500</v>
      </c>
      <c r="D8" s="16">
        <f t="shared" si="0"/>
        <v>5382000</v>
      </c>
      <c r="E8" s="16">
        <f t="shared" si="0"/>
        <v>8571500</v>
      </c>
      <c r="F8" s="16">
        <f t="shared" si="0"/>
        <v>13370500</v>
      </c>
      <c r="G8" s="16">
        <f t="shared" si="0"/>
        <v>17232500</v>
      </c>
      <c r="H8" s="16">
        <f t="shared" si="0"/>
        <v>22598500</v>
      </c>
      <c r="I8" s="16">
        <f t="shared" si="0"/>
        <v>31312500</v>
      </c>
      <c r="J8" s="5"/>
    </row>
    <row r="9" spans="1:12" x14ac:dyDescent="0.25">
      <c r="B9" s="20"/>
      <c r="C9" s="20"/>
      <c r="D9" s="20"/>
      <c r="E9" s="20"/>
      <c r="F9" s="20"/>
      <c r="G9" s="20"/>
      <c r="H9" s="20"/>
      <c r="I9" s="20"/>
      <c r="J9" s="5"/>
      <c r="L9" t="s">
        <v>36</v>
      </c>
    </row>
    <row r="10" spans="1:12" x14ac:dyDescent="0.25">
      <c r="A10" t="s">
        <v>7</v>
      </c>
      <c r="B10" s="15">
        <v>21877</v>
      </c>
      <c r="C10" s="15">
        <v>68989</v>
      </c>
      <c r="D10" s="16">
        <v>146778</v>
      </c>
      <c r="E10" s="16">
        <v>218802</v>
      </c>
      <c r="F10" s="16">
        <v>323631</v>
      </c>
      <c r="G10" s="16">
        <v>435291</v>
      </c>
      <c r="H10" s="16">
        <v>497088</v>
      </c>
      <c r="I10" s="16">
        <v>596959</v>
      </c>
      <c r="J10" s="5"/>
      <c r="L10" t="s">
        <v>38</v>
      </c>
    </row>
    <row r="11" spans="1:12" x14ac:dyDescent="0.25">
      <c r="A11" t="s">
        <v>9</v>
      </c>
      <c r="B11" s="15">
        <v>2530</v>
      </c>
      <c r="C11" s="15">
        <v>7895</v>
      </c>
      <c r="D11" s="16">
        <v>17329</v>
      </c>
      <c r="E11" s="16">
        <v>25220</v>
      </c>
      <c r="F11" s="16">
        <v>37451</v>
      </c>
      <c r="G11" s="16">
        <v>51767</v>
      </c>
      <c r="H11" s="16">
        <v>64057</v>
      </c>
      <c r="I11" s="16">
        <v>73274</v>
      </c>
      <c r="J11" s="5"/>
    </row>
    <row r="12" spans="1:12" x14ac:dyDescent="0.25">
      <c r="A12" t="s">
        <v>10</v>
      </c>
      <c r="B12" s="18">
        <f>B11/B10</f>
        <v>0.11564656945650684</v>
      </c>
      <c r="C12" s="18">
        <f t="shared" ref="C12:H12" si="1">C11/C10</f>
        <v>0.11443853367928221</v>
      </c>
      <c r="D12" s="18">
        <f t="shared" si="1"/>
        <v>0.11806265244110153</v>
      </c>
      <c r="E12" s="18">
        <f t="shared" si="1"/>
        <v>0.11526402866518587</v>
      </c>
      <c r="F12" s="18">
        <f t="shared" si="1"/>
        <v>0.11572129987547547</v>
      </c>
      <c r="G12" s="18">
        <f t="shared" si="1"/>
        <v>0.11892504094961762</v>
      </c>
      <c r="H12" s="18">
        <f t="shared" si="1"/>
        <v>0.1288645068881164</v>
      </c>
      <c r="I12" s="18">
        <f t="shared" ref="I12" si="2">I11/I10</f>
        <v>0.12274544817985825</v>
      </c>
      <c r="J12" s="5">
        <f>AVERAGE(B12:I12)</f>
        <v>0.11870851001689303</v>
      </c>
      <c r="L12" t="s">
        <v>93</v>
      </c>
    </row>
    <row r="13" spans="1:12" x14ac:dyDescent="0.25">
      <c r="A13" t="s">
        <v>28</v>
      </c>
      <c r="B13" s="20">
        <f t="shared" ref="B13:H13" si="3">B11/B8</f>
        <v>2.9339875111507579E-3</v>
      </c>
      <c r="C13" s="20">
        <f t="shared" si="3"/>
        <v>2.9508503083535789E-3</v>
      </c>
      <c r="D13" s="20">
        <f t="shared" si="3"/>
        <v>3.2198067632850241E-3</v>
      </c>
      <c r="E13" s="20">
        <f t="shared" si="3"/>
        <v>2.9423088140932158E-3</v>
      </c>
      <c r="F13" s="20">
        <f t="shared" si="3"/>
        <v>2.8010171646535285E-3</v>
      </c>
      <c r="G13" s="20">
        <f t="shared" si="3"/>
        <v>3.004033077034673E-3</v>
      </c>
      <c r="H13" s="20">
        <f t="shared" si="3"/>
        <v>2.8345686660619066E-3</v>
      </c>
      <c r="I13" s="20">
        <f t="shared" ref="I13" si="4">I11/I8</f>
        <v>2.3400878243512975E-3</v>
      </c>
      <c r="J13" s="5">
        <f>AVERAGE(B13:H13)</f>
        <v>2.9552246149475263E-3</v>
      </c>
      <c r="L13" t="s">
        <v>57</v>
      </c>
    </row>
    <row r="14" spans="1:12" x14ac:dyDescent="0.25">
      <c r="A14" t="s">
        <v>90</v>
      </c>
      <c r="B14" s="20">
        <f>B10/B8</f>
        <v>2.5370294380017838E-2</v>
      </c>
      <c r="C14" s="20">
        <f>C10/C8</f>
        <v>2.5785460661558589E-2</v>
      </c>
      <c r="D14" s="20">
        <f t="shared" ref="D14:H14" si="5">D10/D8</f>
        <v>2.7272017837235228E-2</v>
      </c>
      <c r="E14" s="20">
        <f t="shared" si="5"/>
        <v>2.5526687277606021E-2</v>
      </c>
      <c r="F14" s="20">
        <f t="shared" si="5"/>
        <v>2.4204853969559851E-2</v>
      </c>
      <c r="G14" s="20">
        <f t="shared" si="5"/>
        <v>2.5259886841723488E-2</v>
      </c>
      <c r="H14" s="20">
        <f t="shared" si="5"/>
        <v>2.1996504192756155E-2</v>
      </c>
      <c r="I14" s="20">
        <f t="shared" ref="I14" si="6">I10/I8</f>
        <v>1.906455888223553E-2</v>
      </c>
      <c r="J14" s="4"/>
      <c r="L14" t="s">
        <v>66</v>
      </c>
    </row>
    <row r="15" spans="1:12" x14ac:dyDescent="0.25">
      <c r="B15" s="16"/>
      <c r="C15" s="16"/>
      <c r="D15" s="16"/>
      <c r="E15" s="16"/>
      <c r="F15" s="16"/>
      <c r="G15" s="16"/>
      <c r="H15" s="16"/>
      <c r="I15" s="16"/>
      <c r="J15" s="5"/>
    </row>
    <row r="16" spans="1:12" x14ac:dyDescent="0.25">
      <c r="A16" t="s">
        <v>8</v>
      </c>
      <c r="B16" s="15">
        <v>7</v>
      </c>
      <c r="C16" s="15">
        <v>349</v>
      </c>
      <c r="D16" s="16">
        <v>947</v>
      </c>
      <c r="E16" s="16">
        <v>2133</v>
      </c>
      <c r="F16" s="16">
        <v>3345</v>
      </c>
      <c r="G16" s="16">
        <v>5560</v>
      </c>
      <c r="H16" s="16">
        <v>6134</v>
      </c>
      <c r="I16" s="16">
        <v>6429</v>
      </c>
      <c r="J16" s="5"/>
      <c r="L16" t="s">
        <v>134</v>
      </c>
    </row>
    <row r="17" spans="1:18" x14ac:dyDescent="0.25">
      <c r="A17" t="s">
        <v>21</v>
      </c>
      <c r="B17" s="38">
        <f t="shared" ref="B17:I17" si="7">B16/B8</f>
        <v>8.1177520071364855E-6</v>
      </c>
      <c r="C17" s="38">
        <f t="shared" si="7"/>
        <v>1.3044290786768829E-4</v>
      </c>
      <c r="D17" s="38">
        <f t="shared" si="7"/>
        <v>1.759568933481977E-4</v>
      </c>
      <c r="E17" s="38">
        <f t="shared" si="7"/>
        <v>2.4884792626728109E-4</v>
      </c>
      <c r="F17" s="38">
        <f t="shared" si="7"/>
        <v>2.5017762985677424E-4</v>
      </c>
      <c r="G17" s="38">
        <f t="shared" si="7"/>
        <v>3.2264616277382854E-4</v>
      </c>
      <c r="H17" s="38">
        <f t="shared" si="7"/>
        <v>2.7143394473084495E-4</v>
      </c>
      <c r="I17" s="38">
        <f t="shared" si="7"/>
        <v>2.0531736526946108E-4</v>
      </c>
      <c r="J17" s="5">
        <f>AVERAGE(B17:I17)</f>
        <v>2.0161757276515154E-4</v>
      </c>
    </row>
    <row r="18" spans="1:18" x14ac:dyDescent="0.25">
      <c r="A18" t="s">
        <v>59</v>
      </c>
      <c r="B18" s="36">
        <f>3/B5</f>
        <v>2.0167931644157014E-6</v>
      </c>
      <c r="C18" s="36">
        <f>137586/C5</f>
        <v>3.2235043620138834E-2</v>
      </c>
      <c r="D18" s="36">
        <f>491894/D5</f>
        <v>7.5988288484660105E-2</v>
      </c>
      <c r="E18" s="36">
        <v>7.7799999999999994E-2</v>
      </c>
      <c r="F18" s="36">
        <v>0.10730000000000001</v>
      </c>
      <c r="G18" s="36">
        <v>0.12559999999999999</v>
      </c>
      <c r="H18" s="36">
        <v>0.1138</v>
      </c>
      <c r="I18" s="36">
        <v>7.6200000000000004E-2</v>
      </c>
      <c r="J18" s="4"/>
      <c r="L18" t="s">
        <v>115</v>
      </c>
    </row>
    <row r="19" spans="1:18" x14ac:dyDescent="0.25">
      <c r="B19" s="15"/>
      <c r="C19" s="15"/>
      <c r="D19" s="16"/>
      <c r="E19" s="16"/>
      <c r="F19" s="16"/>
      <c r="G19" s="16"/>
      <c r="H19" s="16"/>
      <c r="I19" s="16"/>
      <c r="J19" s="5"/>
    </row>
    <row r="20" spans="1:18" x14ac:dyDescent="0.25">
      <c r="A20" t="s">
        <v>0</v>
      </c>
      <c r="B20">
        <v>611</v>
      </c>
      <c r="C20" s="15">
        <v>1652</v>
      </c>
      <c r="D20" s="16">
        <v>1649</v>
      </c>
      <c r="E20" s="16">
        <v>2396</v>
      </c>
      <c r="F20" s="16">
        <v>2254</v>
      </c>
      <c r="G20" s="16">
        <v>2701</v>
      </c>
      <c r="H20" s="16">
        <v>2989</v>
      </c>
      <c r="I20" s="16">
        <v>3539</v>
      </c>
      <c r="J20" s="5"/>
    </row>
    <row r="21" spans="1:18" x14ac:dyDescent="0.25">
      <c r="A21" t="s">
        <v>1</v>
      </c>
      <c r="B21" s="19">
        <f t="shared" ref="B21:I21" si="8">B20/B8</f>
        <v>7.0856378233719887E-4</v>
      </c>
      <c r="C21" s="19">
        <f t="shared" si="8"/>
        <v>6.1745468136796859E-4</v>
      </c>
      <c r="D21" s="19">
        <f t="shared" si="8"/>
        <v>3.0639167595689337E-4</v>
      </c>
      <c r="E21" s="19">
        <f t="shared" si="8"/>
        <v>2.7953100390830078E-4</v>
      </c>
      <c r="F21" s="19">
        <f t="shared" si="8"/>
        <v>1.685800830185857E-4</v>
      </c>
      <c r="G21" s="19">
        <f t="shared" si="8"/>
        <v>1.5673872044102714E-4</v>
      </c>
      <c r="H21" s="19">
        <f t="shared" si="8"/>
        <v>1.3226541584618448E-4</v>
      </c>
      <c r="I21" s="19">
        <f t="shared" si="8"/>
        <v>1.1302195608782435E-4</v>
      </c>
      <c r="J21" s="5">
        <f>AVERAGE(B21:I21)</f>
        <v>3.1031841487049795E-4</v>
      </c>
    </row>
    <row r="22" spans="1:18" x14ac:dyDescent="0.25">
      <c r="B22" s="20"/>
      <c r="C22" s="20"/>
      <c r="D22" s="20"/>
      <c r="E22" s="20"/>
      <c r="F22" s="20"/>
      <c r="G22" s="20"/>
      <c r="H22" s="20"/>
      <c r="I22" s="20"/>
      <c r="J22" s="5"/>
    </row>
    <row r="23" spans="1:18" x14ac:dyDescent="0.25">
      <c r="A23" t="s">
        <v>58</v>
      </c>
      <c r="B23" s="20"/>
      <c r="C23" s="20">
        <v>1E-4</v>
      </c>
      <c r="D23" s="20">
        <v>1E-4</v>
      </c>
      <c r="E23" s="20">
        <v>1E-4</v>
      </c>
      <c r="F23" s="20">
        <v>2.9999999999999997E-4</v>
      </c>
      <c r="G23" s="20">
        <v>2.9999999999999997E-4</v>
      </c>
      <c r="H23" s="20">
        <v>0</v>
      </c>
      <c r="I23" s="20"/>
      <c r="J23" s="5"/>
    </row>
    <row r="24" spans="1:18" x14ac:dyDescent="0.25">
      <c r="J24" s="19"/>
    </row>
    <row r="25" spans="1:18" x14ac:dyDescent="0.25">
      <c r="A25" t="s">
        <v>41</v>
      </c>
      <c r="B25" s="5">
        <f>J7+J13-J17+J21</f>
        <v>5.3014254570528723E-3</v>
      </c>
      <c r="C25" t="s">
        <v>125</v>
      </c>
      <c r="D25" s="10"/>
      <c r="E25" s="10"/>
      <c r="F25" s="19"/>
      <c r="G25" s="19"/>
      <c r="H25" s="19"/>
      <c r="I25" s="19"/>
      <c r="J25" s="19"/>
      <c r="L25" s="6"/>
      <c r="P25" s="5"/>
    </row>
    <row r="26" spans="1:18" x14ac:dyDescent="0.25">
      <c r="A26" t="s">
        <v>42</v>
      </c>
      <c r="B26" s="5">
        <f>TrackingDifference!M5/100</f>
        <v>5.0375000000000038E-3</v>
      </c>
      <c r="C26" t="s">
        <v>125</v>
      </c>
      <c r="L26" s="6"/>
      <c r="P26" s="39"/>
    </row>
    <row r="27" spans="1:18" x14ac:dyDescent="0.25">
      <c r="A27" t="s">
        <v>27</v>
      </c>
      <c r="B27" s="5">
        <f>B26-B25</f>
        <v>-2.6392545705286857E-4</v>
      </c>
      <c r="L27" s="6"/>
    </row>
    <row r="28" spans="1:18" x14ac:dyDescent="0.25">
      <c r="E28" s="20"/>
      <c r="K28" s="4"/>
      <c r="L28" s="6"/>
    </row>
    <row r="29" spans="1:18" x14ac:dyDescent="0.25">
      <c r="A29" s="1" t="s">
        <v>3</v>
      </c>
      <c r="B29" s="10">
        <f>I7+J13-I17+I21</f>
        <v>4.8629292057658889E-3</v>
      </c>
      <c r="K29" s="4"/>
      <c r="L29" s="6"/>
    </row>
    <row r="30" spans="1:18" x14ac:dyDescent="0.25">
      <c r="A30" s="1" t="s">
        <v>77</v>
      </c>
      <c r="B30" s="21">
        <f>B29-J13</f>
        <v>1.9077045908183626E-3</v>
      </c>
      <c r="K30" s="4"/>
      <c r="L30" s="6"/>
    </row>
    <row r="31" spans="1:18" x14ac:dyDescent="0.25">
      <c r="B31" s="5"/>
      <c r="K31" s="4"/>
    </row>
    <row r="32" spans="1:18" x14ac:dyDescent="0.25">
      <c r="B32" s="5"/>
      <c r="C32" s="10"/>
      <c r="D32" s="10"/>
      <c r="E32" s="10"/>
      <c r="F32" s="3"/>
      <c r="G32" s="3"/>
      <c r="H32" s="3"/>
      <c r="I32" s="3"/>
      <c r="J32" s="3"/>
      <c r="K32" s="4"/>
      <c r="P32" s="2"/>
      <c r="R32" s="40"/>
    </row>
    <row r="33" spans="1:11" x14ac:dyDescent="0.25">
      <c r="B33" s="10"/>
      <c r="C33" s="10"/>
      <c r="D33" s="10"/>
      <c r="E33" s="10"/>
      <c r="F33" s="3"/>
      <c r="G33" s="3"/>
      <c r="H33" s="3"/>
      <c r="I33" s="3"/>
      <c r="J33" s="3"/>
      <c r="K33" s="4"/>
    </row>
    <row r="34" spans="1:11" x14ac:dyDescent="0.25">
      <c r="A34" s="1"/>
      <c r="B34" s="10"/>
      <c r="C34" s="10"/>
      <c r="D34" s="10"/>
      <c r="E34" s="10"/>
      <c r="F34" s="3"/>
      <c r="G34" s="3"/>
      <c r="H34" s="3"/>
      <c r="I34" s="3"/>
      <c r="J34" s="3"/>
      <c r="K34" s="4"/>
    </row>
    <row r="35" spans="1:11" x14ac:dyDescent="0.25">
      <c r="A35" s="1"/>
      <c r="B35" s="21"/>
      <c r="C35" s="10"/>
      <c r="D35" s="10"/>
      <c r="E35" s="10"/>
      <c r="F35" s="3"/>
      <c r="G35" s="3"/>
      <c r="H35" s="3"/>
      <c r="I35" s="3"/>
      <c r="J35" s="3"/>
      <c r="K35" s="4"/>
    </row>
    <row r="36" spans="1:11" x14ac:dyDescent="0.25">
      <c r="A36" s="1"/>
      <c r="B36" s="21"/>
      <c r="C36" s="10"/>
      <c r="D36" s="10"/>
      <c r="E36" s="10"/>
      <c r="F36" s="3"/>
      <c r="G36" s="3"/>
      <c r="H36" s="3"/>
      <c r="I36" s="3"/>
      <c r="J36" s="3"/>
      <c r="K36" s="4"/>
    </row>
    <row r="37" spans="1:11" x14ac:dyDescent="0.25">
      <c r="A37" s="1"/>
      <c r="B37" s="1"/>
      <c r="C37" s="10"/>
      <c r="D37" s="10"/>
      <c r="E37" s="10"/>
      <c r="F37" s="3"/>
      <c r="G37" s="3"/>
      <c r="H37" s="3"/>
      <c r="I37" s="3"/>
      <c r="J37" s="3"/>
      <c r="K37" s="4"/>
    </row>
    <row r="38" spans="1:11" x14ac:dyDescent="0.25">
      <c r="A38" s="1"/>
      <c r="B38" s="1"/>
      <c r="C38" s="10"/>
      <c r="D38" s="10"/>
      <c r="E38" s="10"/>
      <c r="F38" s="3"/>
      <c r="G38" s="3"/>
      <c r="H38" s="3"/>
      <c r="I38" s="3"/>
      <c r="J38" s="3"/>
      <c r="K38" s="4"/>
    </row>
    <row r="39" spans="1:11" x14ac:dyDescent="0.25">
      <c r="A39" s="1"/>
      <c r="B39" s="1"/>
      <c r="C39" s="10"/>
      <c r="D39" s="10"/>
      <c r="E39" s="10"/>
      <c r="F39" s="3"/>
      <c r="G39" s="3"/>
      <c r="H39" s="3"/>
      <c r="I39" s="3"/>
      <c r="J39" s="3"/>
      <c r="K39" s="4"/>
    </row>
    <row r="40" spans="1:11" x14ac:dyDescent="0.25">
      <c r="A40" s="1"/>
      <c r="B40" s="1"/>
      <c r="C40" s="10"/>
      <c r="D40" s="10"/>
      <c r="E40" s="10"/>
      <c r="F40" s="3"/>
      <c r="G40" s="3"/>
      <c r="H40" s="3"/>
      <c r="I40" s="3"/>
      <c r="J40" s="3"/>
      <c r="K40" s="4"/>
    </row>
    <row r="41" spans="1:11" x14ac:dyDescent="0.25">
      <c r="A41" s="1"/>
      <c r="B41" s="1"/>
      <c r="C41" s="10"/>
      <c r="D41" s="10"/>
      <c r="E41" s="10"/>
      <c r="F41" s="3"/>
      <c r="G41" s="3"/>
      <c r="H41" s="3"/>
      <c r="I41" s="3"/>
      <c r="J41" s="3"/>
      <c r="K41" s="4"/>
    </row>
    <row r="42" spans="1:11" x14ac:dyDescent="0.25">
      <c r="A42" s="1"/>
      <c r="B42" s="1"/>
      <c r="C42" s="10"/>
      <c r="D42" s="10"/>
      <c r="E42" s="10"/>
      <c r="F42" s="3"/>
      <c r="G42" s="3"/>
      <c r="H42" s="3"/>
      <c r="I42" s="3"/>
      <c r="J42" s="3"/>
      <c r="K4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L31"/>
  <sheetViews>
    <sheetView zoomScale="130" zoomScaleNormal="130" workbookViewId="0">
      <selection activeCell="A2" sqref="A2"/>
    </sheetView>
  </sheetViews>
  <sheetFormatPr defaultRowHeight="15" x14ac:dyDescent="0.25"/>
  <cols>
    <col min="1" max="1" width="38.5703125" customWidth="1"/>
    <col min="2" max="9" width="17.7109375" customWidth="1"/>
    <col min="10" max="10" width="15" customWidth="1"/>
    <col min="11" max="11" width="13.28515625" customWidth="1"/>
    <col min="12" max="12" width="104.85546875" customWidth="1"/>
  </cols>
  <sheetData>
    <row r="2" spans="1:12" x14ac:dyDescent="0.25">
      <c r="A2" s="8" t="s">
        <v>98</v>
      </c>
      <c r="B2" s="7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32</v>
      </c>
      <c r="L3" t="s">
        <v>62</v>
      </c>
    </row>
    <row r="4" spans="1:12" x14ac:dyDescent="0.25"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I4" s="1" t="s">
        <v>2</v>
      </c>
      <c r="L4" s="6"/>
    </row>
    <row r="5" spans="1:12" x14ac:dyDescent="0.25">
      <c r="A5" t="s">
        <v>12</v>
      </c>
      <c r="B5" s="13">
        <v>1594449</v>
      </c>
      <c r="C5" s="13">
        <v>4605402</v>
      </c>
      <c r="D5" s="13">
        <v>9460691</v>
      </c>
      <c r="E5" s="13">
        <v>12495330</v>
      </c>
      <c r="F5" s="13">
        <v>14157723</v>
      </c>
      <c r="G5" s="13">
        <v>19211332</v>
      </c>
      <c r="H5" s="13">
        <v>17747108</v>
      </c>
      <c r="L5" t="s">
        <v>33</v>
      </c>
    </row>
    <row r="6" spans="1:12" x14ac:dyDescent="0.25">
      <c r="A6" t="s">
        <v>11</v>
      </c>
      <c r="B6" s="13">
        <v>3182</v>
      </c>
      <c r="C6" s="13">
        <v>8100</v>
      </c>
      <c r="D6" s="13">
        <v>17606</v>
      </c>
      <c r="E6" s="13">
        <v>19891</v>
      </c>
      <c r="F6" s="13">
        <v>24296</v>
      </c>
      <c r="G6" s="13">
        <v>27227</v>
      </c>
      <c r="H6" s="13">
        <v>34660</v>
      </c>
      <c r="L6" t="s">
        <v>63</v>
      </c>
    </row>
    <row r="7" spans="1:12" x14ac:dyDescent="0.25">
      <c r="A7" t="s">
        <v>13</v>
      </c>
      <c r="B7" s="14">
        <v>2.5000000000000001E-3</v>
      </c>
      <c r="C7" s="14">
        <v>2.5000000000000001E-3</v>
      </c>
      <c r="D7" s="14">
        <v>2.5000000000000001E-3</v>
      </c>
      <c r="E7" s="14">
        <v>2E-3</v>
      </c>
      <c r="F7" s="14">
        <v>1.8E-3</v>
      </c>
      <c r="G7" s="14">
        <v>1.8E-3</v>
      </c>
      <c r="H7" s="14">
        <v>1.8E-3</v>
      </c>
      <c r="I7" s="5">
        <f>AVERAGE(B7:H7)</f>
        <v>2.1285714285714285E-3</v>
      </c>
      <c r="L7" t="s">
        <v>38</v>
      </c>
    </row>
    <row r="8" spans="1:12" x14ac:dyDescent="0.25">
      <c r="A8" t="s">
        <v>16</v>
      </c>
      <c r="B8" s="13">
        <f t="shared" ref="B8:H8" si="0">B6/B7</f>
        <v>1272800</v>
      </c>
      <c r="C8" s="13">
        <f t="shared" si="0"/>
        <v>3240000</v>
      </c>
      <c r="D8" s="13">
        <f t="shared" si="0"/>
        <v>7042400</v>
      </c>
      <c r="E8" s="13">
        <f t="shared" si="0"/>
        <v>9945500</v>
      </c>
      <c r="F8" s="13">
        <f t="shared" si="0"/>
        <v>13497777.777777778</v>
      </c>
      <c r="G8" s="13">
        <f t="shared" si="0"/>
        <v>15126111.111111112</v>
      </c>
      <c r="H8" s="13">
        <f t="shared" si="0"/>
        <v>19255555.555555556</v>
      </c>
      <c r="L8" t="s">
        <v>39</v>
      </c>
    </row>
    <row r="9" spans="1:12" x14ac:dyDescent="0.25">
      <c r="B9" s="2"/>
      <c r="C9" s="2"/>
      <c r="D9" s="2"/>
      <c r="E9" s="2"/>
      <c r="F9" s="2"/>
      <c r="G9" s="2"/>
      <c r="H9" s="2"/>
      <c r="L9" s="6"/>
    </row>
    <row r="10" spans="1:12" x14ac:dyDescent="0.25">
      <c r="A10" t="s">
        <v>7</v>
      </c>
      <c r="B10" s="13">
        <v>34764</v>
      </c>
      <c r="C10" s="13">
        <v>79612</v>
      </c>
      <c r="D10" s="13">
        <v>172015</v>
      </c>
      <c r="E10" s="13">
        <v>276851</v>
      </c>
      <c r="F10" s="13">
        <v>381237</v>
      </c>
      <c r="G10" s="13">
        <v>352088</v>
      </c>
      <c r="H10" s="13">
        <v>459852</v>
      </c>
      <c r="L10" t="s">
        <v>55</v>
      </c>
    </row>
    <row r="11" spans="1:12" x14ac:dyDescent="0.25">
      <c r="A11" t="s">
        <v>9</v>
      </c>
      <c r="B11" s="13">
        <v>3983</v>
      </c>
      <c r="C11" s="13">
        <v>10068</v>
      </c>
      <c r="D11" s="13">
        <v>21696</v>
      </c>
      <c r="E11" s="13">
        <v>38608</v>
      </c>
      <c r="F11" s="13">
        <v>48383</v>
      </c>
      <c r="G11" s="13">
        <v>44319</v>
      </c>
      <c r="H11" s="13">
        <v>150341</v>
      </c>
      <c r="L11" t="s">
        <v>57</v>
      </c>
    </row>
    <row r="12" spans="1:12" x14ac:dyDescent="0.25">
      <c r="A12" t="s">
        <v>10</v>
      </c>
      <c r="B12" s="22">
        <f t="shared" ref="B12:H12" si="1">B11/B10</f>
        <v>0.11457254631227706</v>
      </c>
      <c r="C12" s="22">
        <f t="shared" si="1"/>
        <v>0.12646334723408531</v>
      </c>
      <c r="D12" s="22">
        <f t="shared" si="1"/>
        <v>0.12612853530215387</v>
      </c>
      <c r="E12" s="22">
        <f t="shared" si="1"/>
        <v>0.13945407457441006</v>
      </c>
      <c r="F12" s="22">
        <f t="shared" si="1"/>
        <v>0.12691055695013861</v>
      </c>
      <c r="G12" s="22">
        <f t="shared" si="1"/>
        <v>0.12587478130467383</v>
      </c>
      <c r="H12" s="22">
        <f t="shared" si="1"/>
        <v>0.326933448152884</v>
      </c>
      <c r="I12" s="5">
        <f>AVERAGE(B12:H12)</f>
        <v>0.15519104140437467</v>
      </c>
      <c r="L12" t="s">
        <v>66</v>
      </c>
    </row>
    <row r="13" spans="1:12" x14ac:dyDescent="0.25">
      <c r="A13" t="s">
        <v>35</v>
      </c>
      <c r="B13" s="14">
        <f t="shared" ref="B13:H13" si="2">B11/B8</f>
        <v>3.1293211816467632E-3</v>
      </c>
      <c r="C13" s="14">
        <f t="shared" si="2"/>
        <v>3.1074074074074073E-3</v>
      </c>
      <c r="D13" s="14">
        <f t="shared" si="2"/>
        <v>3.0807679200272635E-3</v>
      </c>
      <c r="E13" s="14">
        <f t="shared" si="2"/>
        <v>3.8819566638178069E-3</v>
      </c>
      <c r="F13" s="14">
        <f t="shared" si="2"/>
        <v>3.5845159697069475E-3</v>
      </c>
      <c r="G13" s="14">
        <f t="shared" si="2"/>
        <v>2.9299665772945971E-3</v>
      </c>
      <c r="H13" s="14">
        <f t="shared" si="2"/>
        <v>7.8076687824581645E-3</v>
      </c>
      <c r="I13" s="5">
        <f>AVERAGE(B13:H13)</f>
        <v>3.9316577860512786E-3</v>
      </c>
    </row>
    <row r="14" spans="1:12" x14ac:dyDescent="0.25">
      <c r="B14" s="13"/>
      <c r="C14" s="13"/>
      <c r="D14" s="13"/>
      <c r="E14" s="13"/>
      <c r="F14" s="13"/>
      <c r="G14" s="13"/>
      <c r="H14" s="13"/>
      <c r="L14" t="s">
        <v>126</v>
      </c>
    </row>
    <row r="15" spans="1:12" x14ac:dyDescent="0.25">
      <c r="A15" t="s">
        <v>8</v>
      </c>
      <c r="B15" s="13">
        <v>610</v>
      </c>
      <c r="C15" s="13">
        <v>4933</v>
      </c>
      <c r="D15" s="13">
        <v>9146</v>
      </c>
      <c r="E15" s="13">
        <v>10433</v>
      </c>
      <c r="F15" s="13">
        <v>12223</v>
      </c>
      <c r="G15" s="13">
        <v>10337</v>
      </c>
      <c r="H15" s="13">
        <v>19007</v>
      </c>
    </row>
    <row r="16" spans="1:12" x14ac:dyDescent="0.25">
      <c r="A16" t="s">
        <v>21</v>
      </c>
      <c r="B16" s="14">
        <f t="shared" ref="B16:H16" si="3">B15/B8</f>
        <v>4.7925832809553738E-4</v>
      </c>
      <c r="C16" s="14">
        <f t="shared" si="3"/>
        <v>1.5225308641975308E-3</v>
      </c>
      <c r="D16" s="14">
        <f t="shared" si="3"/>
        <v>1.2987049869362718E-3</v>
      </c>
      <c r="E16" s="14">
        <f t="shared" si="3"/>
        <v>1.0490171434317027E-3</v>
      </c>
      <c r="F16" s="23">
        <f t="shared" si="3"/>
        <v>9.0555647020085608E-4</v>
      </c>
      <c r="G16" s="23">
        <f t="shared" si="3"/>
        <v>6.8338781356741464E-4</v>
      </c>
      <c r="H16" s="23">
        <f t="shared" si="3"/>
        <v>9.8709174841315637E-4</v>
      </c>
      <c r="I16" s="5">
        <f>AVERAGE(B16:H16)</f>
        <v>9.8936390783463846E-4</v>
      </c>
      <c r="L16" t="s">
        <v>116</v>
      </c>
    </row>
    <row r="17" spans="1:11" x14ac:dyDescent="0.25">
      <c r="A17" t="s">
        <v>59</v>
      </c>
      <c r="B17" s="22">
        <f>95333/B5</f>
        <v>5.9790560877143135E-2</v>
      </c>
      <c r="C17" s="22">
        <v>0.1525</v>
      </c>
      <c r="D17" s="22">
        <v>0.1071</v>
      </c>
      <c r="E17" s="22">
        <v>0.1174</v>
      </c>
      <c r="F17" s="22">
        <v>0.1027</v>
      </c>
      <c r="G17" s="22">
        <v>9.4500000000000001E-2</v>
      </c>
      <c r="H17" s="22">
        <v>9.2100000000000001E-2</v>
      </c>
      <c r="I17" s="5"/>
    </row>
    <row r="18" spans="1:11" x14ac:dyDescent="0.25">
      <c r="B18" s="13"/>
      <c r="C18" s="13"/>
      <c r="D18" s="13"/>
      <c r="E18" s="13"/>
      <c r="F18" s="13"/>
      <c r="G18" s="13"/>
      <c r="H18" s="13"/>
    </row>
    <row r="19" spans="1:11" x14ac:dyDescent="0.25">
      <c r="A19" t="s">
        <v>0</v>
      </c>
      <c r="B19" s="13">
        <v>1451</v>
      </c>
      <c r="C19" s="13">
        <v>2644</v>
      </c>
      <c r="D19" s="13"/>
      <c r="E19" s="13">
        <v>5320</v>
      </c>
      <c r="F19" s="13">
        <v>5561</v>
      </c>
      <c r="G19" s="13">
        <v>5689</v>
      </c>
      <c r="H19" s="13">
        <v>3944</v>
      </c>
    </row>
    <row r="20" spans="1:11" x14ac:dyDescent="0.25">
      <c r="A20" t="s">
        <v>1</v>
      </c>
      <c r="B20" s="23">
        <f>B19/B8</f>
        <v>1.1400062853551226E-3</v>
      </c>
      <c r="C20" s="23">
        <f>C19/C8</f>
        <v>8.160493827160494E-4</v>
      </c>
      <c r="D20" s="23"/>
      <c r="E20" s="23">
        <f>E19/E8</f>
        <v>5.3491528832135134E-4</v>
      </c>
      <c r="F20" s="23">
        <f>F19/F8</f>
        <v>4.1199374382614422E-4</v>
      </c>
      <c r="G20" s="23">
        <f>G19/G8</f>
        <v>3.7610460204943623E-4</v>
      </c>
      <c r="H20" s="23">
        <f>H19/H8</f>
        <v>2.0482400461627236E-4</v>
      </c>
      <c r="I20" s="5">
        <f>AVERAGE(B20:H20)</f>
        <v>5.8064888448072945E-4</v>
      </c>
    </row>
    <row r="21" spans="1:11" x14ac:dyDescent="0.25">
      <c r="B21" s="4"/>
      <c r="C21" s="4"/>
      <c r="D21" s="23"/>
      <c r="E21" s="23"/>
      <c r="F21" s="23"/>
      <c r="G21" s="23"/>
      <c r="H21" s="23"/>
      <c r="I21" s="23"/>
    </row>
    <row r="22" spans="1:11" x14ac:dyDescent="0.25">
      <c r="B22" s="10"/>
      <c r="C22" s="10"/>
      <c r="D22" s="10"/>
      <c r="E22" s="3"/>
      <c r="F22" s="3"/>
      <c r="G22" s="3"/>
      <c r="H22" s="3"/>
      <c r="I22" s="3"/>
      <c r="J22" s="3"/>
    </row>
    <row r="23" spans="1:11" x14ac:dyDescent="0.25">
      <c r="A23" t="s">
        <v>41</v>
      </c>
      <c r="B23" s="5">
        <f>I7+I13-I16+I20</f>
        <v>5.6515141912687984E-3</v>
      </c>
      <c r="C23" t="s">
        <v>142</v>
      </c>
      <c r="K23" s="4"/>
    </row>
    <row r="24" spans="1:11" x14ac:dyDescent="0.25">
      <c r="A24" t="s">
        <v>42</v>
      </c>
      <c r="B24" s="5">
        <f>TrackingDifference!M12/100</f>
        <v>4.1500000000000113E-3</v>
      </c>
      <c r="C24" t="s">
        <v>127</v>
      </c>
    </row>
    <row r="25" spans="1:11" x14ac:dyDescent="0.25">
      <c r="A25" t="s">
        <v>27</v>
      </c>
      <c r="B25" s="5">
        <f>B24-B23</f>
        <v>-1.5015141912687871E-3</v>
      </c>
    </row>
    <row r="27" spans="1:11" x14ac:dyDescent="0.25">
      <c r="A27" s="1" t="s">
        <v>3</v>
      </c>
      <c r="B27" s="21">
        <f>G7+I13-G16+G20</f>
        <v>5.4243745745333003E-3</v>
      </c>
    </row>
    <row r="28" spans="1:11" x14ac:dyDescent="0.25">
      <c r="A28" s="1" t="s">
        <v>77</v>
      </c>
      <c r="B28" s="5">
        <f>B27-I13</f>
        <v>1.4927167884820217E-3</v>
      </c>
    </row>
    <row r="31" spans="1:11" x14ac:dyDescent="0.25">
      <c r="A31" s="1"/>
      <c r="B31" s="2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M31"/>
  <sheetViews>
    <sheetView zoomScale="130" zoomScaleNormal="130" workbookViewId="0">
      <selection activeCell="A2" sqref="A2"/>
    </sheetView>
  </sheetViews>
  <sheetFormatPr defaultRowHeight="15" x14ac:dyDescent="0.25"/>
  <cols>
    <col min="1" max="1" width="39.5703125" customWidth="1"/>
    <col min="2" max="10" width="17.7109375" customWidth="1"/>
    <col min="11" max="11" width="18.85546875" customWidth="1"/>
    <col min="12" max="12" width="13.28515625" customWidth="1"/>
    <col min="13" max="13" width="91.85546875" customWidth="1"/>
  </cols>
  <sheetData>
    <row r="2" spans="1:13" x14ac:dyDescent="0.25">
      <c r="A2" s="8" t="s">
        <v>70</v>
      </c>
      <c r="B2" s="8"/>
      <c r="C2" s="7"/>
      <c r="D2" s="7"/>
      <c r="E2" s="7"/>
      <c r="F2" s="7"/>
      <c r="G2" s="7"/>
      <c r="H2" s="7"/>
      <c r="I2" s="7"/>
      <c r="J2" s="7"/>
      <c r="K2" s="7"/>
      <c r="M2" s="1" t="s">
        <v>5</v>
      </c>
    </row>
    <row r="3" spans="1:13" x14ac:dyDescent="0.25">
      <c r="A3" t="s">
        <v>74</v>
      </c>
      <c r="M3" t="s">
        <v>33</v>
      </c>
    </row>
    <row r="4" spans="1:13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>
        <v>2022</v>
      </c>
      <c r="K4" s="1" t="s">
        <v>2</v>
      </c>
      <c r="M4" t="s">
        <v>73</v>
      </c>
    </row>
    <row r="5" spans="1:13" x14ac:dyDescent="0.25">
      <c r="A5" t="s">
        <v>12</v>
      </c>
      <c r="B5" s="13">
        <v>4734561</v>
      </c>
      <c r="C5" s="13">
        <v>5047997</v>
      </c>
      <c r="D5" s="9">
        <v>3166140</v>
      </c>
      <c r="E5" s="9">
        <v>4715029</v>
      </c>
      <c r="F5" s="9">
        <v>6294155</v>
      </c>
      <c r="G5" s="9">
        <v>5078010</v>
      </c>
      <c r="H5" s="9">
        <v>2778602</v>
      </c>
      <c r="I5" s="9">
        <v>4062546</v>
      </c>
      <c r="J5" s="9">
        <v>3772768</v>
      </c>
      <c r="K5" s="1"/>
    </row>
    <row r="6" spans="1:13" x14ac:dyDescent="0.25">
      <c r="A6" t="s">
        <v>11</v>
      </c>
      <c r="B6" s="13">
        <v>42886</v>
      </c>
      <c r="C6" s="13">
        <v>42087</v>
      </c>
      <c r="D6" s="9">
        <v>30851</v>
      </c>
      <c r="E6" s="9">
        <v>32797</v>
      </c>
      <c r="F6" s="9">
        <v>42293</v>
      </c>
      <c r="G6" s="9">
        <v>40293</v>
      </c>
      <c r="H6" s="13">
        <v>29657</v>
      </c>
      <c r="I6" s="13">
        <v>6023</v>
      </c>
      <c r="J6" s="13">
        <v>7292</v>
      </c>
      <c r="M6" t="s">
        <v>128</v>
      </c>
    </row>
    <row r="7" spans="1:13" x14ac:dyDescent="0.25">
      <c r="A7" t="s">
        <v>13</v>
      </c>
      <c r="B7" s="14">
        <v>7.4999999999999997E-3</v>
      </c>
      <c r="C7" s="14">
        <v>7.4999999999999997E-3</v>
      </c>
      <c r="D7" s="14">
        <v>7.4999999999999997E-3</v>
      </c>
      <c r="E7" s="14">
        <v>7.4999999999999997E-3</v>
      </c>
      <c r="F7" s="14">
        <v>7.4999999999999997E-3</v>
      </c>
      <c r="G7" s="14">
        <v>7.4999999999999997E-3</v>
      </c>
      <c r="H7" s="14">
        <v>7.4999999999999997E-3</v>
      </c>
      <c r="I7" s="14">
        <v>1.8E-3</v>
      </c>
      <c r="J7" s="14">
        <v>1.8E-3</v>
      </c>
      <c r="K7" s="5">
        <f>AVERAGE(C7:J7)</f>
        <v>6.0750000000000005E-3</v>
      </c>
    </row>
    <row r="8" spans="1:13" x14ac:dyDescent="0.25">
      <c r="A8" t="s">
        <v>16</v>
      </c>
      <c r="B8" s="9">
        <f>B6/B7</f>
        <v>5718133.333333334</v>
      </c>
      <c r="C8" s="9">
        <f t="shared" ref="C8:J8" si="0">C6/C7</f>
        <v>5611600</v>
      </c>
      <c r="D8" s="9">
        <f t="shared" si="0"/>
        <v>4113466.666666667</v>
      </c>
      <c r="E8" s="9">
        <f t="shared" si="0"/>
        <v>4372933.333333334</v>
      </c>
      <c r="F8" s="9">
        <f t="shared" si="0"/>
        <v>5639066.666666667</v>
      </c>
      <c r="G8" s="9">
        <f t="shared" si="0"/>
        <v>5372400</v>
      </c>
      <c r="H8" s="9">
        <f t="shared" si="0"/>
        <v>3954266.666666667</v>
      </c>
      <c r="I8" s="9">
        <f t="shared" si="0"/>
        <v>3346111.111111111</v>
      </c>
      <c r="J8" s="9">
        <f t="shared" si="0"/>
        <v>4051111.111111111</v>
      </c>
      <c r="K8" s="21"/>
      <c r="M8" t="s">
        <v>78</v>
      </c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21"/>
    </row>
    <row r="10" spans="1:13" x14ac:dyDescent="0.25">
      <c r="A10" t="s">
        <v>7</v>
      </c>
      <c r="B10" s="13">
        <v>167354</v>
      </c>
      <c r="C10" s="13">
        <v>163206</v>
      </c>
      <c r="D10" s="9">
        <v>123158</v>
      </c>
      <c r="E10" s="9">
        <v>115883</v>
      </c>
      <c r="F10" s="9">
        <v>144585</v>
      </c>
      <c r="G10" s="9">
        <v>152689</v>
      </c>
      <c r="H10" s="13">
        <v>115503</v>
      </c>
      <c r="I10" s="13">
        <v>63396</v>
      </c>
      <c r="J10" s="13">
        <v>93995</v>
      </c>
      <c r="K10" s="5"/>
      <c r="M10" t="s">
        <v>129</v>
      </c>
    </row>
    <row r="11" spans="1:13" x14ac:dyDescent="0.25">
      <c r="A11" t="s">
        <v>9</v>
      </c>
      <c r="B11" s="13">
        <v>19009</v>
      </c>
      <c r="C11" s="13">
        <v>17470</v>
      </c>
      <c r="D11" s="9">
        <v>13933</v>
      </c>
      <c r="E11" s="9">
        <v>14701</v>
      </c>
      <c r="F11" s="9">
        <v>18143</v>
      </c>
      <c r="G11" s="9">
        <v>21015</v>
      </c>
      <c r="H11" s="13">
        <v>23056</v>
      </c>
      <c r="I11" s="13">
        <v>9502</v>
      </c>
      <c r="J11" s="13">
        <v>30570</v>
      </c>
      <c r="K11" s="5"/>
    </row>
    <row r="12" spans="1:13" x14ac:dyDescent="0.25">
      <c r="A12" t="s">
        <v>10</v>
      </c>
      <c r="B12" s="11">
        <f t="shared" ref="B12:H12" si="1">B11/B10</f>
        <v>0.11358557309654983</v>
      </c>
      <c r="C12" s="11">
        <f t="shared" si="1"/>
        <v>0.10704263323652316</v>
      </c>
      <c r="D12" s="11">
        <f t="shared" si="1"/>
        <v>0.11313109988794881</v>
      </c>
      <c r="E12" s="11">
        <f t="shared" si="1"/>
        <v>0.12686071296048601</v>
      </c>
      <c r="F12" s="11">
        <f t="shared" si="1"/>
        <v>0.12548327973164575</v>
      </c>
      <c r="G12" s="11">
        <f t="shared" si="1"/>
        <v>0.13763270438603958</v>
      </c>
      <c r="H12" s="11">
        <f t="shared" si="1"/>
        <v>0.19961386284338936</v>
      </c>
      <c r="I12" s="11">
        <f t="shared" ref="I12:J12" si="2">I11/I10</f>
        <v>0.14988327339264307</v>
      </c>
      <c r="J12" s="11">
        <f t="shared" si="2"/>
        <v>0.32523006542901217</v>
      </c>
      <c r="K12" s="5">
        <f>AVERAGE(C12:J12)</f>
        <v>0.16060970398346097</v>
      </c>
      <c r="M12" t="s">
        <v>116</v>
      </c>
    </row>
    <row r="13" spans="1:13" x14ac:dyDescent="0.25">
      <c r="A13" t="s">
        <v>28</v>
      </c>
      <c r="B13" s="2">
        <f>B11/B8</f>
        <v>3.3243366133470127E-3</v>
      </c>
      <c r="C13" s="2">
        <f t="shared" ref="C13:H13" si="3">C11/C8</f>
        <v>3.1131940979399813E-3</v>
      </c>
      <c r="D13" s="2">
        <f t="shared" si="3"/>
        <v>3.3871673527600399E-3</v>
      </c>
      <c r="E13" s="2">
        <f t="shared" si="3"/>
        <v>3.3618166295697771E-3</v>
      </c>
      <c r="F13" s="2">
        <f t="shared" si="3"/>
        <v>3.2173763979854819E-3</v>
      </c>
      <c r="G13" s="2">
        <f t="shared" si="3"/>
        <v>3.9116595934777752E-3</v>
      </c>
      <c r="H13" s="2">
        <f t="shared" si="3"/>
        <v>5.8306639242000202E-3</v>
      </c>
      <c r="I13" s="2">
        <f t="shared" ref="I13:J13" si="4">I11/I8</f>
        <v>2.8397144280259009E-3</v>
      </c>
      <c r="J13" s="2">
        <f t="shared" si="4"/>
        <v>7.5460778935820079E-3</v>
      </c>
      <c r="K13" s="5">
        <f>AVERAGE(C13:J13)</f>
        <v>4.1509587896926227E-3</v>
      </c>
    </row>
    <row r="14" spans="1:13" x14ac:dyDescent="0.25">
      <c r="B14" s="9"/>
      <c r="C14" s="9"/>
      <c r="D14" s="9"/>
      <c r="E14" s="9"/>
      <c r="F14" s="9"/>
      <c r="G14" s="9"/>
      <c r="H14" s="9"/>
      <c r="I14" s="9"/>
      <c r="J14" s="9"/>
      <c r="K14" s="5"/>
    </row>
    <row r="15" spans="1:13" x14ac:dyDescent="0.25">
      <c r="A15" t="s">
        <v>8</v>
      </c>
      <c r="B15" s="13">
        <v>2138</v>
      </c>
      <c r="C15" s="13">
        <v>3036</v>
      </c>
      <c r="D15" s="9">
        <v>3580</v>
      </c>
      <c r="E15" s="9">
        <v>3125</v>
      </c>
      <c r="F15" s="9">
        <v>3040</v>
      </c>
      <c r="G15" s="9">
        <v>3477</v>
      </c>
      <c r="H15" s="13">
        <v>1895</v>
      </c>
      <c r="I15" s="13">
        <v>824</v>
      </c>
      <c r="J15" s="13">
        <v>1674</v>
      </c>
      <c r="K15" s="5"/>
    </row>
    <row r="16" spans="1:13" x14ac:dyDescent="0.25">
      <c r="A16" t="s">
        <v>21</v>
      </c>
      <c r="B16" s="14">
        <f>B15/B8</f>
        <v>3.7389824185048729E-4</v>
      </c>
      <c r="C16" s="14">
        <f>C15/C8</f>
        <v>5.4102216836552849E-4</v>
      </c>
      <c r="D16" s="14">
        <f t="shared" ref="D16:J16" si="5">D15/D8</f>
        <v>8.7031214547340441E-4</v>
      </c>
      <c r="E16" s="14">
        <f t="shared" si="5"/>
        <v>7.1462328871543118E-4</v>
      </c>
      <c r="F16" s="14">
        <f t="shared" si="5"/>
        <v>5.390963043529662E-4</v>
      </c>
      <c r="G16" s="14">
        <f t="shared" si="5"/>
        <v>6.4719678356041995E-4</v>
      </c>
      <c r="H16" s="23">
        <f t="shared" si="5"/>
        <v>4.7922918703847316E-4</v>
      </c>
      <c r="I16" s="23">
        <f t="shared" si="5"/>
        <v>2.4625601859538438E-4</v>
      </c>
      <c r="J16" s="23">
        <f t="shared" si="5"/>
        <v>4.1321996708721889E-4</v>
      </c>
      <c r="K16" s="5">
        <f>AVERAGE(C16:J16)</f>
        <v>5.5636948289860329E-4</v>
      </c>
    </row>
    <row r="17" spans="1:13" x14ac:dyDescent="0.25">
      <c r="A17" t="s">
        <v>59</v>
      </c>
      <c r="B17" s="22">
        <f>283768/B5</f>
        <v>5.9935440688165177E-2</v>
      </c>
      <c r="C17" s="22">
        <f>585666/C5</f>
        <v>0.1160194825789318</v>
      </c>
      <c r="D17" s="22">
        <f>485017/D5</f>
        <v>0.15318874086427006</v>
      </c>
      <c r="E17" s="22">
        <v>0.14849999999999999</v>
      </c>
      <c r="F17" s="22">
        <v>0.17469999999999999</v>
      </c>
      <c r="G17" s="22">
        <v>0.12590000000000001</v>
      </c>
      <c r="H17" s="22">
        <v>0.1069</v>
      </c>
      <c r="I17" s="22">
        <v>0.12189999999999999</v>
      </c>
      <c r="J17" s="22">
        <v>6.7500000000000004E-2</v>
      </c>
      <c r="K17" s="5"/>
    </row>
    <row r="18" spans="1:13" x14ac:dyDescent="0.25">
      <c r="B18" s="9"/>
      <c r="C18" s="9"/>
      <c r="D18" s="9"/>
      <c r="E18" s="9"/>
      <c r="F18" s="9"/>
      <c r="G18" s="9"/>
      <c r="H18" s="9"/>
      <c r="I18" s="9"/>
      <c r="J18" s="9"/>
      <c r="K18" s="5"/>
    </row>
    <row r="19" spans="1:13" x14ac:dyDescent="0.25">
      <c r="A19" t="s">
        <v>0</v>
      </c>
      <c r="B19">
        <v>7297</v>
      </c>
      <c r="C19" s="13">
        <v>4304</v>
      </c>
      <c r="D19" s="9">
        <v>2947</v>
      </c>
      <c r="E19" s="9">
        <v>2419</v>
      </c>
      <c r="F19" s="9"/>
      <c r="G19" s="9">
        <v>1766</v>
      </c>
      <c r="H19" s="13">
        <v>4584</v>
      </c>
      <c r="I19" s="13">
        <v>2456</v>
      </c>
      <c r="J19" s="13">
        <v>922</v>
      </c>
      <c r="K19" s="5"/>
    </row>
    <row r="20" spans="1:13" x14ac:dyDescent="0.25">
      <c r="A20" t="s">
        <v>1</v>
      </c>
      <c r="B20" s="2">
        <f>B19/B8</f>
        <v>1.2761157487291889E-3</v>
      </c>
      <c r="C20" s="2">
        <f t="shared" ref="C20:J20" si="6">C19/C8</f>
        <v>7.6698267873690211E-4</v>
      </c>
      <c r="D20" s="2">
        <f t="shared" si="6"/>
        <v>7.1642734433243654E-4</v>
      </c>
      <c r="E20" s="2">
        <f t="shared" si="6"/>
        <v>5.5317559532884095E-4</v>
      </c>
      <c r="F20" s="2"/>
      <c r="G20" s="2">
        <f t="shared" si="6"/>
        <v>3.2871714689896507E-4</v>
      </c>
      <c r="H20" s="3">
        <f t="shared" si="6"/>
        <v>1.1592541389891088E-3</v>
      </c>
      <c r="I20" s="3">
        <f t="shared" si="6"/>
        <v>7.3398638552216503E-4</v>
      </c>
      <c r="J20" s="3">
        <f t="shared" si="6"/>
        <v>2.2759188151398794E-4</v>
      </c>
      <c r="K20" s="5">
        <f>AVERAGE(C20:J20)</f>
        <v>6.408764530460581E-4</v>
      </c>
      <c r="M20" s="6"/>
    </row>
    <row r="21" spans="1:13" x14ac:dyDescent="0.25">
      <c r="K21" s="3"/>
      <c r="M21" s="6"/>
    </row>
    <row r="22" spans="1:13" x14ac:dyDescent="0.25">
      <c r="B22" s="20"/>
      <c r="C22" s="20"/>
      <c r="D22" s="10"/>
      <c r="E22" s="10"/>
      <c r="F22" s="3"/>
      <c r="G22" s="3"/>
      <c r="H22" s="3"/>
      <c r="I22" s="3"/>
      <c r="J22" s="3"/>
      <c r="K22" s="3"/>
      <c r="M22" s="6"/>
    </row>
    <row r="23" spans="1:13" x14ac:dyDescent="0.25">
      <c r="A23" t="s">
        <v>41</v>
      </c>
      <c r="B23" s="5">
        <f>K7+K13-K16+K20</f>
        <v>1.0310465759840078E-2</v>
      </c>
      <c r="C23" t="s">
        <v>141</v>
      </c>
    </row>
    <row r="24" spans="1:13" x14ac:dyDescent="0.25">
      <c r="A24" t="s">
        <v>42</v>
      </c>
      <c r="B24" s="5">
        <f>TrackingDifference!M33/100</f>
        <v>9.2428571428571464E-3</v>
      </c>
      <c r="C24" t="s">
        <v>130</v>
      </c>
    </row>
    <row r="25" spans="1:13" x14ac:dyDescent="0.25">
      <c r="A25" t="s">
        <v>27</v>
      </c>
      <c r="B25" s="5">
        <f>B24-B23</f>
        <v>-1.0676086169829312E-3</v>
      </c>
    </row>
    <row r="27" spans="1:13" x14ac:dyDescent="0.25">
      <c r="A27" s="1" t="s">
        <v>3</v>
      </c>
      <c r="B27" s="21">
        <f>I7+K13-I16+I20</f>
        <v>6.4386891566194041E-3</v>
      </c>
    </row>
    <row r="28" spans="1:13" x14ac:dyDescent="0.25">
      <c r="A28" s="1"/>
      <c r="B28" s="21"/>
    </row>
    <row r="29" spans="1:13" x14ac:dyDescent="0.25">
      <c r="B29" s="5"/>
    </row>
    <row r="30" spans="1:13" x14ac:dyDescent="0.25">
      <c r="A30" s="1"/>
    </row>
    <row r="31" spans="1:13" x14ac:dyDescent="0.25">
      <c r="A31" s="1"/>
      <c r="B31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L31"/>
  <sheetViews>
    <sheetView zoomScaleNormal="100" workbookViewId="0">
      <selection activeCell="H12" sqref="D12:H12"/>
    </sheetView>
  </sheetViews>
  <sheetFormatPr defaultRowHeight="15" x14ac:dyDescent="0.25"/>
  <cols>
    <col min="1" max="1" width="39.5703125" customWidth="1"/>
    <col min="2" max="9" width="17.7109375" customWidth="1"/>
    <col min="10" max="10" width="18.5703125" customWidth="1"/>
    <col min="11" max="11" width="13.28515625" customWidth="1"/>
    <col min="12" max="12" width="91.85546875" customWidth="1"/>
  </cols>
  <sheetData>
    <row r="2" spans="1:12" x14ac:dyDescent="0.25">
      <c r="A2" s="8" t="s">
        <v>75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19</v>
      </c>
      <c r="L3" t="s">
        <v>79</v>
      </c>
    </row>
    <row r="4" spans="1:12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</row>
    <row r="5" spans="1:12" x14ac:dyDescent="0.25">
      <c r="A5" t="s">
        <v>12</v>
      </c>
      <c r="B5" s="13">
        <v>350218</v>
      </c>
      <c r="C5" s="13">
        <v>324297</v>
      </c>
      <c r="D5" s="9">
        <v>405793</v>
      </c>
      <c r="E5" s="9">
        <v>1117955</v>
      </c>
      <c r="F5" s="9">
        <v>913207</v>
      </c>
      <c r="G5" s="9">
        <v>736031</v>
      </c>
      <c r="H5" s="9">
        <v>629077</v>
      </c>
      <c r="I5" s="9">
        <v>1314867</v>
      </c>
      <c r="J5" s="1"/>
      <c r="L5" t="s">
        <v>97</v>
      </c>
    </row>
    <row r="6" spans="1:12" x14ac:dyDescent="0.25">
      <c r="A6" t="s">
        <v>11</v>
      </c>
      <c r="B6" s="13">
        <v>2308</v>
      </c>
      <c r="C6" s="13">
        <v>2382</v>
      </c>
      <c r="D6" s="9">
        <v>2122</v>
      </c>
      <c r="E6" s="9">
        <v>4064</v>
      </c>
      <c r="F6" s="9">
        <v>7478</v>
      </c>
      <c r="G6" s="9">
        <v>4948</v>
      </c>
      <c r="H6" s="9">
        <v>3674</v>
      </c>
      <c r="I6" s="9">
        <v>1685</v>
      </c>
      <c r="L6" t="s">
        <v>72</v>
      </c>
    </row>
    <row r="7" spans="1:12" x14ac:dyDescent="0.25">
      <c r="A7" t="s">
        <v>13</v>
      </c>
      <c r="B7" s="14">
        <v>7.0000000000000001E-3</v>
      </c>
      <c r="C7" s="14">
        <v>6.7999999999999996E-3</v>
      </c>
      <c r="D7" s="14">
        <v>6.7999999999999996E-3</v>
      </c>
      <c r="E7" s="14">
        <v>6.7999999999999996E-3</v>
      </c>
      <c r="F7" s="14">
        <v>6.7999999999999996E-3</v>
      </c>
      <c r="G7" s="14">
        <v>6.7999999999999996E-3</v>
      </c>
      <c r="H7" s="14">
        <f>((270/366)*0.68%)+((96/366)*0.18%)</f>
        <v>5.4885245901639349E-3</v>
      </c>
      <c r="I7" s="14">
        <v>1.8E-3</v>
      </c>
      <c r="J7" s="5">
        <f>AVERAGE(C7:I7)</f>
        <v>5.8983606557377046E-3</v>
      </c>
    </row>
    <row r="8" spans="1:12" x14ac:dyDescent="0.25">
      <c r="A8" t="s">
        <v>16</v>
      </c>
      <c r="B8" s="9">
        <f>B6/B7</f>
        <v>329714.28571428568</v>
      </c>
      <c r="C8" s="9">
        <f t="shared" ref="C8:I8" si="0">C6/C7</f>
        <v>350294.11764705885</v>
      </c>
      <c r="D8" s="9">
        <f t="shared" si="0"/>
        <v>312058.82352941181</v>
      </c>
      <c r="E8" s="9">
        <f t="shared" si="0"/>
        <v>597647.0588235294</v>
      </c>
      <c r="F8" s="9">
        <f t="shared" si="0"/>
        <v>1099705.8823529412</v>
      </c>
      <c r="G8" s="9">
        <f t="shared" si="0"/>
        <v>727647.0588235294</v>
      </c>
      <c r="H8" s="9">
        <f t="shared" si="0"/>
        <v>669396.65471923526</v>
      </c>
      <c r="I8" s="9">
        <f t="shared" si="0"/>
        <v>936111.11111111112</v>
      </c>
      <c r="J8" s="21"/>
      <c r="L8" t="s">
        <v>131</v>
      </c>
    </row>
    <row r="9" spans="1:12" x14ac:dyDescent="0.25">
      <c r="B9" s="1"/>
      <c r="C9" s="1"/>
      <c r="D9" s="1"/>
      <c r="E9" s="1"/>
      <c r="F9" s="1"/>
      <c r="G9" s="1"/>
      <c r="H9" s="1"/>
      <c r="I9" s="1"/>
      <c r="J9" s="21"/>
    </row>
    <row r="10" spans="1:12" x14ac:dyDescent="0.25">
      <c r="A10" t="s">
        <v>7</v>
      </c>
      <c r="B10" s="13">
        <v>8538</v>
      </c>
      <c r="C10" s="13">
        <v>10266</v>
      </c>
      <c r="D10" s="9">
        <v>9688</v>
      </c>
      <c r="E10" s="9">
        <v>16633</v>
      </c>
      <c r="F10" s="9">
        <v>28168</v>
      </c>
      <c r="G10" s="9">
        <v>22036</v>
      </c>
      <c r="H10" s="9">
        <v>16847</v>
      </c>
      <c r="I10" s="9">
        <v>19764</v>
      </c>
      <c r="J10" s="5"/>
      <c r="L10" t="s">
        <v>115</v>
      </c>
    </row>
    <row r="11" spans="1:12" x14ac:dyDescent="0.25">
      <c r="A11" t="s">
        <v>9</v>
      </c>
      <c r="B11" s="13">
        <v>950</v>
      </c>
      <c r="C11" s="13">
        <v>1134</v>
      </c>
      <c r="D11" s="9">
        <v>1113</v>
      </c>
      <c r="E11" s="9">
        <v>2015</v>
      </c>
      <c r="F11" s="9">
        <v>4030</v>
      </c>
      <c r="G11" s="9">
        <v>3336</v>
      </c>
      <c r="H11" s="9">
        <v>2435</v>
      </c>
      <c r="I11" s="9">
        <v>2294</v>
      </c>
      <c r="J11" s="5"/>
    </row>
    <row r="12" spans="1:12" x14ac:dyDescent="0.25">
      <c r="A12" t="s">
        <v>10</v>
      </c>
      <c r="B12" s="11">
        <f t="shared" ref="B12:I12" si="1">B11/B10</f>
        <v>0.11126727570859686</v>
      </c>
      <c r="C12" s="11">
        <f t="shared" si="1"/>
        <v>0.11046171829339567</v>
      </c>
      <c r="D12" s="11">
        <f t="shared" si="1"/>
        <v>0.11488439306358382</v>
      </c>
      <c r="E12" s="11">
        <f t="shared" si="1"/>
        <v>0.12114471231888414</v>
      </c>
      <c r="F12" s="11">
        <f>F11/F10</f>
        <v>0.14307015052541891</v>
      </c>
      <c r="G12" s="11">
        <f t="shared" si="1"/>
        <v>0.15138863677618442</v>
      </c>
      <c r="H12" s="11">
        <f t="shared" si="1"/>
        <v>0.1445361191903603</v>
      </c>
      <c r="I12" s="11">
        <f t="shared" si="1"/>
        <v>0.11606962153410241</v>
      </c>
      <c r="J12" s="5">
        <f>AVERAGE(C12:I12)</f>
        <v>0.12879362167170424</v>
      </c>
    </row>
    <row r="13" spans="1:12" x14ac:dyDescent="0.25">
      <c r="A13" t="s">
        <v>28</v>
      </c>
      <c r="B13" s="2">
        <f>B11/B8</f>
        <v>2.8812824956672449E-3</v>
      </c>
      <c r="C13" s="2">
        <f t="shared" ref="C13:I13" si="2">C11/C8</f>
        <v>3.2372795969773296E-3</v>
      </c>
      <c r="D13" s="2">
        <f t="shared" si="2"/>
        <v>3.5666352497643727E-3</v>
      </c>
      <c r="E13" s="2">
        <f t="shared" si="2"/>
        <v>3.3715551181102365E-3</v>
      </c>
      <c r="F13" s="2">
        <f>F11/F8</f>
        <v>3.6646162075421236E-3</v>
      </c>
      <c r="G13" s="2">
        <f t="shared" si="2"/>
        <v>4.58464025869038E-3</v>
      </c>
      <c r="H13" s="2">
        <f t="shared" si="2"/>
        <v>3.6376040764967833E-3</v>
      </c>
      <c r="I13" s="2">
        <f t="shared" si="2"/>
        <v>2.4505637982195844E-3</v>
      </c>
      <c r="J13" s="5">
        <f>AVERAGE(C13:I13)</f>
        <v>3.5018420436858299E-3</v>
      </c>
    </row>
    <row r="14" spans="1:12" x14ac:dyDescent="0.25">
      <c r="B14" s="9"/>
      <c r="C14" s="9"/>
      <c r="D14" s="9"/>
      <c r="E14" s="9"/>
      <c r="F14" s="9"/>
      <c r="G14" s="9"/>
      <c r="H14" s="9"/>
      <c r="I14" s="9"/>
      <c r="J14" s="5"/>
    </row>
    <row r="15" spans="1:12" x14ac:dyDescent="0.25">
      <c r="A15" t="s">
        <v>8</v>
      </c>
      <c r="B15" s="13">
        <v>93</v>
      </c>
      <c r="C15" s="13">
        <v>172</v>
      </c>
      <c r="D15" s="9">
        <v>188</v>
      </c>
      <c r="E15" s="9">
        <v>267</v>
      </c>
      <c r="F15" s="9">
        <v>495</v>
      </c>
      <c r="G15" s="9">
        <v>335</v>
      </c>
      <c r="H15" s="9">
        <v>270</v>
      </c>
      <c r="I15" s="9">
        <v>782</v>
      </c>
      <c r="J15" s="5"/>
    </row>
    <row r="16" spans="1:12" x14ac:dyDescent="0.25">
      <c r="A16" t="s">
        <v>21</v>
      </c>
      <c r="B16" s="14">
        <f>B15/B8</f>
        <v>2.8206239168110923E-4</v>
      </c>
      <c r="C16" s="14">
        <f>C15/C8</f>
        <v>4.9101595298068842E-4</v>
      </c>
      <c r="D16" s="14">
        <f t="shared" ref="D16:I16" si="3">D15/D8</f>
        <v>6.0245051837888781E-4</v>
      </c>
      <c r="E16" s="14">
        <f t="shared" si="3"/>
        <v>4.4675196850393699E-4</v>
      </c>
      <c r="F16" s="14">
        <f>F15/F8</f>
        <v>4.5012035303557097E-4</v>
      </c>
      <c r="G16" s="14">
        <f t="shared" si="3"/>
        <v>4.6038803556992726E-4</v>
      </c>
      <c r="H16" s="14">
        <f t="shared" si="3"/>
        <v>4.0334829595652219E-4</v>
      </c>
      <c r="I16" s="14">
        <f t="shared" si="3"/>
        <v>8.3537091988130567E-4</v>
      </c>
      <c r="J16" s="5">
        <f>AVERAGE(C16:I16)</f>
        <v>5.2706372061526281E-4</v>
      </c>
    </row>
    <row r="17" spans="1:12" x14ac:dyDescent="0.25">
      <c r="A17" t="s">
        <v>59</v>
      </c>
      <c r="B17" s="22">
        <f>12930/B5</f>
        <v>3.6919861343506048E-2</v>
      </c>
      <c r="C17" s="22">
        <f>28180/C5</f>
        <v>8.6895654292207455E-2</v>
      </c>
      <c r="D17" s="22">
        <f>22862/D5</f>
        <v>5.6339069427023138E-2</v>
      </c>
      <c r="E17" s="22">
        <v>0.13930000000000001</v>
      </c>
      <c r="F17" s="22">
        <v>0.1368</v>
      </c>
      <c r="G17" s="22">
        <v>6.8599999999999994E-2</v>
      </c>
      <c r="H17" s="22">
        <v>0.19939999999999999</v>
      </c>
      <c r="I17" s="22">
        <v>0.107</v>
      </c>
      <c r="J17" s="5"/>
    </row>
    <row r="18" spans="1:12" x14ac:dyDescent="0.25">
      <c r="B18" s="9"/>
      <c r="C18" s="9"/>
      <c r="D18" s="9"/>
      <c r="E18" s="9"/>
      <c r="F18" s="9"/>
      <c r="G18" s="9"/>
      <c r="H18" s="9"/>
      <c r="I18" s="9"/>
      <c r="J18" s="5"/>
    </row>
    <row r="19" spans="1:12" x14ac:dyDescent="0.25">
      <c r="A19" t="s">
        <v>0</v>
      </c>
      <c r="B19">
        <v>276</v>
      </c>
      <c r="C19" s="13">
        <v>150</v>
      </c>
      <c r="D19" s="9">
        <v>318</v>
      </c>
      <c r="E19" s="9">
        <v>903</v>
      </c>
      <c r="F19" s="9">
        <v>754</v>
      </c>
      <c r="G19" s="9">
        <v>686</v>
      </c>
      <c r="H19" s="9">
        <v>366</v>
      </c>
      <c r="I19" s="9">
        <v>556</v>
      </c>
      <c r="J19" s="5"/>
    </row>
    <row r="20" spans="1:12" x14ac:dyDescent="0.25">
      <c r="A20" t="s">
        <v>1</v>
      </c>
      <c r="B20" s="2">
        <f>B19/B8</f>
        <v>8.3708838821490471E-4</v>
      </c>
      <c r="C20" s="2">
        <f t="shared" ref="C20:I20" si="4">C19/C8</f>
        <v>4.282115869017632E-4</v>
      </c>
      <c r="D20" s="2">
        <f t="shared" si="4"/>
        <v>1.0190386427898208E-3</v>
      </c>
      <c r="E20" s="2">
        <f t="shared" si="4"/>
        <v>1.5109251968503938E-3</v>
      </c>
      <c r="F20" s="2">
        <f t="shared" si="4"/>
        <v>6.856378710885263E-4</v>
      </c>
      <c r="G20" s="2">
        <f t="shared" si="4"/>
        <v>9.4276475343573168E-4</v>
      </c>
      <c r="H20" s="2">
        <f t="shared" si="4"/>
        <v>5.4676102340773006E-4</v>
      </c>
      <c r="I20" s="2">
        <f t="shared" si="4"/>
        <v>5.9394658753709193E-4</v>
      </c>
      <c r="J20" s="5">
        <f>AVERAGE(C20:I20)</f>
        <v>8.1818366600157962E-4</v>
      </c>
      <c r="L20" s="6"/>
    </row>
    <row r="21" spans="1:12" x14ac:dyDescent="0.25">
      <c r="J21" s="3"/>
      <c r="L21" s="6"/>
    </row>
    <row r="22" spans="1:12" x14ac:dyDescent="0.25">
      <c r="B22" s="20"/>
      <c r="C22" s="20"/>
      <c r="D22" s="10"/>
      <c r="E22" s="10"/>
      <c r="F22" s="3"/>
      <c r="G22" s="3"/>
      <c r="H22" s="3"/>
      <c r="I22" s="3"/>
      <c r="J22" s="3"/>
      <c r="L22" s="6"/>
    </row>
    <row r="23" spans="1:12" x14ac:dyDescent="0.25">
      <c r="A23" t="s">
        <v>41</v>
      </c>
      <c r="B23" s="5">
        <f>J7+J13-J16+J20</f>
        <v>9.6913226448098518E-3</v>
      </c>
      <c r="C23" t="s">
        <v>130</v>
      </c>
    </row>
    <row r="24" spans="1:12" x14ac:dyDescent="0.25">
      <c r="A24" t="s">
        <v>42</v>
      </c>
      <c r="B24" s="5">
        <f>TrackingDifference!M40/100</f>
        <v>8.7999999999999919E-3</v>
      </c>
      <c r="C24" t="s">
        <v>130</v>
      </c>
    </row>
    <row r="25" spans="1:12" x14ac:dyDescent="0.25">
      <c r="A25" t="s">
        <v>27</v>
      </c>
      <c r="B25" s="5">
        <f>B24-B23</f>
        <v>-8.9132264480985997E-4</v>
      </c>
    </row>
    <row r="27" spans="1:12" x14ac:dyDescent="0.25">
      <c r="A27" s="1" t="s">
        <v>3</v>
      </c>
      <c r="B27" s="21">
        <f>I7+J13+AVERAGE(G20:H20)-AVERAGE(F16:H16)</f>
        <v>5.6086527039202212E-3</v>
      </c>
    </row>
    <row r="28" spans="1:12" x14ac:dyDescent="0.25">
      <c r="A28" s="1"/>
      <c r="B28" s="21"/>
    </row>
    <row r="29" spans="1:12" x14ac:dyDescent="0.25">
      <c r="B29" s="5"/>
    </row>
    <row r="30" spans="1:12" x14ac:dyDescent="0.25">
      <c r="A30" s="1"/>
    </row>
    <row r="31" spans="1:12" x14ac:dyDescent="0.25">
      <c r="A31" s="1"/>
      <c r="B31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4"/>
  <sheetViews>
    <sheetView zoomScale="115" zoomScaleNormal="115" workbookViewId="0"/>
  </sheetViews>
  <sheetFormatPr defaultRowHeight="15" x14ac:dyDescent="0.25"/>
  <cols>
    <col min="1" max="1" width="32.28515625" customWidth="1"/>
    <col min="2" max="5" width="17.7109375" customWidth="1"/>
    <col min="6" max="6" width="13.28515625" customWidth="1"/>
    <col min="7" max="7" width="91.85546875" customWidth="1"/>
  </cols>
  <sheetData>
    <row r="2" spans="1:7" x14ac:dyDescent="0.25">
      <c r="A2" s="8" t="s">
        <v>23</v>
      </c>
      <c r="B2" s="7"/>
      <c r="C2" s="7"/>
      <c r="D2" s="7"/>
      <c r="E2" s="7"/>
      <c r="G2" s="1" t="s">
        <v>5</v>
      </c>
    </row>
    <row r="3" spans="1:7" x14ac:dyDescent="0.25">
      <c r="A3" t="s">
        <v>22</v>
      </c>
      <c r="G3" t="s">
        <v>56</v>
      </c>
    </row>
    <row r="4" spans="1:7" x14ac:dyDescent="0.25">
      <c r="B4" s="1">
        <v>2019</v>
      </c>
      <c r="C4" s="1">
        <v>2020</v>
      </c>
      <c r="D4" s="1">
        <v>2021</v>
      </c>
      <c r="E4" s="1" t="s">
        <v>2</v>
      </c>
      <c r="G4" t="s">
        <v>38</v>
      </c>
    </row>
    <row r="5" spans="1:7" x14ac:dyDescent="0.25">
      <c r="A5" t="s">
        <v>12</v>
      </c>
      <c r="B5" s="9">
        <v>861947</v>
      </c>
      <c r="C5" s="9">
        <v>1103291</v>
      </c>
      <c r="D5" s="9">
        <v>4193473</v>
      </c>
      <c r="E5" s="1"/>
      <c r="G5" s="6"/>
    </row>
    <row r="6" spans="1:7" x14ac:dyDescent="0.25">
      <c r="A6" t="s">
        <v>11</v>
      </c>
      <c r="B6" s="9">
        <v>1886</v>
      </c>
      <c r="C6" s="9">
        <v>3207</v>
      </c>
      <c r="D6" s="9">
        <v>9212</v>
      </c>
      <c r="G6" t="s">
        <v>131</v>
      </c>
    </row>
    <row r="7" spans="1:7" x14ac:dyDescent="0.25">
      <c r="A7" t="s">
        <v>13</v>
      </c>
      <c r="B7" s="14">
        <v>3.5000000000000001E-3</v>
      </c>
      <c r="C7" s="14">
        <v>3.5000000000000001E-3</v>
      </c>
      <c r="D7" s="14">
        <v>3.5000000000000001E-3</v>
      </c>
      <c r="E7" s="5">
        <f>AVERAGE(C7:D7)</f>
        <v>3.5000000000000001E-3</v>
      </c>
      <c r="G7" s="6"/>
    </row>
    <row r="8" spans="1:7" x14ac:dyDescent="0.25">
      <c r="A8" t="s">
        <v>16</v>
      </c>
      <c r="B8" s="9">
        <f>B6/B7</f>
        <v>538857.14285714284</v>
      </c>
      <c r="C8" s="9">
        <f>C6/C7</f>
        <v>916285.71428571432</v>
      </c>
      <c r="D8" s="9">
        <f>D6/D7</f>
        <v>2632000</v>
      </c>
      <c r="E8" s="1"/>
      <c r="G8" t="s">
        <v>115</v>
      </c>
    </row>
    <row r="9" spans="1:7" x14ac:dyDescent="0.25">
      <c r="B9" s="1"/>
      <c r="C9" s="1"/>
      <c r="D9" s="1"/>
      <c r="E9" s="1"/>
      <c r="G9" s="6"/>
    </row>
    <row r="10" spans="1:7" x14ac:dyDescent="0.25">
      <c r="A10" t="s">
        <v>7</v>
      </c>
      <c r="B10" s="9">
        <v>12293</v>
      </c>
      <c r="C10" s="41">
        <v>17604</v>
      </c>
      <c r="D10" s="41">
        <v>46407</v>
      </c>
    </row>
    <row r="11" spans="1:7" x14ac:dyDescent="0.25">
      <c r="A11" t="s">
        <v>9</v>
      </c>
      <c r="B11" s="9">
        <v>1482</v>
      </c>
      <c r="C11" s="9">
        <v>2212</v>
      </c>
      <c r="D11" s="9">
        <v>5654</v>
      </c>
    </row>
    <row r="12" spans="1:7" x14ac:dyDescent="0.25">
      <c r="A12" t="s">
        <v>10</v>
      </c>
      <c r="B12" s="11">
        <f>B11/B10</f>
        <v>0.12055641421947449</v>
      </c>
      <c r="C12" s="11">
        <f>C11/C10</f>
        <v>0.12565326062258578</v>
      </c>
      <c r="D12" s="11">
        <f>D11/D10</f>
        <v>0.12183506798543323</v>
      </c>
      <c r="E12" s="5">
        <f>AVERAGE(C12:D12)</f>
        <v>0.1237441643040095</v>
      </c>
    </row>
    <row r="13" spans="1:7" x14ac:dyDescent="0.25">
      <c r="A13" t="s">
        <v>35</v>
      </c>
      <c r="B13" s="2">
        <f>B11/B8</f>
        <v>2.7502651113467656E-3</v>
      </c>
      <c r="C13" s="2">
        <f>C11/C8</f>
        <v>2.4140941690053009E-3</v>
      </c>
      <c r="D13" s="2">
        <f>D11/D8</f>
        <v>2.1481762917933129E-3</v>
      </c>
      <c r="E13" s="5">
        <f>AVERAGE(C13:D13)</f>
        <v>2.2811352303993069E-3</v>
      </c>
    </row>
    <row r="14" spans="1:7" x14ac:dyDescent="0.25">
      <c r="B14" s="9"/>
      <c r="C14" s="9"/>
      <c r="D14" s="9"/>
    </row>
    <row r="15" spans="1:7" x14ac:dyDescent="0.25">
      <c r="A15" t="s">
        <v>8</v>
      </c>
      <c r="B15" s="9">
        <v>250</v>
      </c>
      <c r="C15" s="9">
        <v>756</v>
      </c>
      <c r="D15" s="9">
        <v>1908</v>
      </c>
    </row>
    <row r="16" spans="1:7" x14ac:dyDescent="0.25">
      <c r="A16" t="s">
        <v>21</v>
      </c>
      <c r="B16" s="14">
        <f>B15/B8</f>
        <v>4.6394485683987275E-4</v>
      </c>
      <c r="C16" s="23">
        <f>C15/C8</f>
        <v>8.2507015902712818E-4</v>
      </c>
      <c r="D16" s="23">
        <f>D15/D8</f>
        <v>7.2492401215805467E-4</v>
      </c>
      <c r="E16" s="5">
        <f>AVERAGE(C16:D16)</f>
        <v>7.7499708559259143E-4</v>
      </c>
    </row>
    <row r="17" spans="1:7" x14ac:dyDescent="0.25">
      <c r="A17" t="s">
        <v>59</v>
      </c>
      <c r="B17" s="22">
        <v>0.1915</v>
      </c>
      <c r="C17" s="22">
        <v>0.1986</v>
      </c>
      <c r="D17" s="22">
        <v>0.22570000000000001</v>
      </c>
      <c r="E17" s="5"/>
    </row>
    <row r="18" spans="1:7" x14ac:dyDescent="0.25">
      <c r="B18" s="9"/>
      <c r="C18" s="9"/>
      <c r="D18" s="9"/>
    </row>
    <row r="19" spans="1:7" x14ac:dyDescent="0.25">
      <c r="A19" t="s">
        <v>0</v>
      </c>
      <c r="B19" s="9">
        <v>271</v>
      </c>
      <c r="C19" s="9">
        <v>533</v>
      </c>
      <c r="D19" s="9">
        <v>1108</v>
      </c>
    </row>
    <row r="20" spans="1:7" x14ac:dyDescent="0.25">
      <c r="A20" t="s">
        <v>1</v>
      </c>
      <c r="B20" s="3">
        <f>B19/B8</f>
        <v>5.0291622481442202E-4</v>
      </c>
      <c r="C20" s="3">
        <f>C19/C8</f>
        <v>5.8169628936700966E-4</v>
      </c>
      <c r="D20" s="3">
        <f>D19/D8</f>
        <v>4.2097264437689969E-4</v>
      </c>
      <c r="E20" s="5">
        <f>AVERAGE(C20:D20)</f>
        <v>5.0133446687195471E-4</v>
      </c>
      <c r="G20" s="6"/>
    </row>
    <row r="21" spans="1:7" x14ac:dyDescent="0.25">
      <c r="E21" s="3"/>
      <c r="G21" s="6"/>
    </row>
    <row r="22" spans="1:7" x14ac:dyDescent="0.25">
      <c r="C22" s="3"/>
      <c r="D22" s="3"/>
      <c r="E22" s="3"/>
      <c r="G22" s="6"/>
    </row>
    <row r="23" spans="1:7" x14ac:dyDescent="0.25">
      <c r="A23" t="s">
        <v>40</v>
      </c>
      <c r="B23" s="5">
        <f>E7+E13-E16+E20</f>
        <v>5.5074726116786706E-3</v>
      </c>
      <c r="C23" s="45" t="s">
        <v>133</v>
      </c>
      <c r="D23" s="3"/>
      <c r="E23" s="3"/>
      <c r="G23" s="6"/>
    </row>
    <row r="24" spans="1:7" x14ac:dyDescent="0.25">
      <c r="A24" t="s">
        <v>42</v>
      </c>
      <c r="B24" s="5">
        <f>TrackingDifference!M19/100</f>
        <v>5.0499999999999903E-3</v>
      </c>
      <c r="C24" s="45" t="s">
        <v>133</v>
      </c>
      <c r="G24" s="6"/>
    </row>
    <row r="25" spans="1:7" x14ac:dyDescent="0.25">
      <c r="A25" t="s">
        <v>27</v>
      </c>
      <c r="B25" s="5">
        <f>B24-B23</f>
        <v>-4.5747261167868036E-4</v>
      </c>
      <c r="F25" s="4"/>
      <c r="G25" s="6"/>
    </row>
    <row r="26" spans="1:7" x14ac:dyDescent="0.25">
      <c r="F26" s="4"/>
      <c r="G26" s="6"/>
    </row>
    <row r="27" spans="1:7" x14ac:dyDescent="0.25">
      <c r="A27" s="1"/>
      <c r="B27" s="12"/>
      <c r="F27" s="4"/>
    </row>
    <row r="28" spans="1:7" x14ac:dyDescent="0.25">
      <c r="A28" s="1"/>
      <c r="B28" s="2"/>
      <c r="C28" s="3"/>
      <c r="D28" s="3"/>
      <c r="E28" s="3"/>
      <c r="F28" s="4"/>
    </row>
    <row r="29" spans="1:7" x14ac:dyDescent="0.25">
      <c r="A29" s="1"/>
      <c r="B29" s="3"/>
      <c r="C29" s="3"/>
      <c r="D29" s="3"/>
      <c r="E29" s="3"/>
      <c r="F29" s="4"/>
    </row>
    <row r="30" spans="1:7" x14ac:dyDescent="0.25">
      <c r="A30" s="1"/>
      <c r="B30" s="3"/>
      <c r="C30" s="3"/>
      <c r="D30" s="3"/>
      <c r="E30" s="3"/>
      <c r="F30" s="4"/>
    </row>
    <row r="31" spans="1:7" x14ac:dyDescent="0.25">
      <c r="B31" s="3"/>
      <c r="C31" s="3"/>
      <c r="D31" s="3"/>
      <c r="E31" s="3"/>
      <c r="F31" s="4"/>
    </row>
    <row r="32" spans="1:7" x14ac:dyDescent="0.25">
      <c r="A32" s="1"/>
      <c r="B32" s="3"/>
      <c r="C32" s="3"/>
      <c r="D32" s="3"/>
      <c r="E32" s="3"/>
      <c r="F32" s="4"/>
    </row>
    <row r="33" spans="1:6" x14ac:dyDescent="0.25">
      <c r="A33" s="1"/>
      <c r="B33" s="3"/>
      <c r="C33" s="3"/>
      <c r="D33" s="3"/>
      <c r="E33" s="3"/>
      <c r="F33" s="4"/>
    </row>
    <row r="34" spans="1:6" x14ac:dyDescent="0.25">
      <c r="A34" s="1"/>
      <c r="B34" s="3"/>
      <c r="C34" s="3"/>
      <c r="D34" s="3"/>
      <c r="E34" s="3"/>
      <c r="F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L31"/>
  <sheetViews>
    <sheetView zoomScale="115" zoomScaleNormal="115" workbookViewId="0">
      <selection activeCell="B27" sqref="B27"/>
    </sheetView>
  </sheetViews>
  <sheetFormatPr defaultRowHeight="15" x14ac:dyDescent="0.25"/>
  <cols>
    <col min="1" max="1" width="39.5703125" customWidth="1"/>
    <col min="2" max="9" width="17.7109375" customWidth="1"/>
    <col min="10" max="10" width="18.5703125" customWidth="1"/>
    <col min="11" max="11" width="13.28515625" customWidth="1"/>
    <col min="12" max="12" width="91.85546875" customWidth="1"/>
  </cols>
  <sheetData>
    <row r="2" spans="1:12" x14ac:dyDescent="0.25">
      <c r="A2" s="8" t="s">
        <v>15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20</v>
      </c>
    </row>
    <row r="4" spans="1:12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  <c r="L4" t="s">
        <v>30</v>
      </c>
    </row>
    <row r="5" spans="1:12" x14ac:dyDescent="0.25">
      <c r="A5" t="s">
        <v>12</v>
      </c>
      <c r="B5" s="13">
        <v>427535</v>
      </c>
      <c r="C5" s="13">
        <v>342236</v>
      </c>
      <c r="D5" s="9">
        <v>304119</v>
      </c>
      <c r="E5" s="9">
        <v>361091</v>
      </c>
      <c r="F5" s="9">
        <v>444594</v>
      </c>
      <c r="G5" s="9">
        <v>307508</v>
      </c>
      <c r="H5" s="9">
        <v>210729</v>
      </c>
      <c r="I5" s="9">
        <v>380904</v>
      </c>
      <c r="J5" s="1"/>
      <c r="L5" t="s">
        <v>29</v>
      </c>
    </row>
    <row r="6" spans="1:12" x14ac:dyDescent="0.25">
      <c r="A6" t="s">
        <v>11</v>
      </c>
      <c r="B6" s="13">
        <v>2914</v>
      </c>
      <c r="C6" s="13">
        <v>2987</v>
      </c>
      <c r="D6" s="9">
        <v>1990</v>
      </c>
      <c r="E6" s="9">
        <v>2533</v>
      </c>
      <c r="F6" s="9">
        <v>3152</v>
      </c>
      <c r="G6" s="9">
        <v>2713</v>
      </c>
      <c r="H6" s="9">
        <v>2053</v>
      </c>
      <c r="I6" s="9">
        <v>2047</v>
      </c>
    </row>
    <row r="7" spans="1:12" x14ac:dyDescent="0.25">
      <c r="A7" t="s">
        <v>13</v>
      </c>
      <c r="B7" s="14">
        <v>7.4000000000000003E-3</v>
      </c>
      <c r="C7" s="14">
        <v>7.4000000000000003E-3</v>
      </c>
      <c r="D7" s="14">
        <v>7.4000000000000003E-3</v>
      </c>
      <c r="E7" s="14">
        <v>7.4000000000000003E-3</v>
      </c>
      <c r="F7" s="14">
        <v>7.4000000000000003E-3</v>
      </c>
      <c r="G7" s="14">
        <v>7.4000000000000003E-3</v>
      </c>
      <c r="H7" s="14">
        <v>7.4000000000000003E-3</v>
      </c>
      <c r="I7" s="14">
        <v>7.4000000000000003E-3</v>
      </c>
      <c r="J7" s="5">
        <f>AVERAGE(C7:I7)</f>
        <v>7.4000000000000021E-3</v>
      </c>
      <c r="L7" t="s">
        <v>37</v>
      </c>
    </row>
    <row r="8" spans="1:12" x14ac:dyDescent="0.25">
      <c r="A8" t="s">
        <v>16</v>
      </c>
      <c r="B8" s="9">
        <f>B6/B7</f>
        <v>393783.78378378379</v>
      </c>
      <c r="C8" s="9">
        <f t="shared" ref="C8:I8" si="0">C6/C7</f>
        <v>403648.64864864864</v>
      </c>
      <c r="D8" s="9">
        <f t="shared" si="0"/>
        <v>268918.91891891893</v>
      </c>
      <c r="E8" s="9">
        <f t="shared" si="0"/>
        <v>342297.29729729728</v>
      </c>
      <c r="F8" s="9">
        <f t="shared" si="0"/>
        <v>425945.94594594592</v>
      </c>
      <c r="G8" s="9">
        <f t="shared" si="0"/>
        <v>366621.6216216216</v>
      </c>
      <c r="H8" s="9">
        <f t="shared" si="0"/>
        <v>277432.43243243243</v>
      </c>
      <c r="I8" s="9">
        <f t="shared" si="0"/>
        <v>276621.6216216216</v>
      </c>
      <c r="J8" s="21"/>
      <c r="L8" t="s">
        <v>65</v>
      </c>
    </row>
    <row r="9" spans="1:12" x14ac:dyDescent="0.25">
      <c r="B9" s="1"/>
      <c r="C9" s="1"/>
      <c r="D9" s="1"/>
      <c r="E9" s="1"/>
      <c r="F9" s="1"/>
      <c r="G9" s="1"/>
      <c r="H9" s="1"/>
      <c r="I9" s="1"/>
      <c r="J9" s="21"/>
    </row>
    <row r="10" spans="1:12" x14ac:dyDescent="0.25">
      <c r="A10" t="s">
        <v>7</v>
      </c>
      <c r="B10" s="13">
        <v>9100</v>
      </c>
      <c r="C10" s="13">
        <v>9515</v>
      </c>
      <c r="D10" s="9">
        <v>6692</v>
      </c>
      <c r="E10" s="9">
        <v>7276</v>
      </c>
      <c r="F10" s="9">
        <v>9853</v>
      </c>
      <c r="G10" s="9">
        <v>9792</v>
      </c>
      <c r="H10" s="9">
        <v>7586</v>
      </c>
      <c r="I10" s="9">
        <v>6349</v>
      </c>
      <c r="J10" s="5"/>
      <c r="L10" t="s">
        <v>57</v>
      </c>
    </row>
    <row r="11" spans="1:12" x14ac:dyDescent="0.25">
      <c r="A11" t="s">
        <v>9</v>
      </c>
      <c r="B11" s="13">
        <v>1037</v>
      </c>
      <c r="C11" s="13">
        <f>1078+163</f>
        <v>1241</v>
      </c>
      <c r="D11" s="9">
        <v>742</v>
      </c>
      <c r="E11" s="9">
        <v>928</v>
      </c>
      <c r="F11" s="9">
        <v>1434</v>
      </c>
      <c r="G11" s="9">
        <v>2132</v>
      </c>
      <c r="H11" s="9">
        <v>1241</v>
      </c>
      <c r="I11" s="9">
        <v>3929</v>
      </c>
      <c r="J11" s="5"/>
      <c r="L11" t="s">
        <v>66</v>
      </c>
    </row>
    <row r="12" spans="1:12" x14ac:dyDescent="0.25">
      <c r="A12" t="s">
        <v>10</v>
      </c>
      <c r="B12" s="11">
        <f t="shared" ref="B12:I12" si="1">B11/B10</f>
        <v>0.11395604395604396</v>
      </c>
      <c r="C12" s="11">
        <f t="shared" si="1"/>
        <v>0.13042564372044141</v>
      </c>
      <c r="D12" s="11">
        <f t="shared" si="1"/>
        <v>0.11087866108786611</v>
      </c>
      <c r="E12" s="11">
        <f t="shared" si="1"/>
        <v>0.12754260582737767</v>
      </c>
      <c r="F12" s="11">
        <f t="shared" si="1"/>
        <v>0.14553942961534558</v>
      </c>
      <c r="G12" s="11">
        <f t="shared" si="1"/>
        <v>0.21772875816993464</v>
      </c>
      <c r="H12" s="11">
        <f t="shared" si="1"/>
        <v>0.16359082520432375</v>
      </c>
      <c r="I12" s="11">
        <f t="shared" si="1"/>
        <v>0.61883761222239719</v>
      </c>
      <c r="J12" s="5">
        <f>AVERAGE(C12:I12)</f>
        <v>0.21636336226395519</v>
      </c>
      <c r="L12" t="s">
        <v>67</v>
      </c>
    </row>
    <row r="13" spans="1:12" x14ac:dyDescent="0.25">
      <c r="A13" t="s">
        <v>28</v>
      </c>
      <c r="B13" s="2">
        <f>B11/B8</f>
        <v>2.6334248455730956E-3</v>
      </c>
      <c r="C13" s="2">
        <f t="shared" ref="C13:I13" si="2">C11/C8</f>
        <v>3.0744559758955473E-3</v>
      </c>
      <c r="D13" s="2">
        <f t="shared" si="2"/>
        <v>2.7591959798994974E-3</v>
      </c>
      <c r="E13" s="2">
        <f t="shared" si="2"/>
        <v>2.7110935649427557E-3</v>
      </c>
      <c r="F13" s="2">
        <f t="shared" si="2"/>
        <v>3.3666243654822338E-3</v>
      </c>
      <c r="G13" s="2">
        <f t="shared" si="2"/>
        <v>5.8152598599336535E-3</v>
      </c>
      <c r="H13" s="2">
        <f t="shared" si="2"/>
        <v>4.4731612274719924E-3</v>
      </c>
      <c r="I13" s="2">
        <f t="shared" si="2"/>
        <v>1.4203517342452371E-2</v>
      </c>
      <c r="J13" s="5">
        <f>AVERAGE(C13:I13)</f>
        <v>5.2004726165825787E-3</v>
      </c>
      <c r="L13" t="s">
        <v>68</v>
      </c>
    </row>
    <row r="14" spans="1:12" x14ac:dyDescent="0.25">
      <c r="B14" s="9"/>
      <c r="C14" s="9"/>
      <c r="D14" s="9"/>
      <c r="E14" s="9"/>
      <c r="F14" s="9"/>
      <c r="G14" s="9"/>
      <c r="H14" s="9"/>
      <c r="I14" s="9"/>
      <c r="J14" s="5"/>
    </row>
    <row r="15" spans="1:12" x14ac:dyDescent="0.25">
      <c r="A15" t="s">
        <v>8</v>
      </c>
      <c r="B15" s="13">
        <v>848</v>
      </c>
      <c r="C15" s="13">
        <v>1320</v>
      </c>
      <c r="D15" s="9">
        <v>1337</v>
      </c>
      <c r="E15" s="9">
        <v>1589</v>
      </c>
      <c r="F15" s="9">
        <v>2300</v>
      </c>
      <c r="G15" s="9">
        <v>2187</v>
      </c>
      <c r="H15" s="9">
        <v>1175</v>
      </c>
      <c r="I15" s="9">
        <v>862</v>
      </c>
      <c r="J15" s="5"/>
      <c r="L15" t="s">
        <v>92</v>
      </c>
    </row>
    <row r="16" spans="1:12" x14ac:dyDescent="0.25">
      <c r="A16" t="s">
        <v>21</v>
      </c>
      <c r="B16" s="14">
        <f>B15/B8</f>
        <v>2.1534660260809882E-3</v>
      </c>
      <c r="C16" s="14">
        <f>C15/C8</f>
        <v>3.2701707398727822E-3</v>
      </c>
      <c r="D16" s="14">
        <f t="shared" ref="D16:I16" si="3">D15/D8</f>
        <v>4.9717587939698488E-3</v>
      </c>
      <c r="E16" s="14">
        <f t="shared" si="3"/>
        <v>4.6421634425582317E-3</v>
      </c>
      <c r="F16" s="14">
        <f t="shared" si="3"/>
        <v>5.3997461928934013E-3</v>
      </c>
      <c r="G16" s="14">
        <f t="shared" si="3"/>
        <v>5.9652782897161817E-3</v>
      </c>
      <c r="H16" s="14">
        <f t="shared" si="3"/>
        <v>4.2352654651729178E-3</v>
      </c>
      <c r="I16" s="14">
        <f t="shared" si="3"/>
        <v>3.1161700048851983E-3</v>
      </c>
      <c r="J16" s="5">
        <f>AVERAGE(C16:I16)</f>
        <v>4.5143647041526519E-3</v>
      </c>
    </row>
    <row r="17" spans="1:12" x14ac:dyDescent="0.25">
      <c r="A17" t="s">
        <v>59</v>
      </c>
      <c r="B17" s="22">
        <f>52694/B5</f>
        <v>0.12325072801057223</v>
      </c>
      <c r="C17" s="22">
        <f>70814/C5</f>
        <v>0.20691569560186537</v>
      </c>
      <c r="D17" s="22">
        <f>58576/D5</f>
        <v>0.19260881431281834</v>
      </c>
      <c r="E17" s="22">
        <v>0.13739999999999999</v>
      </c>
      <c r="F17" s="22">
        <v>0.15029999999999999</v>
      </c>
      <c r="G17" s="22">
        <v>0.21609999999999999</v>
      </c>
      <c r="H17" s="22">
        <v>0.11650000000000001</v>
      </c>
      <c r="I17" s="22">
        <v>0.2135</v>
      </c>
      <c r="J17" s="5"/>
      <c r="L17" t="s">
        <v>115</v>
      </c>
    </row>
    <row r="18" spans="1:12" x14ac:dyDescent="0.25">
      <c r="B18" s="9"/>
      <c r="C18" s="9"/>
      <c r="D18" s="9"/>
      <c r="E18" s="9"/>
      <c r="F18" s="9"/>
      <c r="G18" s="9"/>
      <c r="H18" s="9"/>
      <c r="I18" s="9"/>
      <c r="J18" s="5"/>
    </row>
    <row r="19" spans="1:12" x14ac:dyDescent="0.25">
      <c r="A19" t="s">
        <v>0</v>
      </c>
      <c r="B19">
        <v>622</v>
      </c>
      <c r="C19" s="13">
        <v>712</v>
      </c>
      <c r="D19" s="9">
        <v>349</v>
      </c>
      <c r="E19" s="9">
        <v>512</v>
      </c>
      <c r="F19" s="9">
        <v>405</v>
      </c>
      <c r="G19" s="9">
        <v>466</v>
      </c>
      <c r="H19" s="9">
        <v>309</v>
      </c>
      <c r="I19" s="9">
        <v>377</v>
      </c>
      <c r="J19" s="5"/>
    </row>
    <row r="20" spans="1:12" x14ac:dyDescent="0.25">
      <c r="A20" t="s">
        <v>1</v>
      </c>
      <c r="B20" s="2">
        <f>B19/B8</f>
        <v>1.5795470144131778E-3</v>
      </c>
      <c r="C20" s="2">
        <f t="shared" ref="C20:I20" si="4">C19/C8</f>
        <v>1.7639102778707733E-3</v>
      </c>
      <c r="D20" s="2">
        <f t="shared" si="4"/>
        <v>1.2977889447236179E-3</v>
      </c>
      <c r="E20" s="2">
        <f t="shared" si="4"/>
        <v>1.4957757599684169E-3</v>
      </c>
      <c r="F20" s="2">
        <f t="shared" si="4"/>
        <v>9.5082487309644677E-4</v>
      </c>
      <c r="G20" s="2">
        <f t="shared" si="4"/>
        <v>1.2710652414301513E-3</v>
      </c>
      <c r="H20" s="2">
        <f t="shared" si="4"/>
        <v>1.1137847053093034E-3</v>
      </c>
      <c r="I20" s="2">
        <f t="shared" si="4"/>
        <v>1.3628724963361018E-3</v>
      </c>
      <c r="J20" s="5">
        <f>AVERAGE(C20:I20)</f>
        <v>1.3222888998192586E-3</v>
      </c>
      <c r="L20" s="6"/>
    </row>
    <row r="21" spans="1:12" x14ac:dyDescent="0.25">
      <c r="J21" s="3"/>
      <c r="L21" s="6"/>
    </row>
    <row r="22" spans="1:12" x14ac:dyDescent="0.25">
      <c r="B22" s="20"/>
      <c r="C22" s="20"/>
      <c r="D22" s="10"/>
      <c r="E22" s="10"/>
      <c r="F22" s="3"/>
      <c r="G22" s="3"/>
      <c r="H22" s="3"/>
      <c r="I22" s="3"/>
      <c r="J22" s="3"/>
      <c r="L22" s="6"/>
    </row>
    <row r="23" spans="1:12" x14ac:dyDescent="0.25">
      <c r="A23" t="s">
        <v>41</v>
      </c>
      <c r="B23" s="5">
        <f>J7+J13-J16+J20</f>
        <v>9.4083968122491875E-3</v>
      </c>
      <c r="C23" t="s">
        <v>130</v>
      </c>
    </row>
    <row r="24" spans="1:12" x14ac:dyDescent="0.25">
      <c r="A24" t="s">
        <v>42</v>
      </c>
      <c r="B24" s="5">
        <f>TrackingDifference!M26/100</f>
        <v>7.2428571428571334E-3</v>
      </c>
      <c r="C24" t="s">
        <v>130</v>
      </c>
    </row>
    <row r="25" spans="1:12" x14ac:dyDescent="0.25">
      <c r="A25" t="s">
        <v>27</v>
      </c>
      <c r="B25" s="5">
        <f>B24-B23</f>
        <v>-2.1655396693920541E-3</v>
      </c>
    </row>
    <row r="27" spans="1:12" x14ac:dyDescent="0.25">
      <c r="A27" s="1" t="s">
        <v>3</v>
      </c>
      <c r="B27" s="21">
        <f>I7+J13-J16+J20</f>
        <v>9.408396812249184E-3</v>
      </c>
    </row>
    <row r="28" spans="1:12" x14ac:dyDescent="0.25">
      <c r="A28" s="1"/>
      <c r="B28" s="21"/>
    </row>
    <row r="29" spans="1:12" x14ac:dyDescent="0.25">
      <c r="B29" s="5"/>
    </row>
    <row r="30" spans="1:12" x14ac:dyDescent="0.25">
      <c r="A30" s="1"/>
    </row>
    <row r="31" spans="1:12" x14ac:dyDescent="0.25">
      <c r="A31" s="1"/>
      <c r="B31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K32"/>
  <sheetViews>
    <sheetView zoomScale="145" zoomScaleNormal="145" workbookViewId="0"/>
  </sheetViews>
  <sheetFormatPr defaultRowHeight="15" x14ac:dyDescent="0.25"/>
  <cols>
    <col min="1" max="1" width="39.5703125" customWidth="1"/>
    <col min="2" max="8" width="17.7109375" customWidth="1"/>
    <col min="9" max="9" width="24.7109375" customWidth="1"/>
    <col min="10" max="10" width="19.140625" customWidth="1"/>
    <col min="11" max="11" width="91.85546875" customWidth="1"/>
  </cols>
  <sheetData>
    <row r="2" spans="1:11" x14ac:dyDescent="0.25">
      <c r="A2" s="8" t="s">
        <v>80</v>
      </c>
      <c r="B2" s="8"/>
      <c r="C2" s="7"/>
      <c r="D2" s="7"/>
      <c r="E2" s="7"/>
      <c r="F2" s="7"/>
      <c r="G2" s="7"/>
      <c r="H2" s="7"/>
      <c r="I2" s="7"/>
      <c r="K2" s="1" t="s">
        <v>5</v>
      </c>
    </row>
    <row r="3" spans="1:11" x14ac:dyDescent="0.25">
      <c r="A3" t="s">
        <v>81</v>
      </c>
      <c r="K3" t="s">
        <v>82</v>
      </c>
    </row>
    <row r="4" spans="1:11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>
        <v>2021</v>
      </c>
      <c r="I4" s="1" t="s">
        <v>96</v>
      </c>
      <c r="K4" t="s">
        <v>86</v>
      </c>
    </row>
    <row r="5" spans="1:11" x14ac:dyDescent="0.25">
      <c r="A5" t="s">
        <v>12</v>
      </c>
      <c r="B5" s="13">
        <v>24256</v>
      </c>
      <c r="C5" s="9">
        <v>151277</v>
      </c>
      <c r="D5" s="9">
        <v>1038524</v>
      </c>
      <c r="E5" s="9">
        <v>1613172</v>
      </c>
      <c r="F5" s="9">
        <v>1651193</v>
      </c>
      <c r="G5" s="9">
        <v>1606821</v>
      </c>
      <c r="H5" s="9">
        <v>6264043</v>
      </c>
      <c r="I5" s="1"/>
    </row>
    <row r="6" spans="1:11" x14ac:dyDescent="0.25">
      <c r="A6" t="s">
        <v>11</v>
      </c>
      <c r="B6" s="13">
        <v>30</v>
      </c>
      <c r="C6" s="9">
        <v>209</v>
      </c>
      <c r="D6" s="9">
        <v>1984</v>
      </c>
      <c r="E6" s="9">
        <v>3734</v>
      </c>
      <c r="F6" s="9">
        <v>4812</v>
      </c>
      <c r="G6" s="9">
        <v>5778</v>
      </c>
      <c r="H6" s="9">
        <v>9187</v>
      </c>
      <c r="K6" t="s">
        <v>88</v>
      </c>
    </row>
    <row r="7" spans="1:11" x14ac:dyDescent="0.25">
      <c r="A7" t="s">
        <v>13</v>
      </c>
      <c r="B7" s="14">
        <v>3.0000000000000001E-3</v>
      </c>
      <c r="C7" s="14">
        <v>3.0000000000000001E-3</v>
      </c>
      <c r="D7" s="14">
        <v>3.0000000000000001E-3</v>
      </c>
      <c r="E7" s="14">
        <v>3.0000000000000001E-3</v>
      </c>
      <c r="F7" s="14">
        <v>3.0000000000000001E-3</v>
      </c>
      <c r="G7" s="14">
        <v>3.0000000000000001E-3</v>
      </c>
      <c r="H7" s="14">
        <v>3.0000000000000001E-3</v>
      </c>
      <c r="I7" s="5">
        <f>AVERAGE(C7:H7)</f>
        <v>2.9999999999999996E-3</v>
      </c>
      <c r="K7" t="s">
        <v>89</v>
      </c>
    </row>
    <row r="8" spans="1:11" x14ac:dyDescent="0.25">
      <c r="A8" t="s">
        <v>16</v>
      </c>
      <c r="B8" s="9">
        <f t="shared" ref="B8:H8" si="0">B6/B7</f>
        <v>10000</v>
      </c>
      <c r="C8" s="9">
        <f t="shared" si="0"/>
        <v>69666.666666666672</v>
      </c>
      <c r="D8" s="9">
        <f t="shared" si="0"/>
        <v>661333.33333333337</v>
      </c>
      <c r="E8" s="9">
        <f t="shared" si="0"/>
        <v>1244666.6666666667</v>
      </c>
      <c r="F8" s="9">
        <f t="shared" si="0"/>
        <v>1604000</v>
      </c>
      <c r="G8" s="9">
        <f t="shared" si="0"/>
        <v>1926000</v>
      </c>
      <c r="H8" s="9">
        <f t="shared" si="0"/>
        <v>3062333.3333333335</v>
      </c>
      <c r="I8" s="5"/>
      <c r="K8" t="s">
        <v>91</v>
      </c>
    </row>
    <row r="9" spans="1:11" x14ac:dyDescent="0.25">
      <c r="B9" s="1"/>
      <c r="C9" s="1"/>
      <c r="D9" s="1"/>
      <c r="E9" s="1"/>
      <c r="F9" s="1"/>
      <c r="G9" s="1"/>
      <c r="H9" s="1"/>
      <c r="I9" s="5"/>
    </row>
    <row r="10" spans="1:11" x14ac:dyDescent="0.25">
      <c r="A10" t="s">
        <v>7</v>
      </c>
      <c r="B10" s="13">
        <v>279</v>
      </c>
      <c r="C10" s="9">
        <v>2604</v>
      </c>
      <c r="D10" s="9">
        <v>21736</v>
      </c>
      <c r="E10" s="9">
        <v>38305</v>
      </c>
      <c r="F10" s="9">
        <v>56439</v>
      </c>
      <c r="G10" s="9">
        <v>61654</v>
      </c>
      <c r="H10" s="9">
        <v>109718</v>
      </c>
      <c r="I10" s="5"/>
      <c r="K10" t="s">
        <v>132</v>
      </c>
    </row>
    <row r="11" spans="1:11" x14ac:dyDescent="0.25">
      <c r="A11" t="s">
        <v>9</v>
      </c>
      <c r="B11" s="13">
        <v>29</v>
      </c>
      <c r="C11" s="9">
        <v>282</v>
      </c>
      <c r="D11" s="9">
        <v>2230</v>
      </c>
      <c r="E11" s="9">
        <v>3979</v>
      </c>
      <c r="F11" s="9">
        <v>5829</v>
      </c>
      <c r="G11" s="9">
        <v>6808</v>
      </c>
      <c r="H11" s="9">
        <v>11053</v>
      </c>
      <c r="I11" s="5"/>
    </row>
    <row r="12" spans="1:11" x14ac:dyDescent="0.25">
      <c r="A12" t="s">
        <v>10</v>
      </c>
      <c r="B12" s="11">
        <f t="shared" ref="B12:G12" si="1">B11/B10</f>
        <v>0.1039426523297491</v>
      </c>
      <c r="C12" s="11">
        <f t="shared" si="1"/>
        <v>0.10829493087557604</v>
      </c>
      <c r="D12" s="11">
        <f t="shared" si="1"/>
        <v>0.10259477364740523</v>
      </c>
      <c r="E12" s="11">
        <f t="shared" si="1"/>
        <v>0.10387677848844798</v>
      </c>
      <c r="F12" s="11">
        <f t="shared" si="1"/>
        <v>0.10327964705257003</v>
      </c>
      <c r="G12" s="11">
        <f t="shared" si="1"/>
        <v>0.11042268141564213</v>
      </c>
      <c r="H12" s="11">
        <f t="shared" ref="H12" si="2">H11/H10</f>
        <v>0.10074007911190506</v>
      </c>
      <c r="I12" s="5">
        <f>AVERAGE(C12:H12)</f>
        <v>0.10486814843192442</v>
      </c>
      <c r="K12" s="44" t="s">
        <v>117</v>
      </c>
    </row>
    <row r="13" spans="1:11" x14ac:dyDescent="0.25">
      <c r="A13" t="s">
        <v>28</v>
      </c>
      <c r="B13" s="2">
        <f t="shared" ref="B13:G13" si="3">B11/B8</f>
        <v>2.8999999999999998E-3</v>
      </c>
      <c r="C13" s="2">
        <f>C11/C8</f>
        <v>4.0478468899521527E-3</v>
      </c>
      <c r="D13" s="2">
        <f t="shared" si="3"/>
        <v>3.3719758064516127E-3</v>
      </c>
      <c r="E13" s="2">
        <f>E11/E8</f>
        <v>3.1968398500267807E-3</v>
      </c>
      <c r="F13" s="2">
        <f t="shared" si="3"/>
        <v>3.6340399002493767E-3</v>
      </c>
      <c r="G13" s="2">
        <f t="shared" si="3"/>
        <v>3.5347871235721705E-3</v>
      </c>
      <c r="H13" s="2">
        <f t="shared" ref="H13" si="4">H11/H8</f>
        <v>3.6093392837705453E-3</v>
      </c>
      <c r="I13" s="5">
        <f>AVERAGE(C13:H13)</f>
        <v>3.5658048090037729E-3</v>
      </c>
    </row>
    <row r="14" spans="1:11" x14ac:dyDescent="0.25">
      <c r="A14" t="s">
        <v>87</v>
      </c>
      <c r="B14" s="2">
        <f>B10/B8</f>
        <v>2.7900000000000001E-2</v>
      </c>
      <c r="C14" s="2">
        <f t="shared" ref="C14:G14" si="5">C10/C8</f>
        <v>3.737799043062201E-2</v>
      </c>
      <c r="D14" s="2">
        <f t="shared" si="5"/>
        <v>3.2866935483870964E-2</v>
      </c>
      <c r="E14" s="2">
        <f t="shared" si="5"/>
        <v>3.0775307980717728E-2</v>
      </c>
      <c r="F14" s="2">
        <f t="shared" si="5"/>
        <v>3.5186408977556108E-2</v>
      </c>
      <c r="G14" s="2">
        <f t="shared" si="5"/>
        <v>3.201142263759086E-2</v>
      </c>
      <c r="H14" s="2">
        <f t="shared" ref="H14" si="6">H10/H8</f>
        <v>3.5828235550234025E-2</v>
      </c>
      <c r="I14" s="5">
        <f>AVERAGE(C14:H14)</f>
        <v>3.400771684343195E-2</v>
      </c>
    </row>
    <row r="15" spans="1:11" x14ac:dyDescent="0.25">
      <c r="B15" s="9"/>
      <c r="C15" s="9"/>
      <c r="D15" s="9"/>
      <c r="E15" s="9"/>
      <c r="F15" s="9"/>
      <c r="G15" s="9"/>
      <c r="H15" s="9"/>
      <c r="I15" s="5"/>
    </row>
    <row r="16" spans="1:11" x14ac:dyDescent="0.25">
      <c r="A16" t="s">
        <v>8</v>
      </c>
      <c r="B16" s="13">
        <v>1</v>
      </c>
      <c r="C16" s="9">
        <v>7</v>
      </c>
      <c r="D16" s="9">
        <v>74</v>
      </c>
      <c r="E16" s="9">
        <v>195</v>
      </c>
      <c r="F16" s="9">
        <v>342</v>
      </c>
      <c r="G16" s="9">
        <v>606</v>
      </c>
      <c r="H16" s="9">
        <v>678</v>
      </c>
      <c r="I16" s="5"/>
    </row>
    <row r="17" spans="1:11" x14ac:dyDescent="0.25">
      <c r="A17" t="s">
        <v>21</v>
      </c>
      <c r="B17" s="23">
        <f>B16/B8</f>
        <v>1E-4</v>
      </c>
      <c r="C17" s="23">
        <f t="shared" ref="C17:H17" si="7">C16/C8</f>
        <v>1.0047846889952153E-4</v>
      </c>
      <c r="D17" s="23">
        <f t="shared" si="7"/>
        <v>1.1189516129032257E-4</v>
      </c>
      <c r="E17" s="23">
        <f>E16/E8</f>
        <v>1.5666845206213176E-4</v>
      </c>
      <c r="F17" s="23">
        <f t="shared" si="7"/>
        <v>2.1321695760598503E-4</v>
      </c>
      <c r="G17" s="23">
        <f t="shared" si="7"/>
        <v>3.1464174454828663E-4</v>
      </c>
      <c r="H17" s="23">
        <f t="shared" si="7"/>
        <v>2.2139980407096983E-4</v>
      </c>
      <c r="I17" s="5">
        <f>AVERAGE(C17:H17)</f>
        <v>1.8638343141286955E-4</v>
      </c>
    </row>
    <row r="18" spans="1:11" x14ac:dyDescent="0.25">
      <c r="A18" t="s">
        <v>59</v>
      </c>
      <c r="B18" s="22">
        <f>56/B5</f>
        <v>2.3087071240105541E-3</v>
      </c>
      <c r="C18" s="22"/>
      <c r="D18" s="22">
        <v>7.9399999999999998E-2</v>
      </c>
      <c r="E18" s="22">
        <v>7.5600000000000001E-2</v>
      </c>
      <c r="F18" s="22">
        <v>0.12709999999999999</v>
      </c>
      <c r="G18" s="22">
        <v>0.12590000000000001</v>
      </c>
      <c r="H18" s="22">
        <v>5.7500000000000002E-2</v>
      </c>
      <c r="I18" s="5"/>
    </row>
    <row r="19" spans="1:11" x14ac:dyDescent="0.25">
      <c r="B19" s="9"/>
      <c r="C19" s="9"/>
      <c r="D19" s="9"/>
      <c r="E19" s="9"/>
      <c r="F19" s="9"/>
      <c r="G19" s="9"/>
      <c r="H19" s="9"/>
      <c r="I19" s="5"/>
    </row>
    <row r="20" spans="1:11" x14ac:dyDescent="0.25">
      <c r="A20" t="s">
        <v>0</v>
      </c>
      <c r="B20" s="13">
        <v>16</v>
      </c>
      <c r="C20" s="9">
        <v>86</v>
      </c>
      <c r="D20" s="9">
        <v>866</v>
      </c>
      <c r="E20" s="9"/>
      <c r="F20" s="9">
        <v>1656</v>
      </c>
      <c r="G20" s="9">
        <v>1131</v>
      </c>
      <c r="H20" s="9">
        <v>4034</v>
      </c>
      <c r="I20" s="5"/>
    </row>
    <row r="21" spans="1:11" x14ac:dyDescent="0.25">
      <c r="A21" t="s">
        <v>1</v>
      </c>
      <c r="B21" s="2">
        <f t="shared" ref="B21:H21" si="8">B20/B8</f>
        <v>1.6000000000000001E-3</v>
      </c>
      <c r="C21" s="2">
        <f t="shared" si="8"/>
        <v>1.2344497607655503E-3</v>
      </c>
      <c r="D21" s="2">
        <f t="shared" si="8"/>
        <v>1.3094758064516128E-3</v>
      </c>
      <c r="E21" s="2"/>
      <c r="F21" s="3">
        <f t="shared" si="8"/>
        <v>1.032418952618454E-3</v>
      </c>
      <c r="G21" s="3">
        <f t="shared" si="8"/>
        <v>5.8722741433021809E-4</v>
      </c>
      <c r="H21" s="3">
        <f t="shared" si="8"/>
        <v>1.3172961793839119E-3</v>
      </c>
      <c r="I21" s="5">
        <f>AVERAGE(C21:H21)</f>
        <v>1.0961736227099493E-3</v>
      </c>
      <c r="K21" s="6"/>
    </row>
    <row r="22" spans="1:11" x14ac:dyDescent="0.25">
      <c r="I22" s="3"/>
      <c r="K22" s="6"/>
    </row>
    <row r="23" spans="1:11" x14ac:dyDescent="0.25">
      <c r="B23" s="20"/>
      <c r="C23" s="20"/>
      <c r="D23" s="10"/>
      <c r="E23" s="10"/>
      <c r="F23" s="3"/>
      <c r="G23" s="3"/>
      <c r="H23" s="3"/>
      <c r="I23" s="3"/>
      <c r="K23" s="6"/>
    </row>
    <row r="24" spans="1:11" x14ac:dyDescent="0.25">
      <c r="A24" t="s">
        <v>41</v>
      </c>
      <c r="B24" s="5">
        <f>I7+I13-I17+I21</f>
        <v>7.475595000300852E-3</v>
      </c>
      <c r="C24" t="s">
        <v>127</v>
      </c>
    </row>
    <row r="25" spans="1:11" x14ac:dyDescent="0.25">
      <c r="A25" t="s">
        <v>42</v>
      </c>
      <c r="B25" s="5">
        <f>TrackingDifference!M47/100</f>
        <v>6.6166666666666622E-3</v>
      </c>
      <c r="C25" t="s">
        <v>127</v>
      </c>
    </row>
    <row r="26" spans="1:11" x14ac:dyDescent="0.25">
      <c r="A26" t="s">
        <v>27</v>
      </c>
      <c r="B26" s="5">
        <f>B25-B24</f>
        <v>-8.5892833363418984E-4</v>
      </c>
    </row>
    <row r="28" spans="1:11" x14ac:dyDescent="0.25">
      <c r="A28" s="1" t="s">
        <v>3</v>
      </c>
      <c r="B28" s="21">
        <f>H7++I13-H17+H21</f>
        <v>7.6617011843167155E-3</v>
      </c>
    </row>
    <row r="29" spans="1:11" x14ac:dyDescent="0.25">
      <c r="A29" s="1"/>
      <c r="B29" s="21"/>
    </row>
    <row r="30" spans="1:11" x14ac:dyDescent="0.25">
      <c r="B30" s="5"/>
    </row>
    <row r="31" spans="1:11" x14ac:dyDescent="0.25">
      <c r="A31" s="1"/>
    </row>
    <row r="32" spans="1:11" x14ac:dyDescent="0.25">
      <c r="A32" s="1"/>
      <c r="B32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N27"/>
  <sheetViews>
    <sheetView workbookViewId="0">
      <selection activeCell="L24" sqref="L24"/>
    </sheetView>
  </sheetViews>
  <sheetFormatPr defaultRowHeight="15" x14ac:dyDescent="0.25"/>
  <cols>
    <col min="1" max="1" width="41.140625" bestFit="1" customWidth="1"/>
    <col min="2" max="10" width="8.7109375" customWidth="1"/>
    <col min="12" max="12" width="15.85546875" customWidth="1"/>
  </cols>
  <sheetData>
    <row r="2" spans="1:14" x14ac:dyDescent="0.25">
      <c r="A2" s="1" t="s">
        <v>99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H2" s="1">
        <v>2021</v>
      </c>
      <c r="J2" s="1" t="s">
        <v>104</v>
      </c>
      <c r="L2" t="s">
        <v>143</v>
      </c>
    </row>
    <row r="3" spans="1:14" x14ac:dyDescent="0.25">
      <c r="A3" t="s">
        <v>90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  <c r="H3">
        <v>78113</v>
      </c>
    </row>
    <row r="4" spans="1:14" x14ac:dyDescent="0.25">
      <c r="A4" t="s">
        <v>100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  <c r="H4">
        <v>1663</v>
      </c>
    </row>
    <row r="5" spans="1:14" x14ac:dyDescent="0.25">
      <c r="A5" t="s">
        <v>105</v>
      </c>
      <c r="B5" s="2">
        <f t="shared" ref="B5:C5" si="0">B4/B3</f>
        <v>1.859504132231405E-2</v>
      </c>
      <c r="C5" s="2">
        <f t="shared" si="0"/>
        <v>3.4624896949711458E-2</v>
      </c>
      <c r="D5" s="2">
        <f>D4/D3</f>
        <v>2.8592445709534012E-2</v>
      </c>
      <c r="E5" s="2">
        <f t="shared" ref="E5:H5" si="1">E4/E3</f>
        <v>1.7205394882228109E-2</v>
      </c>
      <c r="F5" s="2">
        <f t="shared" si="1"/>
        <v>1.2886037407568508E-2</v>
      </c>
      <c r="G5" s="2">
        <f t="shared" si="1"/>
        <v>9.3348554253428317E-3</v>
      </c>
      <c r="H5" s="2">
        <f t="shared" si="1"/>
        <v>2.1289670093326336E-2</v>
      </c>
      <c r="J5" s="5">
        <f>AVERAGE(C5:H5)</f>
        <v>2.0655550077951876E-2</v>
      </c>
    </row>
    <row r="6" spans="1:14" x14ac:dyDescent="0.25">
      <c r="J6" s="5"/>
    </row>
    <row r="7" spans="1:14" x14ac:dyDescent="0.25">
      <c r="A7" s="1" t="s">
        <v>101</v>
      </c>
      <c r="J7" s="5"/>
    </row>
    <row r="8" spans="1:14" x14ac:dyDescent="0.25">
      <c r="A8" t="s">
        <v>90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H8">
        <v>24017</v>
      </c>
      <c r="J8" s="5"/>
      <c r="L8" t="s">
        <v>143</v>
      </c>
    </row>
    <row r="9" spans="1:14" x14ac:dyDescent="0.25">
      <c r="A9" t="s">
        <v>100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H9">
        <v>6083</v>
      </c>
      <c r="J9" s="5"/>
    </row>
    <row r="10" spans="1:14" x14ac:dyDescent="0.25">
      <c r="A10" t="s">
        <v>105</v>
      </c>
      <c r="B10" s="11">
        <f t="shared" ref="B10:C10" si="2">B9/B8</f>
        <v>0.25019218260303944</v>
      </c>
      <c r="C10" s="11">
        <f t="shared" si="2"/>
        <v>0.24998421019389883</v>
      </c>
      <c r="D10" s="11">
        <f>D9/D8</f>
        <v>0.25208794185364092</v>
      </c>
      <c r="E10" s="11">
        <f t="shared" ref="E10:H10" si="3">E9/E8</f>
        <v>0.24989503416160921</v>
      </c>
      <c r="F10" s="11">
        <f t="shared" si="3"/>
        <v>0.24984770690105298</v>
      </c>
      <c r="G10" s="11">
        <f t="shared" si="3"/>
        <v>0.24978329962438603</v>
      </c>
      <c r="H10" s="11">
        <f t="shared" si="3"/>
        <v>0.25327892742640629</v>
      </c>
      <c r="J10" s="5">
        <f>AVERAGE(C10:H10)</f>
        <v>0.25081285336016573</v>
      </c>
    </row>
    <row r="11" spans="1:14" x14ac:dyDescent="0.25">
      <c r="J11" s="5"/>
      <c r="M11" s="43"/>
    </row>
    <row r="12" spans="1:14" x14ac:dyDescent="0.25">
      <c r="A12" s="1" t="s">
        <v>102</v>
      </c>
      <c r="J12" s="5"/>
      <c r="M12" s="43"/>
      <c r="N12" s="5"/>
    </row>
    <row r="13" spans="1:14" x14ac:dyDescent="0.25">
      <c r="A13" t="s">
        <v>90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H13">
        <v>8725</v>
      </c>
      <c r="J13" s="5"/>
      <c r="L13" t="s">
        <v>143</v>
      </c>
      <c r="M13" s="43"/>
      <c r="N13" s="5"/>
    </row>
    <row r="14" spans="1:14" x14ac:dyDescent="0.25">
      <c r="A14" t="s">
        <v>100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H14">
        <v>1301</v>
      </c>
      <c r="J14" s="5"/>
      <c r="N14" s="5"/>
    </row>
    <row r="15" spans="1:14" x14ac:dyDescent="0.25">
      <c r="A15" t="s">
        <v>105</v>
      </c>
      <c r="B15" s="11">
        <f t="shared" ref="B15:C15" si="4">B14/B13</f>
        <v>0.15219249227532708</v>
      </c>
      <c r="C15" s="11">
        <f t="shared" si="4"/>
        <v>0.15182879377431907</v>
      </c>
      <c r="D15" s="11">
        <f>D14/D13</f>
        <v>0.14376652629517186</v>
      </c>
      <c r="E15" s="11">
        <f t="shared" ref="E15:H15" si="5">E14/E13</f>
        <v>0.14997217584863662</v>
      </c>
      <c r="F15" s="11">
        <f t="shared" si="5"/>
        <v>0.14997696913864578</v>
      </c>
      <c r="G15" s="11">
        <f t="shared" si="5"/>
        <v>0.14984650805832694</v>
      </c>
      <c r="H15" s="11">
        <f t="shared" si="5"/>
        <v>0.14911174785100287</v>
      </c>
      <c r="J15" s="5">
        <f>AVERAGE(C15:H15)</f>
        <v>0.14908378682768386</v>
      </c>
    </row>
    <row r="16" spans="1:14" x14ac:dyDescent="0.25">
      <c r="J16" s="5"/>
    </row>
    <row r="17" spans="1:12" x14ac:dyDescent="0.25">
      <c r="A17" s="1" t="s">
        <v>103</v>
      </c>
      <c r="J17" s="5"/>
    </row>
    <row r="18" spans="1:12" x14ac:dyDescent="0.25">
      <c r="A18" t="s">
        <v>90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H18">
        <v>12184</v>
      </c>
      <c r="J18" s="5"/>
      <c r="L18" t="s">
        <v>143</v>
      </c>
    </row>
    <row r="19" spans="1:12" x14ac:dyDescent="0.25">
      <c r="A19" t="s">
        <v>100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H19">
        <v>1737</v>
      </c>
      <c r="J19" s="5"/>
    </row>
    <row r="20" spans="1:12" x14ac:dyDescent="0.25">
      <c r="A20" t="s">
        <v>105</v>
      </c>
      <c r="B20" s="11">
        <f t="shared" ref="B20:C20" si="6">B19/B18</f>
        <v>0.17108825121819166</v>
      </c>
      <c r="C20" s="11">
        <f t="shared" si="6"/>
        <v>0.14389505549949547</v>
      </c>
      <c r="D20" s="11">
        <f>D19/D18</f>
        <v>0.14319129462015662</v>
      </c>
      <c r="E20" s="11">
        <f t="shared" ref="E20:H20" si="7">E19/E18</f>
        <v>0.14075984525344709</v>
      </c>
      <c r="F20" s="11">
        <f t="shared" si="7"/>
        <v>0.14652620581577572</v>
      </c>
      <c r="G20" s="11">
        <f t="shared" si="7"/>
        <v>0.14067669172932332</v>
      </c>
      <c r="H20" s="11">
        <f t="shared" si="7"/>
        <v>0.1425640183847669</v>
      </c>
      <c r="J20" s="5">
        <f>AVERAGE(C20:H20)</f>
        <v>0.14293551855049416</v>
      </c>
    </row>
    <row r="21" spans="1:12" x14ac:dyDescent="0.25">
      <c r="J21" s="5"/>
    </row>
    <row r="22" spans="1:12" x14ac:dyDescent="0.25">
      <c r="A22" s="1" t="s">
        <v>106</v>
      </c>
      <c r="J22" s="5"/>
    </row>
    <row r="23" spans="1:12" x14ac:dyDescent="0.25">
      <c r="A23" t="s">
        <v>90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H23">
        <v>178034</v>
      </c>
      <c r="J23" s="5"/>
      <c r="L23" t="s">
        <v>144</v>
      </c>
    </row>
    <row r="24" spans="1:12" x14ac:dyDescent="0.25">
      <c r="A24" t="s">
        <v>100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H24">
        <v>13472</v>
      </c>
      <c r="J24" s="5"/>
    </row>
    <row r="25" spans="1:12" x14ac:dyDescent="0.25">
      <c r="A25" t="s">
        <v>105</v>
      </c>
      <c r="B25" s="11">
        <f t="shared" ref="B25:F25" si="8">B24/B23</f>
        <v>7.0472644397037196E-2</v>
      </c>
      <c r="C25" s="11">
        <f t="shared" si="8"/>
        <v>5.5717001559205788E-2</v>
      </c>
      <c r="D25" s="11">
        <f t="shared" si="8"/>
        <v>7.0775718080008765E-2</v>
      </c>
      <c r="E25" s="11">
        <f t="shared" si="8"/>
        <v>7.8463013789226543E-2</v>
      </c>
      <c r="F25" s="11">
        <f t="shared" si="8"/>
        <v>7.6246671077887213E-2</v>
      </c>
      <c r="G25" s="11">
        <f>G24/G23</f>
        <v>0.10552285091061996</v>
      </c>
      <c r="H25" s="11">
        <f>H24/H23</f>
        <v>7.5670939258793271E-2</v>
      </c>
      <c r="J25" s="5">
        <f>AVERAGE(C25:H25)</f>
        <v>7.7066032445956917E-2</v>
      </c>
    </row>
    <row r="27" spans="1:12" x14ac:dyDescent="0.25">
      <c r="A27" t="s">
        <v>107</v>
      </c>
      <c r="J27" s="2">
        <f>AVERAGE(IEMA!E12:I12)</f>
        <v>0.13524184806899003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IEMM</vt:lpstr>
      <vt:lpstr>IEMA</vt:lpstr>
      <vt:lpstr>WSML</vt:lpstr>
      <vt:lpstr>IEMS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2022-12-31T09:26:49Z</dcterms:modified>
</cp:coreProperties>
</file>