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EU/"/>
    </mc:Choice>
  </mc:AlternateContent>
  <xr:revisionPtr revIDLastSave="382" documentId="13_ncr:1_{383DE9F1-B669-4070-96E2-664D98CFDC83}" xr6:coauthVersionLast="47" xr6:coauthVersionMax="47" xr10:uidLastSave="{5BB3157E-71A8-48A9-88C1-3B66E476DD6A}"/>
  <bookViews>
    <workbookView xWindow="9345" yWindow="4290" windowWidth="28800" windowHeight="15435" activeTab="6" xr2:uid="{00000000-000D-0000-FFFF-FFFF00000000}"/>
  </bookViews>
  <sheets>
    <sheet name="MarketCap" sheetId="7" r:id="rId1"/>
    <sheet name="VWRL" sheetId="13" r:id="rId2"/>
    <sheet name="VEVE" sheetId="16" r:id="rId3"/>
    <sheet name="VFEM" sheetId="17" r:id="rId4"/>
    <sheet name="VWCG" sheetId="19" r:id="rId5"/>
    <sheet name="VGEK" sheetId="20" r:id="rId6"/>
    <sheet name="VJPA" sheetId="21" r:id="rId7"/>
    <sheet name="GTD" sheetId="14" r:id="rId8"/>
    <sheet name="LeakgePerFund" sheetId="15" r:id="rId9"/>
    <sheet name="Lending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1" l="1"/>
  <c r="I23" i="20"/>
  <c r="C31" i="19"/>
  <c r="I23" i="19"/>
  <c r="C28" i="19"/>
  <c r="I20" i="19"/>
  <c r="I14" i="19"/>
  <c r="I13" i="19"/>
  <c r="I7" i="19"/>
  <c r="C31" i="21"/>
  <c r="C31" i="20"/>
  <c r="C28" i="21"/>
  <c r="C28" i="20"/>
  <c r="M41" i="14"/>
  <c r="L40" i="14"/>
  <c r="M34" i="14"/>
  <c r="L33" i="14"/>
  <c r="M27" i="14"/>
  <c r="L26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H7" i="21"/>
  <c r="H7" i="20"/>
  <c r="G9" i="21" l="1"/>
  <c r="G9" i="20"/>
  <c r="G20" i="20" s="1"/>
  <c r="H7" i="19"/>
  <c r="H9" i="19" s="1"/>
  <c r="E8" i="19"/>
  <c r="F8" i="19"/>
  <c r="G8" i="19"/>
  <c r="H8" i="19"/>
  <c r="E13" i="21"/>
  <c r="E23" i="21"/>
  <c r="H17" i="21"/>
  <c r="G17" i="21"/>
  <c r="F17" i="21"/>
  <c r="E17" i="21"/>
  <c r="H13" i="21"/>
  <c r="G13" i="21"/>
  <c r="F13" i="21"/>
  <c r="D13" i="21"/>
  <c r="C13" i="21"/>
  <c r="H9" i="21"/>
  <c r="H23" i="21" s="1"/>
  <c r="F9" i="21"/>
  <c r="F14" i="21" s="1"/>
  <c r="E9" i="21"/>
  <c r="E14" i="21" s="1"/>
  <c r="D9" i="21"/>
  <c r="D23" i="21" s="1"/>
  <c r="C9" i="21"/>
  <c r="C20" i="21" s="1"/>
  <c r="H8" i="21"/>
  <c r="G8" i="21"/>
  <c r="F8" i="21"/>
  <c r="E8" i="21"/>
  <c r="D8" i="21"/>
  <c r="I7" i="21"/>
  <c r="H17" i="20"/>
  <c r="G17" i="20"/>
  <c r="F17" i="20"/>
  <c r="E17" i="20"/>
  <c r="H13" i="20"/>
  <c r="G13" i="20"/>
  <c r="F13" i="20"/>
  <c r="E13" i="20"/>
  <c r="D13" i="20"/>
  <c r="C13" i="20"/>
  <c r="H9" i="20"/>
  <c r="H23" i="20" s="1"/>
  <c r="F9" i="20"/>
  <c r="F14" i="20" s="1"/>
  <c r="E9" i="20"/>
  <c r="E14" i="20" s="1"/>
  <c r="D9" i="20"/>
  <c r="D23" i="20" s="1"/>
  <c r="C9" i="20"/>
  <c r="C20" i="20" s="1"/>
  <c r="H8" i="20"/>
  <c r="G8" i="20"/>
  <c r="F8" i="20"/>
  <c r="E8" i="20"/>
  <c r="D8" i="20"/>
  <c r="I7" i="20"/>
  <c r="D9" i="19"/>
  <c r="E9" i="19"/>
  <c r="F9" i="19"/>
  <c r="F20" i="19" s="1"/>
  <c r="G9" i="19"/>
  <c r="G20" i="19" s="1"/>
  <c r="J9" i="13"/>
  <c r="I9" i="13"/>
  <c r="H9" i="13"/>
  <c r="G9" i="13"/>
  <c r="F9" i="13"/>
  <c r="E9" i="13"/>
  <c r="E8" i="13"/>
  <c r="F8" i="13"/>
  <c r="G8" i="13"/>
  <c r="H8" i="13"/>
  <c r="I8" i="13"/>
  <c r="J8" i="13"/>
  <c r="H17" i="19"/>
  <c r="G17" i="19"/>
  <c r="F17" i="19"/>
  <c r="E17" i="19"/>
  <c r="H13" i="19"/>
  <c r="G13" i="19"/>
  <c r="F13" i="19"/>
  <c r="E13" i="19"/>
  <c r="D13" i="19"/>
  <c r="C13" i="19"/>
  <c r="D23" i="19"/>
  <c r="C9" i="19"/>
  <c r="C20" i="19" s="1"/>
  <c r="D8" i="19"/>
  <c r="C16" i="7"/>
  <c r="C41" i="16"/>
  <c r="J7" i="17"/>
  <c r="H7" i="16"/>
  <c r="J7" i="13"/>
  <c r="C8" i="7"/>
  <c r="D7" i="7" s="1"/>
  <c r="D4" i="7"/>
  <c r="G20" i="21" l="1"/>
  <c r="G14" i="21"/>
  <c r="G14" i="20"/>
  <c r="I13" i="21"/>
  <c r="F23" i="21"/>
  <c r="E23" i="20"/>
  <c r="I13" i="20"/>
  <c r="C14" i="21"/>
  <c r="D20" i="21"/>
  <c r="D14" i="21"/>
  <c r="H14" i="21"/>
  <c r="E20" i="21"/>
  <c r="F20" i="21"/>
  <c r="C23" i="21"/>
  <c r="G23" i="21"/>
  <c r="H20" i="21"/>
  <c r="C14" i="20"/>
  <c r="D20" i="20"/>
  <c r="D14" i="20"/>
  <c r="H14" i="20"/>
  <c r="E20" i="20"/>
  <c r="F23" i="20"/>
  <c r="H20" i="20"/>
  <c r="F20" i="20"/>
  <c r="C23" i="20"/>
  <c r="G23" i="20"/>
  <c r="D20" i="19"/>
  <c r="E23" i="19"/>
  <c r="E20" i="19"/>
  <c r="E14" i="19"/>
  <c r="F14" i="19"/>
  <c r="F23" i="19"/>
  <c r="C14" i="19"/>
  <c r="G14" i="19"/>
  <c r="C23" i="19"/>
  <c r="G23" i="19"/>
  <c r="D14" i="19"/>
  <c r="D6" i="7"/>
  <c r="D20" i="14"/>
  <c r="E20" i="14"/>
  <c r="F20" i="14"/>
  <c r="G20" i="14"/>
  <c r="H20" i="14"/>
  <c r="I20" i="14"/>
  <c r="J20" i="14"/>
  <c r="C20" i="14"/>
  <c r="D19" i="14"/>
  <c r="C38" i="17" s="1"/>
  <c r="E19" i="14"/>
  <c r="F19" i="14"/>
  <c r="G19" i="14"/>
  <c r="H19" i="14"/>
  <c r="I19" i="14"/>
  <c r="J19" i="14"/>
  <c r="F13" i="14"/>
  <c r="G13" i="14"/>
  <c r="H13" i="14"/>
  <c r="I13" i="14"/>
  <c r="J13" i="14"/>
  <c r="F12" i="14"/>
  <c r="G12" i="14"/>
  <c r="H12" i="14"/>
  <c r="I12" i="14"/>
  <c r="J12" i="14"/>
  <c r="D6" i="14"/>
  <c r="E6" i="14"/>
  <c r="F6" i="14"/>
  <c r="G6" i="14"/>
  <c r="H6" i="14"/>
  <c r="I6" i="14"/>
  <c r="J6" i="14"/>
  <c r="D5" i="14"/>
  <c r="C38" i="13" s="1"/>
  <c r="E5" i="14"/>
  <c r="F5" i="14"/>
  <c r="G5" i="14"/>
  <c r="H5" i="14"/>
  <c r="I5" i="14"/>
  <c r="J5" i="14"/>
  <c r="I14" i="21" l="1"/>
  <c r="I20" i="21"/>
  <c r="I20" i="20"/>
  <c r="I14" i="20"/>
  <c r="H23" i="19"/>
  <c r="H14" i="19"/>
  <c r="H20" i="19"/>
  <c r="M20" i="14"/>
  <c r="L19" i="14"/>
  <c r="L12" i="14"/>
  <c r="C38" i="16" s="1"/>
  <c r="C19" i="14"/>
  <c r="E13" i="14"/>
  <c r="M13" i="14" s="1"/>
  <c r="E12" i="14"/>
  <c r="C27" i="21" l="1"/>
  <c r="C29" i="21" s="1"/>
  <c r="C27" i="20"/>
  <c r="C29" i="20" s="1"/>
  <c r="C27" i="19"/>
  <c r="C29" i="19" s="1"/>
  <c r="J9" i="17"/>
  <c r="J23" i="17" s="1"/>
  <c r="H9" i="16"/>
  <c r="H29" i="16" s="1"/>
  <c r="J29" i="13"/>
  <c r="J26" i="17"/>
  <c r="J18" i="17"/>
  <c r="J13" i="17"/>
  <c r="J8" i="17"/>
  <c r="I7" i="16"/>
  <c r="H26" i="16"/>
  <c r="H18" i="16"/>
  <c r="H13" i="16"/>
  <c r="J13" i="13"/>
  <c r="H8" i="16"/>
  <c r="K7" i="13"/>
  <c r="J26" i="13"/>
  <c r="J18" i="13"/>
  <c r="F8" i="18"/>
  <c r="D8" i="18"/>
  <c r="C8" i="18"/>
  <c r="E8" i="18"/>
  <c r="D4" i="18"/>
  <c r="E4" i="18"/>
  <c r="F4" i="18"/>
  <c r="C4" i="18"/>
  <c r="D13" i="17"/>
  <c r="E13" i="17"/>
  <c r="F13" i="17"/>
  <c r="G13" i="17"/>
  <c r="H13" i="17"/>
  <c r="I13" i="17"/>
  <c r="C13" i="17"/>
  <c r="C13" i="16"/>
  <c r="D13" i="16"/>
  <c r="E13" i="16"/>
  <c r="F13" i="16"/>
  <c r="G13" i="16"/>
  <c r="E7" i="17"/>
  <c r="D9" i="17" s="1"/>
  <c r="D32" i="17" s="1"/>
  <c r="I26" i="17"/>
  <c r="H26" i="17"/>
  <c r="G26" i="17"/>
  <c r="I18" i="17"/>
  <c r="H18" i="17"/>
  <c r="G18" i="17"/>
  <c r="F18" i="17"/>
  <c r="E18" i="17"/>
  <c r="D18" i="17"/>
  <c r="I9" i="17"/>
  <c r="I29" i="17" s="1"/>
  <c r="H9" i="17"/>
  <c r="H32" i="17" s="1"/>
  <c r="G9" i="17"/>
  <c r="G29" i="17" s="1"/>
  <c r="F9" i="17"/>
  <c r="F29" i="17" s="1"/>
  <c r="I8" i="17"/>
  <c r="H8" i="17"/>
  <c r="G8" i="17"/>
  <c r="F8" i="17"/>
  <c r="E8" i="17"/>
  <c r="D8" i="17"/>
  <c r="C9" i="16"/>
  <c r="C32" i="16" s="1"/>
  <c r="D13" i="13"/>
  <c r="E13" i="13"/>
  <c r="F13" i="13"/>
  <c r="G13" i="13"/>
  <c r="H13" i="13"/>
  <c r="I13" i="13"/>
  <c r="G26" i="16"/>
  <c r="F26" i="16"/>
  <c r="E26" i="16"/>
  <c r="G18" i="16"/>
  <c r="F18" i="16"/>
  <c r="E18" i="16"/>
  <c r="D18" i="16"/>
  <c r="C18" i="16"/>
  <c r="G9" i="16"/>
  <c r="G32" i="16" s="1"/>
  <c r="F9" i="16"/>
  <c r="F29" i="16" s="1"/>
  <c r="E9" i="16"/>
  <c r="E29" i="16" s="1"/>
  <c r="D9" i="16"/>
  <c r="D32" i="16" s="1"/>
  <c r="G8" i="16"/>
  <c r="F8" i="16"/>
  <c r="E8" i="16"/>
  <c r="D8" i="16"/>
  <c r="K18" i="17" l="1"/>
  <c r="K7" i="17"/>
  <c r="I18" i="16"/>
  <c r="J14" i="17"/>
  <c r="J29" i="17"/>
  <c r="J19" i="17"/>
  <c r="J32" i="17"/>
  <c r="H14" i="16"/>
  <c r="H32" i="16"/>
  <c r="H19" i="16"/>
  <c r="H23" i="16"/>
  <c r="J32" i="13"/>
  <c r="J14" i="13"/>
  <c r="J19" i="13"/>
  <c r="J23" i="13"/>
  <c r="I14" i="17"/>
  <c r="I23" i="17"/>
  <c r="I32" i="17"/>
  <c r="H19" i="17"/>
  <c r="H29" i="17"/>
  <c r="E9" i="17"/>
  <c r="E29" i="17" s="1"/>
  <c r="D29" i="17"/>
  <c r="D19" i="17"/>
  <c r="F14" i="17"/>
  <c r="I19" i="17"/>
  <c r="F23" i="17"/>
  <c r="F32" i="17"/>
  <c r="G14" i="17"/>
  <c r="F19" i="17"/>
  <c r="G23" i="17"/>
  <c r="G32" i="17"/>
  <c r="D14" i="17"/>
  <c r="H14" i="17"/>
  <c r="G19" i="17"/>
  <c r="D23" i="17"/>
  <c r="H23" i="17"/>
  <c r="D14" i="16"/>
  <c r="D19" i="16"/>
  <c r="G14" i="16"/>
  <c r="G19" i="16"/>
  <c r="C14" i="16"/>
  <c r="C29" i="16"/>
  <c r="I29" i="16" s="1"/>
  <c r="D29" i="16"/>
  <c r="C19" i="16"/>
  <c r="G29" i="16"/>
  <c r="E14" i="16"/>
  <c r="E23" i="16"/>
  <c r="E32" i="16"/>
  <c r="F14" i="16"/>
  <c r="E19" i="16"/>
  <c r="F23" i="16"/>
  <c r="F32" i="16"/>
  <c r="D23" i="16"/>
  <c r="F19" i="16"/>
  <c r="C23" i="16"/>
  <c r="G23" i="16"/>
  <c r="D9" i="13"/>
  <c r="E32" i="17" l="1"/>
  <c r="K29" i="17"/>
  <c r="K32" i="17"/>
  <c r="K19" i="17"/>
  <c r="C41" i="17" s="1"/>
  <c r="I32" i="16"/>
  <c r="I19" i="16"/>
  <c r="E19" i="17"/>
  <c r="E14" i="17"/>
  <c r="E23" i="17"/>
  <c r="D29" i="13"/>
  <c r="C37" i="16" l="1"/>
  <c r="C42" i="17"/>
  <c r="C13" i="7" s="1"/>
  <c r="C37" i="17"/>
  <c r="C39" i="17" s="1"/>
  <c r="C39" i="16"/>
  <c r="D13" i="15"/>
  <c r="C13" i="15"/>
  <c r="D12" i="15"/>
  <c r="D11" i="15"/>
  <c r="C11" i="15"/>
  <c r="C44" i="17" l="1"/>
  <c r="C45" i="17" s="1"/>
  <c r="C44" i="16"/>
  <c r="C45" i="16" s="1"/>
  <c r="C42" i="16"/>
  <c r="C12" i="7" s="1"/>
  <c r="D10" i="15"/>
  <c r="C10" i="15"/>
  <c r="D9" i="15"/>
  <c r="J9" i="15" s="1"/>
  <c r="D8" i="15"/>
  <c r="C7" i="15"/>
  <c r="D7" i="15"/>
  <c r="D6" i="15"/>
  <c r="C6" i="15"/>
  <c r="D5" i="15"/>
  <c r="C5" i="15"/>
  <c r="C3" i="15"/>
  <c r="D3" i="15"/>
  <c r="F13" i="15"/>
  <c r="E13" i="15"/>
  <c r="J13" i="15" s="1"/>
  <c r="F12" i="15"/>
  <c r="E12" i="15"/>
  <c r="J12" i="15" s="1"/>
  <c r="F11" i="15"/>
  <c r="E11" i="15"/>
  <c r="J11" i="15" s="1"/>
  <c r="F10" i="15"/>
  <c r="E10" i="15"/>
  <c r="F9" i="15"/>
  <c r="E9" i="15"/>
  <c r="F8" i="15"/>
  <c r="E8" i="15"/>
  <c r="F7" i="15"/>
  <c r="E7" i="15"/>
  <c r="F6" i="15"/>
  <c r="E6" i="15"/>
  <c r="F5" i="15"/>
  <c r="E5" i="15"/>
  <c r="E3" i="15"/>
  <c r="F3" i="15"/>
  <c r="H3" i="15"/>
  <c r="G3" i="15"/>
  <c r="H2" i="15"/>
  <c r="J2" i="15" s="1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J10" i="15" l="1"/>
  <c r="J3" i="15"/>
  <c r="J7" i="15"/>
  <c r="J5" i="15"/>
  <c r="J6" i="15"/>
  <c r="J8" i="15"/>
  <c r="D8" i="13" l="1"/>
  <c r="C6" i="14"/>
  <c r="C5" i="14"/>
  <c r="L5" i="14" s="1"/>
  <c r="M6" i="14" l="1"/>
  <c r="H26" i="13"/>
  <c r="I26" i="13"/>
  <c r="G26" i="13"/>
  <c r="I18" i="13"/>
  <c r="H18" i="13"/>
  <c r="G18" i="13"/>
  <c r="F18" i="13"/>
  <c r="E18" i="13"/>
  <c r="D18" i="13"/>
  <c r="K18" i="13" l="1"/>
  <c r="I29" i="13"/>
  <c r="I14" i="13"/>
  <c r="E29" i="13"/>
  <c r="E14" i="13"/>
  <c r="F14" i="13"/>
  <c r="F29" i="13"/>
  <c r="H29" i="13"/>
  <c r="H14" i="13"/>
  <c r="G14" i="13"/>
  <c r="G29" i="13"/>
  <c r="H32" i="13"/>
  <c r="H23" i="13"/>
  <c r="E23" i="13"/>
  <c r="D32" i="13"/>
  <c r="D23" i="13"/>
  <c r="D14" i="13"/>
  <c r="I23" i="13"/>
  <c r="F19" i="13"/>
  <c r="F23" i="13"/>
  <c r="G23" i="13"/>
  <c r="I32" i="13"/>
  <c r="E19" i="13"/>
  <c r="E32" i="13"/>
  <c r="G32" i="13"/>
  <c r="I19" i="13"/>
  <c r="G19" i="13"/>
  <c r="D19" i="13"/>
  <c r="H19" i="13"/>
  <c r="F32" i="13"/>
  <c r="K19" i="13" l="1"/>
  <c r="C41" i="13" s="1"/>
  <c r="K29" i="13"/>
  <c r="K32" i="13"/>
  <c r="J4" i="15"/>
  <c r="C37" i="13" l="1"/>
  <c r="C39" i="13" s="1"/>
  <c r="C42" i="13"/>
  <c r="C15" i="7" l="1"/>
  <c r="C18" i="7" s="1"/>
  <c r="C44" i="13"/>
  <c r="C45" i="13" s="1"/>
</calcChain>
</file>

<file path=xl/sharedStrings.xml><?xml version="1.0" encoding="utf-8"?>
<sst xmlns="http://schemas.openxmlformats.org/spreadsheetml/2006/main" count="278" uniqueCount="111">
  <si>
    <t>Dividend income</t>
  </si>
  <si>
    <t>Foreign Withholding Tax</t>
  </si>
  <si>
    <t>VWRL</t>
  </si>
  <si>
    <t>%</t>
  </si>
  <si>
    <t>Vanguard FTSE All-World UCITS ETF</t>
  </si>
  <si>
    <t>Securities lending income</t>
  </si>
  <si>
    <t>% lending income</t>
  </si>
  <si>
    <t>Tracking difference</t>
  </si>
  <si>
    <t>Management Fees (TER)</t>
  </si>
  <si>
    <t>Other expenses</t>
  </si>
  <si>
    <t>Secuties lended</t>
  </si>
  <si>
    <t>Transaction Fees and Commissions</t>
  </si>
  <si>
    <t>Vanguard VWRL</t>
  </si>
  <si>
    <t>FTSE All-World Index gross</t>
  </si>
  <si>
    <t>FTSE All-World Index NET</t>
  </si>
  <si>
    <t>Vs gross</t>
  </si>
  <si>
    <t>Vs net</t>
  </si>
  <si>
    <t>FTSE Global All-Cap</t>
  </si>
  <si>
    <t>FTSE All-World</t>
  </si>
  <si>
    <t>Interest expense</t>
  </si>
  <si>
    <t>Vanguard FTSE Developed Asia Pacific ex Japan</t>
  </si>
  <si>
    <t>Vanguard FTSE Developed Europe</t>
  </si>
  <si>
    <t>Vanguard FTSE Developed Europe ex UK</t>
  </si>
  <si>
    <t>Vanguard FTSE Developed World</t>
  </si>
  <si>
    <t>Vanguard FTSE Emerging Markets</t>
  </si>
  <si>
    <t>Vanguard FTSE Japan</t>
  </si>
  <si>
    <t>Vanguard FTSE North America</t>
  </si>
  <si>
    <t>Vanguard S&amp;P 500</t>
  </si>
  <si>
    <t>Vanguard FTSE All-World High Dividend Yield</t>
  </si>
  <si>
    <t>Vanguard DAX</t>
  </si>
  <si>
    <t>Vanguard FTSE 100</t>
  </si>
  <si>
    <t>Vanguard FTSE All-World</t>
  </si>
  <si>
    <t>GTD</t>
  </si>
  <si>
    <t>NTD</t>
  </si>
  <si>
    <t>Net asset value end of year</t>
  </si>
  <si>
    <t>TER reported</t>
  </si>
  <si>
    <t>Average assets</t>
  </si>
  <si>
    <t>Average assets via management fee</t>
  </si>
  <si>
    <t>Average</t>
  </si>
  <si>
    <t>Interest</t>
  </si>
  <si>
    <t>Other income</t>
  </si>
  <si>
    <t>Interest plus other income</t>
  </si>
  <si>
    <t>Dividend leakage</t>
  </si>
  <si>
    <t>% dividend leakage</t>
  </si>
  <si>
    <t>% transaction costs</t>
  </si>
  <si>
    <t>further ignored</t>
  </si>
  <si>
    <t>05-2012 started</t>
  </si>
  <si>
    <t>Derivates</t>
  </si>
  <si>
    <t>Difference</t>
  </si>
  <si>
    <t>Estimated future costs</t>
  </si>
  <si>
    <t>Estimated future costs (ex leakage)</t>
  </si>
  <si>
    <t>Difference future and current costs</t>
  </si>
  <si>
    <t>GTD estimation future</t>
  </si>
  <si>
    <t>Bookyear differs from calender year!</t>
  </si>
  <si>
    <t>MiFiD:</t>
  </si>
  <si>
    <t>https://global.vanguard.com/portal/site/loadPDF?country=global&amp;docId=15835</t>
  </si>
  <si>
    <t>Reports 0,02% transaction costs</t>
  </si>
  <si>
    <t>Future</t>
  </si>
  <si>
    <t>Without</t>
  </si>
  <si>
    <t>Marktet caps</t>
  </si>
  <si>
    <t>Average costs in the past</t>
  </si>
  <si>
    <t>Avg</t>
  </si>
  <si>
    <t>FTSE Developed World UCITS ETF</t>
  </si>
  <si>
    <t>09-2014 started</t>
  </si>
  <si>
    <t>Vanguard FTSE Emerging Markets UCITS ETF</t>
  </si>
  <si>
    <t>The total ongoing charges figure for the Fund changed on 1 September 2014.</t>
  </si>
  <si>
    <t>Then became 0,25%</t>
  </si>
  <si>
    <t>Bookyear end of June</t>
  </si>
  <si>
    <t>% To lending agent</t>
  </si>
  <si>
    <t>%To fund</t>
  </si>
  <si>
    <t>VWRL - VEVE</t>
  </si>
  <si>
    <t>VFEM</t>
  </si>
  <si>
    <t>Vanguard FTSE Developed World (USD) (VEVE)</t>
  </si>
  <si>
    <t>FTSE Developed gross</t>
  </si>
  <si>
    <t>FTSE Developed net</t>
  </si>
  <si>
    <t>Vanguard FTSE Emerging Markets (USD) (VFEM)</t>
  </si>
  <si>
    <t>FTSE Emerging Index gross</t>
  </si>
  <si>
    <t>FTSE Emerging Index net</t>
  </si>
  <si>
    <t>VEVE</t>
  </si>
  <si>
    <t>2014-2020</t>
  </si>
  <si>
    <t>Large interest income last years (0.02%), but ignoring it for now</t>
  </si>
  <si>
    <t>2015-2020</t>
  </si>
  <si>
    <t>It's a bit higher now (0,03%)</t>
  </si>
  <si>
    <t>Reports 0,07% transaction costs</t>
  </si>
  <si>
    <t>FTSE Emerging Index</t>
  </si>
  <si>
    <t>FTSE Developed Index</t>
  </si>
  <si>
    <t>of total market</t>
  </si>
  <si>
    <t>VFEM + VEVE</t>
  </si>
  <si>
    <t>VFEM + VEVE cheaper</t>
  </si>
  <si>
    <t>Bit on the low side?</t>
  </si>
  <si>
    <t>In later years there is lended to more parties, maybe that's why the lending agent gets more?</t>
  </si>
  <si>
    <t>Index data</t>
  </si>
  <si>
    <t>Data as at: 31 March 2021</t>
  </si>
  <si>
    <t>Same fund as VWCE</t>
  </si>
  <si>
    <t>05-2013 started</t>
  </si>
  <si>
    <t>Lended in euro's but didn’t convert to dollars!</t>
  </si>
  <si>
    <t>FTSE Developed Europe UCITS ETF (EUR) Distributing (VEUR)</t>
  </si>
  <si>
    <t>FTSE Developed Europe Index gross</t>
  </si>
  <si>
    <t>FTSE Developed Europe Index net</t>
  </si>
  <si>
    <t>FTSE Developed Asia Pacific ex Japan UCITS ETF (USD) Distributing (VAPX)</t>
  </si>
  <si>
    <t>FTSE Developed Asia Pacific ex Japan Index gross</t>
  </si>
  <si>
    <t>FTSE Japan UCITS ETF (USD) Distributing (VJPN)</t>
  </si>
  <si>
    <t>FTSE Japan Index gross</t>
  </si>
  <si>
    <t>FTSE Japan Index net</t>
  </si>
  <si>
    <t>FTSE Developed Asia Pacific ex Japan Index net</t>
  </si>
  <si>
    <t>2016-2020</t>
  </si>
  <si>
    <t>Annual report data is a lot higher?</t>
  </si>
  <si>
    <t>It's a bit lower now (0,05%)</t>
  </si>
  <si>
    <t>Reports 0,03% transaction costs</t>
  </si>
  <si>
    <t>Annual report data is higher</t>
  </si>
  <si>
    <t>Annual report data is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</si>
</sst>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0.000"/>
    <numFmt numFmtId="170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70" fontId="1" fillId="0" borderId="0" xfId="3" applyNumberFormat="1" applyFont="1" applyFill="1"/>
    <xf numFmtId="170" fontId="0" fillId="0" borderId="0" xfId="3" applyNumberFormat="1" applyFont="1" applyFill="1"/>
    <xf numFmtId="10" fontId="1" fillId="0" borderId="0" xfId="1" applyNumberFormat="1" applyFont="1" applyFill="1"/>
    <xf numFmtId="10" fontId="0" fillId="0" borderId="0" xfId="1" applyNumberFormat="1" applyFont="1" applyFill="1"/>
    <xf numFmtId="167" fontId="0" fillId="0" borderId="0" xfId="1" applyNumberFormat="1" applyFont="1" applyFill="1"/>
    <xf numFmtId="166" fontId="1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9" fontId="4" fillId="0" borderId="0" xfId="0" applyNumberFormat="1" applyFont="1" applyFill="1"/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167" fontId="0" fillId="0" borderId="0" xfId="0" applyNumberFormat="1"/>
    <xf numFmtId="0" fontId="6" fillId="0" borderId="0" xfId="4"/>
    <xf numFmtId="166" fontId="7" fillId="0" borderId="0" xfId="0" applyNumberFormat="1" applyFont="1"/>
    <xf numFmtId="0" fontId="7" fillId="0" borderId="0" xfId="0" applyFont="1"/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6" fontId="0" fillId="0" borderId="0" xfId="0" applyNumberFormat="1" applyFont="1"/>
    <xf numFmtId="168" fontId="0" fillId="0" borderId="0" xfId="0" applyNumberFormat="1"/>
    <xf numFmtId="2" fontId="0" fillId="0" borderId="0" xfId="1" applyNumberFormat="1" applyFont="1"/>
    <xf numFmtId="16" fontId="0" fillId="0" borderId="0" xfId="0" applyNumberFormat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23"/>
  <sheetViews>
    <sheetView workbookViewId="0"/>
  </sheetViews>
  <sheetFormatPr defaultRowHeight="15" x14ac:dyDescent="0.25"/>
  <cols>
    <col min="2" max="2" width="36.42578125" customWidth="1"/>
    <col min="3" max="3" width="21" customWidth="1"/>
    <col min="4" max="4" width="18.85546875" customWidth="1"/>
    <col min="5" max="5" width="15.14062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s="1" t="s">
        <v>59</v>
      </c>
      <c r="H2" s="3"/>
    </row>
    <row r="3" spans="2:8" x14ac:dyDescent="0.25">
      <c r="B3" t="s">
        <v>17</v>
      </c>
      <c r="C3" s="7">
        <v>69827178</v>
      </c>
    </row>
    <row r="4" spans="2:8" x14ac:dyDescent="0.25">
      <c r="B4" t="s">
        <v>18</v>
      </c>
      <c r="C4" s="7">
        <v>62273023</v>
      </c>
      <c r="D4" s="6">
        <f>C4/C3</f>
        <v>0.89181640707290222</v>
      </c>
      <c r="E4" t="s">
        <v>86</v>
      </c>
      <c r="G4" t="s">
        <v>91</v>
      </c>
    </row>
    <row r="5" spans="2:8" x14ac:dyDescent="0.25">
      <c r="C5" s="7"/>
      <c r="D5" s="6"/>
      <c r="G5" t="s">
        <v>92</v>
      </c>
    </row>
    <row r="6" spans="2:8" x14ac:dyDescent="0.25">
      <c r="B6" t="s">
        <v>85</v>
      </c>
      <c r="C6" s="7">
        <v>55204907</v>
      </c>
      <c r="D6" s="6">
        <f>C6/C8</f>
        <v>0.88649794630975276</v>
      </c>
    </row>
    <row r="7" spans="2:8" x14ac:dyDescent="0.25">
      <c r="B7" t="s">
        <v>84</v>
      </c>
      <c r="C7" s="7">
        <v>7068116</v>
      </c>
      <c r="D7" s="6">
        <f>C7/C8</f>
        <v>0.11350205369024723</v>
      </c>
      <c r="G7" s="5"/>
    </row>
    <row r="8" spans="2:8" x14ac:dyDescent="0.25">
      <c r="C8" s="41">
        <f>SUM(C6:C7)</f>
        <v>62273023</v>
      </c>
    </row>
    <row r="11" spans="2:8" x14ac:dyDescent="0.25">
      <c r="B11" t="s">
        <v>57</v>
      </c>
      <c r="C11" s="1" t="s">
        <v>58</v>
      </c>
      <c r="E11" s="1"/>
      <c r="F11" s="1"/>
    </row>
    <row r="12" spans="2:8" x14ac:dyDescent="0.25">
      <c r="B12" s="1" t="s">
        <v>78</v>
      </c>
      <c r="C12" s="5">
        <f>VEVE!C42</f>
        <v>1.3661175329214652E-3</v>
      </c>
      <c r="E12" s="5"/>
      <c r="F12" s="6"/>
    </row>
    <row r="13" spans="2:8" x14ac:dyDescent="0.25">
      <c r="B13" s="1" t="s">
        <v>71</v>
      </c>
      <c r="C13" s="5">
        <f>VFEM!C42</f>
        <v>2.6104460039090009E-3</v>
      </c>
      <c r="E13" s="5"/>
      <c r="F13" s="6"/>
    </row>
    <row r="14" spans="2:8" x14ac:dyDescent="0.25">
      <c r="B14" s="1"/>
      <c r="C14" s="5"/>
      <c r="E14" s="5"/>
      <c r="F14" s="6"/>
    </row>
    <row r="15" spans="2:8" x14ac:dyDescent="0.25">
      <c r="B15" s="1" t="s">
        <v>2</v>
      </c>
      <c r="C15" s="5">
        <f>VWRL!C42</f>
        <v>2.3428641987269685E-3</v>
      </c>
      <c r="D15" s="5"/>
    </row>
    <row r="16" spans="2:8" x14ac:dyDescent="0.25">
      <c r="B16" s="1" t="s">
        <v>87</v>
      </c>
      <c r="C16" s="5">
        <f>(C12*$D$6)+(C13*$D$7)</f>
        <v>1.5073513698437957E-3</v>
      </c>
      <c r="D16" s="5"/>
    </row>
    <row r="18" spans="2:8" x14ac:dyDescent="0.25">
      <c r="B18" s="1" t="s">
        <v>88</v>
      </c>
      <c r="C18" s="9">
        <f>C15-C16</f>
        <v>8.3551282888317288E-4</v>
      </c>
    </row>
    <row r="20" spans="2:8" x14ac:dyDescent="0.25">
      <c r="B20" s="1"/>
    </row>
    <row r="21" spans="2:8" x14ac:dyDescent="0.25">
      <c r="C21" s="42"/>
      <c r="D21" s="42"/>
      <c r="E21" s="42"/>
      <c r="F21" s="42"/>
      <c r="G21" s="42"/>
      <c r="H21" s="42"/>
    </row>
    <row r="22" spans="2:8" x14ac:dyDescent="0.25">
      <c r="C22" s="9"/>
    </row>
    <row r="23" spans="2:8" x14ac:dyDescent="0.25">
      <c r="C23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DF3-38FC-48D2-A2F4-45E9F93EAE67}">
  <dimension ref="B1:F10"/>
  <sheetViews>
    <sheetView workbookViewId="0">
      <selection activeCell="D31" sqref="D31"/>
    </sheetView>
  </sheetViews>
  <sheetFormatPr defaultRowHeight="15" x14ac:dyDescent="0.25"/>
  <cols>
    <col min="2" max="2" width="24.7109375" customWidth="1"/>
  </cols>
  <sheetData>
    <row r="1" spans="2:6" x14ac:dyDescent="0.25">
      <c r="C1" s="1">
        <v>2017</v>
      </c>
      <c r="D1" s="1">
        <v>2018</v>
      </c>
      <c r="E1" s="1">
        <v>2019</v>
      </c>
      <c r="F1" s="1">
        <v>2020</v>
      </c>
    </row>
    <row r="2" spans="2:6" x14ac:dyDescent="0.25">
      <c r="B2" s="1" t="s">
        <v>70</v>
      </c>
      <c r="C2" s="1"/>
      <c r="D2" s="1"/>
      <c r="E2" s="1"/>
      <c r="F2" s="1"/>
    </row>
    <row r="3" spans="2:6" x14ac:dyDescent="0.25">
      <c r="B3" s="2" t="s">
        <v>68</v>
      </c>
      <c r="C3" s="8">
        <v>0.05</v>
      </c>
      <c r="D3" s="8">
        <v>0.05</v>
      </c>
      <c r="E3" s="8">
        <v>0.06</v>
      </c>
      <c r="F3" s="8">
        <v>0.08</v>
      </c>
    </row>
    <row r="4" spans="2:6" x14ac:dyDescent="0.25">
      <c r="B4" s="2" t="s">
        <v>69</v>
      </c>
      <c r="C4" s="8">
        <f>100%-C3</f>
        <v>0.95</v>
      </c>
      <c r="D4" s="8">
        <f t="shared" ref="D4:F4" si="0">100%-D3</f>
        <v>0.95</v>
      </c>
      <c r="E4" s="8">
        <f t="shared" si="0"/>
        <v>0.94</v>
      </c>
      <c r="F4" s="8">
        <f t="shared" si="0"/>
        <v>0.92</v>
      </c>
    </row>
    <row r="6" spans="2:6" x14ac:dyDescent="0.25">
      <c r="B6" t="s">
        <v>71</v>
      </c>
    </row>
    <row r="7" spans="2:6" x14ac:dyDescent="0.25">
      <c r="B7" s="2" t="s">
        <v>68</v>
      </c>
      <c r="C7" s="8">
        <v>0.05</v>
      </c>
      <c r="D7" s="8">
        <v>0.05</v>
      </c>
      <c r="E7" s="8">
        <v>7.0000000000000007E-2</v>
      </c>
      <c r="F7" s="8">
        <v>7.0000000000000007E-2</v>
      </c>
    </row>
    <row r="8" spans="2:6" x14ac:dyDescent="0.25">
      <c r="B8" s="2" t="s">
        <v>69</v>
      </c>
      <c r="C8" s="8">
        <f>100%-C7</f>
        <v>0.95</v>
      </c>
      <c r="D8" s="8">
        <f t="shared" ref="D8" si="1">100%-D7</f>
        <v>0.95</v>
      </c>
      <c r="E8" s="8">
        <f t="shared" ref="E8:F8" si="2">100%-E7</f>
        <v>0.92999999999999994</v>
      </c>
      <c r="F8" s="8">
        <f t="shared" si="2"/>
        <v>0.92999999999999994</v>
      </c>
    </row>
    <row r="10" spans="2:6" x14ac:dyDescent="0.25">
      <c r="B10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N46"/>
  <sheetViews>
    <sheetView topLeftCell="B1" zoomScaleNormal="100" workbookViewId="0">
      <selection activeCell="J29" sqref="J29"/>
    </sheetView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0" width="16.28515625" customWidth="1"/>
    <col min="11" max="11" width="15.42578125" customWidth="1"/>
  </cols>
  <sheetData>
    <row r="2" spans="2:14" x14ac:dyDescent="0.25">
      <c r="B2" s="11" t="s">
        <v>4</v>
      </c>
      <c r="C2" s="11"/>
      <c r="D2" s="12"/>
      <c r="E2" s="12"/>
      <c r="F2" s="12"/>
      <c r="G2" s="12"/>
      <c r="H2" s="12"/>
      <c r="I2" s="12"/>
      <c r="J2" s="12"/>
      <c r="K2" s="12"/>
    </row>
    <row r="3" spans="2:14" x14ac:dyDescent="0.25">
      <c r="B3" t="s">
        <v>46</v>
      </c>
      <c r="N3" t="s">
        <v>54</v>
      </c>
    </row>
    <row r="4" spans="2:14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 t="s">
        <v>38</v>
      </c>
      <c r="N4" s="33" t="s">
        <v>55</v>
      </c>
    </row>
    <row r="5" spans="2:14" x14ac:dyDescent="0.25">
      <c r="B5" t="s">
        <v>34</v>
      </c>
      <c r="C5" s="7">
        <v>114950407</v>
      </c>
      <c r="D5" s="21">
        <v>474931514</v>
      </c>
      <c r="E5" s="21">
        <v>876937458</v>
      </c>
      <c r="F5" s="22">
        <v>937471365</v>
      </c>
      <c r="G5" s="22">
        <v>1295979632</v>
      </c>
      <c r="H5" s="22">
        <v>2102651548</v>
      </c>
      <c r="I5" s="22">
        <v>2704960870</v>
      </c>
      <c r="J5" s="22">
        <v>5594999708</v>
      </c>
      <c r="K5" s="1"/>
      <c r="N5" t="s">
        <v>56</v>
      </c>
    </row>
    <row r="6" spans="2:14" x14ac:dyDescent="0.25">
      <c r="B6" t="s">
        <v>8</v>
      </c>
      <c r="C6" s="7"/>
      <c r="D6" s="21">
        <v>615977</v>
      </c>
      <c r="E6" s="21">
        <v>1698292</v>
      </c>
      <c r="F6" s="22">
        <v>2296151</v>
      </c>
      <c r="G6" s="22">
        <v>2711104</v>
      </c>
      <c r="H6" s="22">
        <v>4167659</v>
      </c>
      <c r="I6" s="22">
        <v>5770056</v>
      </c>
      <c r="J6" s="22">
        <v>9632698</v>
      </c>
      <c r="N6" t="s">
        <v>89</v>
      </c>
    </row>
    <row r="7" spans="2:14" x14ac:dyDescent="0.25">
      <c r="B7" t="s">
        <v>35</v>
      </c>
      <c r="D7" s="16">
        <v>2.5000000000000001E-3</v>
      </c>
      <c r="E7" s="16">
        <v>2.5000000000000001E-3</v>
      </c>
      <c r="F7" s="16">
        <v>2.5000000000000001E-3</v>
      </c>
      <c r="G7" s="16">
        <v>2.5000000000000001E-3</v>
      </c>
      <c r="H7" s="16">
        <v>2.5000000000000001E-3</v>
      </c>
      <c r="I7" s="16">
        <v>2.5000000000000001E-3</v>
      </c>
      <c r="J7" s="16">
        <f>((114/366)*0.25%)+((252/366)*0.22%)</f>
        <v>2.29344262295082E-3</v>
      </c>
      <c r="K7" s="5">
        <f>AVERAGE(D7:J7)</f>
        <v>2.4704918032786888E-3</v>
      </c>
    </row>
    <row r="8" spans="2:14" x14ac:dyDescent="0.25">
      <c r="B8" t="s">
        <v>36</v>
      </c>
      <c r="C8" s="7"/>
      <c r="D8" s="21">
        <f>(C5+D5)/2</f>
        <v>294940960.5</v>
      </c>
      <c r="E8" s="21">
        <f t="shared" ref="E8:J8" si="0">(D5+E5)/2</f>
        <v>675934486</v>
      </c>
      <c r="F8" s="21">
        <f t="shared" si="0"/>
        <v>907204411.5</v>
      </c>
      <c r="G8" s="21">
        <f t="shared" si="0"/>
        <v>1116725498.5</v>
      </c>
      <c r="H8" s="21">
        <f t="shared" si="0"/>
        <v>1699315590</v>
      </c>
      <c r="I8" s="21">
        <f t="shared" si="0"/>
        <v>2403806209</v>
      </c>
      <c r="J8" s="21">
        <f t="shared" si="0"/>
        <v>4149980289</v>
      </c>
      <c r="K8" s="5"/>
      <c r="N8" t="s">
        <v>80</v>
      </c>
    </row>
    <row r="9" spans="2:14" x14ac:dyDescent="0.25">
      <c r="B9" t="s">
        <v>37</v>
      </c>
      <c r="C9" s="7"/>
      <c r="D9" s="22">
        <f>D6/D7</f>
        <v>246390800</v>
      </c>
      <c r="E9" s="22">
        <f t="shared" ref="E9:J9" si="1">E6/E7</f>
        <v>679316800</v>
      </c>
      <c r="F9" s="22">
        <f t="shared" si="1"/>
        <v>918460400</v>
      </c>
      <c r="G9" s="22">
        <f t="shared" si="1"/>
        <v>1084441600</v>
      </c>
      <c r="H9" s="22">
        <f t="shared" si="1"/>
        <v>1667063600</v>
      </c>
      <c r="I9" s="22">
        <f t="shared" si="1"/>
        <v>2308022400</v>
      </c>
      <c r="J9" s="22">
        <f t="shared" si="1"/>
        <v>4200104203.0021439</v>
      </c>
      <c r="K9" s="5"/>
    </row>
    <row r="10" spans="2:14" x14ac:dyDescent="0.25">
      <c r="C10" s="7"/>
      <c r="D10" s="22"/>
      <c r="E10" s="22"/>
      <c r="F10" s="22"/>
      <c r="G10" s="22"/>
      <c r="H10" s="22"/>
      <c r="I10" s="22"/>
      <c r="J10" s="22"/>
      <c r="K10" s="5"/>
      <c r="N10" t="s">
        <v>53</v>
      </c>
    </row>
    <row r="11" spans="2:14" x14ac:dyDescent="0.25">
      <c r="B11" t="s">
        <v>39</v>
      </c>
      <c r="C11" s="7"/>
      <c r="D11" s="22">
        <v>693</v>
      </c>
      <c r="E11" s="22">
        <v>1325</v>
      </c>
      <c r="F11" s="22">
        <v>6885</v>
      </c>
      <c r="G11" s="22">
        <v>36075</v>
      </c>
      <c r="H11" s="22">
        <v>208125</v>
      </c>
      <c r="I11" s="22">
        <v>542060</v>
      </c>
      <c r="J11" s="22">
        <v>601766</v>
      </c>
      <c r="K11" s="5"/>
    </row>
    <row r="12" spans="2:14" x14ac:dyDescent="0.25">
      <c r="B12" t="s">
        <v>40</v>
      </c>
      <c r="C12" s="7"/>
      <c r="D12" s="21">
        <v>2527</v>
      </c>
      <c r="E12" s="21">
        <v>2832</v>
      </c>
      <c r="F12" s="22">
        <v>13695</v>
      </c>
      <c r="G12" s="22">
        <v>1260</v>
      </c>
      <c r="H12" s="22">
        <v>6198</v>
      </c>
      <c r="I12" s="22">
        <v>0</v>
      </c>
      <c r="J12" s="22"/>
      <c r="K12" s="5"/>
      <c r="N12" t="s">
        <v>93</v>
      </c>
    </row>
    <row r="13" spans="2:14" x14ac:dyDescent="0.25">
      <c r="B13" t="s">
        <v>41</v>
      </c>
      <c r="C13" s="7"/>
      <c r="D13" s="21">
        <f>SUM(D11:D12)</f>
        <v>3220</v>
      </c>
      <c r="E13" s="21">
        <f t="shared" ref="E13:J13" si="2">SUM(E11:E12)</f>
        <v>4157</v>
      </c>
      <c r="F13" s="21">
        <f t="shared" si="2"/>
        <v>20580</v>
      </c>
      <c r="G13" s="21">
        <f t="shared" si="2"/>
        <v>37335</v>
      </c>
      <c r="H13" s="21">
        <f t="shared" si="2"/>
        <v>214323</v>
      </c>
      <c r="I13" s="21">
        <f t="shared" si="2"/>
        <v>542060</v>
      </c>
      <c r="J13" s="21">
        <f t="shared" si="2"/>
        <v>601766</v>
      </c>
      <c r="K13" s="5"/>
    </row>
    <row r="14" spans="2:14" x14ac:dyDescent="0.25">
      <c r="B14" t="s">
        <v>3</v>
      </c>
      <c r="C14" s="7"/>
      <c r="D14" s="19">
        <f>D13/D9</f>
        <v>1.3068669771760959E-5</v>
      </c>
      <c r="E14" s="19">
        <f t="shared" ref="E14:J14" si="3">E13/E9</f>
        <v>6.1193834746910427E-6</v>
      </c>
      <c r="F14" s="19">
        <f t="shared" si="3"/>
        <v>2.2407062950128279E-5</v>
      </c>
      <c r="G14" s="19">
        <f t="shared" si="3"/>
        <v>3.4427856696017567E-5</v>
      </c>
      <c r="H14" s="19">
        <f t="shared" si="3"/>
        <v>1.285631813927195E-4</v>
      </c>
      <c r="I14" s="19">
        <f t="shared" si="3"/>
        <v>2.34859072424947E-4</v>
      </c>
      <c r="J14" s="19">
        <f t="shared" si="3"/>
        <v>1.4327406438389569E-4</v>
      </c>
      <c r="K14" s="34" t="s">
        <v>45</v>
      </c>
    </row>
    <row r="15" spans="2:14" x14ac:dyDescent="0.25">
      <c r="D15" s="17"/>
      <c r="E15" s="17"/>
      <c r="F15" s="17"/>
      <c r="G15" s="17"/>
      <c r="H15" s="17"/>
      <c r="I15" s="17"/>
      <c r="J15" s="17"/>
      <c r="K15" s="5"/>
    </row>
    <row r="16" spans="2:14" x14ac:dyDescent="0.25">
      <c r="B16" t="s">
        <v>0</v>
      </c>
      <c r="C16" s="7"/>
      <c r="D16" s="7">
        <v>7496554</v>
      </c>
      <c r="E16" s="7">
        <v>17837465</v>
      </c>
      <c r="F16" s="7">
        <v>25181502</v>
      </c>
      <c r="G16" s="7">
        <v>28329734</v>
      </c>
      <c r="H16" s="7">
        <v>43044701</v>
      </c>
      <c r="I16" s="7">
        <v>64119281</v>
      </c>
      <c r="J16" s="7">
        <v>100819368</v>
      </c>
      <c r="K16" s="5"/>
    </row>
    <row r="17" spans="2:11" x14ac:dyDescent="0.25">
      <c r="B17" t="s">
        <v>1</v>
      </c>
      <c r="C17" s="7"/>
      <c r="D17" s="7">
        <v>734078</v>
      </c>
      <c r="E17" s="7">
        <v>1970630</v>
      </c>
      <c r="F17" s="7">
        <v>3037267</v>
      </c>
      <c r="G17" s="7">
        <v>3337917</v>
      </c>
      <c r="H17" s="7">
        <v>5268891</v>
      </c>
      <c r="I17" s="7">
        <v>7444601</v>
      </c>
      <c r="J17" s="7">
        <v>12482600</v>
      </c>
      <c r="K17" s="5"/>
    </row>
    <row r="18" spans="2:11" x14ac:dyDescent="0.25">
      <c r="B18" t="s">
        <v>42</v>
      </c>
      <c r="D18" s="18">
        <f>D17/D16</f>
        <v>9.7922058588519476E-2</v>
      </c>
      <c r="E18" s="18">
        <f t="shared" ref="E18:J18" si="4">E17/E16</f>
        <v>0.11047702125834585</v>
      </c>
      <c r="F18" s="18">
        <f t="shared" si="4"/>
        <v>0.12061500541151199</v>
      </c>
      <c r="G18" s="18">
        <f t="shared" si="4"/>
        <v>0.11782380307559541</v>
      </c>
      <c r="H18" s="18">
        <f t="shared" si="4"/>
        <v>0.12240510161750223</v>
      </c>
      <c r="I18" s="18">
        <f t="shared" si="4"/>
        <v>0.11610549719046288</v>
      </c>
      <c r="J18" s="18">
        <f t="shared" si="4"/>
        <v>0.12381152795958808</v>
      </c>
      <c r="K18" s="5">
        <f>AVERAGE(D18:J18)</f>
        <v>0.11559428787164658</v>
      </c>
    </row>
    <row r="19" spans="2:11" x14ac:dyDescent="0.25">
      <c r="B19" t="s">
        <v>43</v>
      </c>
      <c r="D19" s="17">
        <f t="shared" ref="D19:J19" si="5">D17/D9</f>
        <v>2.9793239033275593E-3</v>
      </c>
      <c r="E19" s="17">
        <f t="shared" si="5"/>
        <v>2.9008998452562927E-3</v>
      </c>
      <c r="F19" s="17">
        <f t="shared" si="5"/>
        <v>3.3069112179469032E-3</v>
      </c>
      <c r="G19" s="17">
        <f t="shared" si="5"/>
        <v>3.0780053070631006E-3</v>
      </c>
      <c r="H19" s="17">
        <f t="shared" si="5"/>
        <v>3.1605818758204548E-3</v>
      </c>
      <c r="I19" s="17">
        <f t="shared" si="5"/>
        <v>3.2255323865140995E-3</v>
      </c>
      <c r="J19" s="17">
        <f t="shared" si="5"/>
        <v>2.9719738836664353E-3</v>
      </c>
      <c r="K19" s="5">
        <f>AVERAGE(D19:J19)</f>
        <v>3.0890326313706916E-3</v>
      </c>
    </row>
    <row r="20" spans="2:11" x14ac:dyDescent="0.25">
      <c r="D20" s="17"/>
      <c r="E20" s="17"/>
      <c r="F20" s="17"/>
      <c r="G20" s="17"/>
      <c r="H20" s="17"/>
      <c r="I20" s="17"/>
      <c r="J20" s="17"/>
      <c r="K20" s="5"/>
    </row>
    <row r="21" spans="2:11" x14ac:dyDescent="0.25">
      <c r="B21" t="s">
        <v>19</v>
      </c>
      <c r="D21" s="22">
        <v>0</v>
      </c>
      <c r="E21" s="22">
        <v>158</v>
      </c>
      <c r="F21" s="22">
        <v>1396</v>
      </c>
      <c r="G21" s="22">
        <v>2885</v>
      </c>
      <c r="H21" s="22">
        <v>9018</v>
      </c>
      <c r="I21" s="22">
        <v>5758</v>
      </c>
      <c r="J21" s="22">
        <v>20212</v>
      </c>
    </row>
    <row r="22" spans="2:11" x14ac:dyDescent="0.25">
      <c r="B22" t="s">
        <v>9</v>
      </c>
      <c r="D22" s="22">
        <v>9869</v>
      </c>
      <c r="E22" s="22">
        <v>21633</v>
      </c>
      <c r="F22" s="22">
        <v>10148</v>
      </c>
      <c r="G22" s="22">
        <v>13195</v>
      </c>
      <c r="H22" s="22">
        <v>12842</v>
      </c>
      <c r="I22" s="22">
        <v>2048</v>
      </c>
      <c r="J22" s="22">
        <v>1061</v>
      </c>
      <c r="K22" s="5"/>
    </row>
    <row r="23" spans="2:11" x14ac:dyDescent="0.25">
      <c r="B23" t="s">
        <v>3</v>
      </c>
      <c r="D23" s="20">
        <f>(D22+D21)/D9</f>
        <v>4.0054255272518293E-5</v>
      </c>
      <c r="E23" s="20">
        <f>(E22+E21)/E9</f>
        <v>3.2077817006733823E-5</v>
      </c>
      <c r="F23" s="20">
        <f t="shared" ref="F23:J23" si="6">(F22+F21)/F9</f>
        <v>1.2568859800596738E-5</v>
      </c>
      <c r="G23" s="20">
        <f t="shared" si="6"/>
        <v>1.4827907745331792E-5</v>
      </c>
      <c r="H23" s="20">
        <f t="shared" si="6"/>
        <v>1.3112877037204819E-5</v>
      </c>
      <c r="I23" s="20">
        <f t="shared" si="6"/>
        <v>3.3821162220955914E-6</v>
      </c>
      <c r="J23" s="20">
        <f t="shared" si="6"/>
        <v>5.0648743392591351E-6</v>
      </c>
      <c r="K23" s="34" t="s">
        <v>45</v>
      </c>
    </row>
    <row r="24" spans="2:11" x14ac:dyDescent="0.25">
      <c r="D24" s="17"/>
      <c r="E24" s="17"/>
      <c r="F24" s="17"/>
      <c r="G24" s="17"/>
      <c r="H24" s="17"/>
      <c r="I24" s="17"/>
      <c r="J24" s="17"/>
      <c r="K24" s="5"/>
    </row>
    <row r="25" spans="2:11" x14ac:dyDescent="0.25">
      <c r="B25" t="s">
        <v>10</v>
      </c>
      <c r="C25" s="7"/>
      <c r="D25" s="22"/>
      <c r="E25" s="22"/>
      <c r="F25" s="22"/>
      <c r="G25" s="22">
        <v>984905</v>
      </c>
      <c r="H25" s="22">
        <v>3201782</v>
      </c>
      <c r="I25" s="22">
        <v>7704750</v>
      </c>
      <c r="J25" s="22">
        <v>46764163</v>
      </c>
      <c r="K25" s="5"/>
    </row>
    <row r="26" spans="2:11" x14ac:dyDescent="0.25">
      <c r="D26" s="15"/>
      <c r="E26" s="15"/>
      <c r="F26" s="15"/>
      <c r="G26" s="17">
        <f>G25/G5</f>
        <v>7.5996950544667203E-4</v>
      </c>
      <c r="H26" s="17">
        <f t="shared" ref="H26:J26" si="7">H25/H5</f>
        <v>1.5227354256797665E-3</v>
      </c>
      <c r="I26" s="17">
        <f t="shared" si="7"/>
        <v>2.8483776181205903E-3</v>
      </c>
      <c r="J26" s="17">
        <f t="shared" si="7"/>
        <v>8.3582065130645752E-3</v>
      </c>
      <c r="K26" s="5"/>
    </row>
    <row r="27" spans="2:11" x14ac:dyDescent="0.25">
      <c r="D27" s="15"/>
      <c r="E27" s="15"/>
      <c r="F27" s="15"/>
      <c r="G27" s="15"/>
      <c r="H27" s="15"/>
      <c r="I27" s="15"/>
      <c r="J27" s="15"/>
      <c r="K27" s="5"/>
    </row>
    <row r="28" spans="2:11" x14ac:dyDescent="0.25">
      <c r="B28" t="s">
        <v>5</v>
      </c>
      <c r="C28" s="7"/>
      <c r="F28" s="22"/>
      <c r="G28" s="22">
        <v>44238</v>
      </c>
      <c r="H28" s="22">
        <v>121589</v>
      </c>
      <c r="I28" s="22">
        <v>263359</v>
      </c>
      <c r="J28" s="22">
        <v>543754</v>
      </c>
      <c r="K28" s="5"/>
    </row>
    <row r="29" spans="2:11" x14ac:dyDescent="0.25">
      <c r="B29" t="s">
        <v>6</v>
      </c>
      <c r="D29" s="19">
        <f>D28/D9</f>
        <v>0</v>
      </c>
      <c r="E29" s="19">
        <f t="shared" ref="E29:J29" si="8">E28/E9</f>
        <v>0</v>
      </c>
      <c r="F29" s="19">
        <f t="shared" si="8"/>
        <v>0</v>
      </c>
      <c r="G29" s="19">
        <f t="shared" si="8"/>
        <v>4.0793344703854958E-5</v>
      </c>
      <c r="H29" s="19">
        <f t="shared" si="8"/>
        <v>7.2936029555201135E-5</v>
      </c>
      <c r="I29" s="19">
        <f t="shared" si="8"/>
        <v>1.1410591162373468E-4</v>
      </c>
      <c r="J29" s="19">
        <f t="shared" si="8"/>
        <v>1.294620261114799E-4</v>
      </c>
      <c r="K29" s="4">
        <f>AVERAGE(D29:J29)</f>
        <v>5.1042473142038668E-5</v>
      </c>
    </row>
    <row r="30" spans="2:11" x14ac:dyDescent="0.25">
      <c r="D30" s="14"/>
      <c r="E30" s="14"/>
      <c r="F30" s="15"/>
      <c r="G30" s="15"/>
      <c r="H30" s="15"/>
      <c r="I30" s="15"/>
      <c r="J30" s="15"/>
      <c r="K30" s="5"/>
    </row>
    <row r="31" spans="2:11" x14ac:dyDescent="0.25">
      <c r="B31" t="s">
        <v>11</v>
      </c>
      <c r="C31" s="7"/>
      <c r="D31" s="7">
        <v>282714</v>
      </c>
      <c r="E31" s="21">
        <v>332383</v>
      </c>
      <c r="F31" s="22">
        <v>250041</v>
      </c>
      <c r="G31" s="22">
        <v>214668</v>
      </c>
      <c r="H31" s="22">
        <v>556031</v>
      </c>
      <c r="I31" s="22">
        <v>394506</v>
      </c>
      <c r="J31" s="22">
        <v>1569681</v>
      </c>
      <c r="K31" s="5"/>
    </row>
    <row r="32" spans="2:11" x14ac:dyDescent="0.25">
      <c r="B32" t="s">
        <v>44</v>
      </c>
      <c r="D32" s="17">
        <f t="shared" ref="D32:J32" si="9">D31/D9</f>
        <v>1.1474210887744186E-3</v>
      </c>
      <c r="E32" s="17">
        <f t="shared" si="9"/>
        <v>4.8929012207559125E-4</v>
      </c>
      <c r="F32" s="17">
        <f t="shared" si="9"/>
        <v>2.7223928217264459E-4</v>
      </c>
      <c r="G32" s="17">
        <f t="shared" si="9"/>
        <v>1.979525684001794E-4</v>
      </c>
      <c r="H32" s="17">
        <f t="shared" si="9"/>
        <v>3.335391643126273E-4</v>
      </c>
      <c r="I32" s="20">
        <f t="shared" si="9"/>
        <v>1.7092815043736145E-4</v>
      </c>
      <c r="J32" s="20">
        <f t="shared" si="9"/>
        <v>3.7372429923953455E-4</v>
      </c>
      <c r="K32" s="5">
        <f>AVERAGE(D32:J32)</f>
        <v>4.2644209648747949E-4</v>
      </c>
    </row>
    <row r="33" spans="2:11" x14ac:dyDescent="0.25">
      <c r="D33" s="17"/>
      <c r="E33" s="17"/>
      <c r="F33" s="17"/>
      <c r="G33" s="17"/>
      <c r="H33" s="17"/>
      <c r="I33" s="20"/>
      <c r="J33" s="20"/>
      <c r="K33" s="5"/>
    </row>
    <row r="34" spans="2:11" x14ac:dyDescent="0.25">
      <c r="B34" t="s">
        <v>47</v>
      </c>
      <c r="D34" s="17"/>
      <c r="E34" s="17">
        <v>1E-4</v>
      </c>
      <c r="F34" s="17">
        <v>0</v>
      </c>
      <c r="G34" s="17">
        <v>0</v>
      </c>
      <c r="H34" s="17">
        <v>2.0000000000000001E-4</v>
      </c>
      <c r="I34" s="17">
        <v>2.0000000000000001E-4</v>
      </c>
      <c r="J34" s="17">
        <v>1E-4</v>
      </c>
      <c r="K34" s="5"/>
    </row>
    <row r="35" spans="2:11" x14ac:dyDescent="0.25">
      <c r="D35" s="17"/>
      <c r="E35" s="17"/>
      <c r="F35" s="17"/>
      <c r="G35" s="17"/>
      <c r="H35" s="17"/>
      <c r="I35" s="17"/>
      <c r="J35" s="17"/>
      <c r="K35" s="5"/>
    </row>
    <row r="36" spans="2:11" x14ac:dyDescent="0.25">
      <c r="K36" s="20"/>
    </row>
    <row r="37" spans="2:11" x14ac:dyDescent="0.25">
      <c r="B37" t="s">
        <v>60</v>
      </c>
      <c r="C37" s="5">
        <f>K7+K19-K29+K32</f>
        <v>5.934924057994821E-3</v>
      </c>
      <c r="D37" t="s">
        <v>79</v>
      </c>
      <c r="F37" s="10"/>
      <c r="G37" s="10"/>
      <c r="H37" s="20"/>
      <c r="I37" s="20"/>
      <c r="J37" s="20"/>
      <c r="K37" s="20"/>
    </row>
    <row r="38" spans="2:11" x14ac:dyDescent="0.25">
      <c r="B38" t="s">
        <v>7</v>
      </c>
      <c r="C38" s="5">
        <f>AVERAGE(GTD!D5:J5)/100</f>
        <v>5.7857142857142855E-3</v>
      </c>
      <c r="D38" t="s">
        <v>79</v>
      </c>
    </row>
    <row r="39" spans="2:11" x14ac:dyDescent="0.25">
      <c r="B39" t="s">
        <v>48</v>
      </c>
      <c r="C39" s="5">
        <f>C38-C37</f>
        <v>-1.492097722805355E-4</v>
      </c>
    </row>
    <row r="41" spans="2:11" x14ac:dyDescent="0.25">
      <c r="B41" s="1" t="s">
        <v>49</v>
      </c>
      <c r="C41" s="13">
        <f>0.22%+K19-J29+AVERAGE(I32:J32)</f>
        <v>5.4318968300976602E-3</v>
      </c>
      <c r="E41" s="4"/>
    </row>
    <row r="42" spans="2:11" x14ac:dyDescent="0.25">
      <c r="B42" s="1" t="s">
        <v>50</v>
      </c>
      <c r="C42" s="13">
        <f>C41-K19</f>
        <v>2.3428641987269685E-3</v>
      </c>
    </row>
    <row r="43" spans="2:11" x14ac:dyDescent="0.25">
      <c r="B43" s="1"/>
      <c r="C43" s="13"/>
    </row>
    <row r="44" spans="2:11" x14ac:dyDescent="0.25">
      <c r="B44" s="2" t="s">
        <v>51</v>
      </c>
      <c r="C44" s="13">
        <f>C41-C37</f>
        <v>-5.0302722789716085E-4</v>
      </c>
    </row>
    <row r="45" spans="2:11" x14ac:dyDescent="0.25">
      <c r="B45" s="1" t="s">
        <v>52</v>
      </c>
      <c r="C45" s="13">
        <f>C38+C44</f>
        <v>5.2826870578171247E-3</v>
      </c>
      <c r="E45" s="10"/>
      <c r="F45" s="10"/>
      <c r="G45" s="10"/>
      <c r="H45" s="9"/>
      <c r="I45" s="9"/>
      <c r="J45" s="9"/>
      <c r="K45" s="9"/>
    </row>
    <row r="46" spans="2:11" x14ac:dyDescent="0.25">
      <c r="E46" s="10"/>
      <c r="F46" s="10"/>
      <c r="G46" s="10"/>
      <c r="H46" s="9"/>
      <c r="I46" s="9"/>
      <c r="J46" s="9"/>
      <c r="K46" s="9"/>
    </row>
  </sheetData>
  <hyperlinks>
    <hyperlink ref="N4" r:id="rId1" xr:uid="{911E47AA-E186-4149-96C4-2D67C09D0A9A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CA73-4DF5-92DD-8F9EBDED894B}">
  <dimension ref="B2:L46"/>
  <sheetViews>
    <sheetView zoomScaleNormal="100" workbookViewId="0"/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62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63</v>
      </c>
      <c r="L3" t="s">
        <v>54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33" t="s">
        <v>55</v>
      </c>
    </row>
    <row r="5" spans="2:12" x14ac:dyDescent="0.25">
      <c r="B5" t="s">
        <v>34</v>
      </c>
      <c r="C5" s="21">
        <v>36748312</v>
      </c>
      <c r="D5" s="22">
        <v>62180178</v>
      </c>
      <c r="E5" s="22">
        <v>110225318</v>
      </c>
      <c r="F5" s="22">
        <v>192982164</v>
      </c>
      <c r="G5" s="22">
        <v>350661628</v>
      </c>
      <c r="H5" s="22">
        <v>564482029</v>
      </c>
      <c r="I5" s="1"/>
      <c r="L5" t="s">
        <v>56</v>
      </c>
    </row>
    <row r="6" spans="2:12" x14ac:dyDescent="0.25">
      <c r="B6" t="s">
        <v>8</v>
      </c>
      <c r="C6" s="21">
        <v>40773</v>
      </c>
      <c r="D6" s="22">
        <v>85228</v>
      </c>
      <c r="E6" s="22">
        <v>145838</v>
      </c>
      <c r="F6" s="22">
        <v>276479</v>
      </c>
      <c r="G6" s="22">
        <v>484895</v>
      </c>
      <c r="H6" s="22">
        <v>570934</v>
      </c>
      <c r="L6" t="s">
        <v>82</v>
      </c>
    </row>
    <row r="7" spans="2:12" x14ac:dyDescent="0.25">
      <c r="B7" t="s">
        <v>35</v>
      </c>
      <c r="C7" s="16">
        <v>1.8E-3</v>
      </c>
      <c r="D7" s="16">
        <v>1.8E-3</v>
      </c>
      <c r="E7" s="16">
        <v>1.8E-3</v>
      </c>
      <c r="F7" s="16">
        <v>1.8E-3</v>
      </c>
      <c r="G7" s="16">
        <v>1.8E-3</v>
      </c>
      <c r="H7" s="16">
        <f>((114/366)*0.18%)+((252/366)*0.12%)</f>
        <v>1.3868852459016394E-3</v>
      </c>
      <c r="I7" s="5">
        <f>AVERAGE(C7:H7)</f>
        <v>1.7311475409836064E-3</v>
      </c>
    </row>
    <row r="8" spans="2:12" x14ac:dyDescent="0.25">
      <c r="B8" t="s">
        <v>36</v>
      </c>
      <c r="C8" s="21"/>
      <c r="D8" s="21">
        <f t="shared" ref="D8:H8" si="0">(C5+D5)/2</f>
        <v>49464245</v>
      </c>
      <c r="E8" s="21">
        <f t="shared" si="0"/>
        <v>86202748</v>
      </c>
      <c r="F8" s="21">
        <f t="shared" si="0"/>
        <v>151603741</v>
      </c>
      <c r="G8" s="21">
        <f t="shared" si="0"/>
        <v>271821896</v>
      </c>
      <c r="H8" s="21">
        <f t="shared" si="0"/>
        <v>457571828.5</v>
      </c>
      <c r="I8" s="5"/>
      <c r="L8" t="s">
        <v>53</v>
      </c>
    </row>
    <row r="9" spans="2:12" x14ac:dyDescent="0.25">
      <c r="B9" t="s">
        <v>37</v>
      </c>
      <c r="C9" s="22">
        <f t="shared" ref="C9:H9" si="1">C6/C7</f>
        <v>22651666.666666668</v>
      </c>
      <c r="D9" s="22">
        <f t="shared" si="1"/>
        <v>47348888.888888888</v>
      </c>
      <c r="E9" s="22">
        <f t="shared" si="1"/>
        <v>81021111.111111119</v>
      </c>
      <c r="F9" s="22">
        <f t="shared" si="1"/>
        <v>153599444.44444445</v>
      </c>
      <c r="G9" s="22">
        <f t="shared" si="1"/>
        <v>269386111.1111111</v>
      </c>
      <c r="H9" s="22">
        <f t="shared" si="1"/>
        <v>411666359.33806145</v>
      </c>
      <c r="I9" s="5"/>
    </row>
    <row r="10" spans="2:12" x14ac:dyDescent="0.25">
      <c r="C10" s="22"/>
      <c r="D10" s="22"/>
      <c r="E10" s="22"/>
      <c r="F10" s="22"/>
      <c r="G10" s="22"/>
      <c r="H10" s="22"/>
      <c r="I10" s="5"/>
    </row>
    <row r="11" spans="2:12" x14ac:dyDescent="0.25">
      <c r="B11" t="s">
        <v>39</v>
      </c>
      <c r="C11" s="22">
        <v>129</v>
      </c>
      <c r="D11" s="22">
        <v>644</v>
      </c>
      <c r="E11" s="22">
        <v>2735</v>
      </c>
      <c r="F11" s="22">
        <v>11812</v>
      </c>
      <c r="G11" s="22">
        <v>51470</v>
      </c>
      <c r="H11" s="22">
        <v>57091</v>
      </c>
      <c r="I11" s="5"/>
    </row>
    <row r="12" spans="2:12" x14ac:dyDescent="0.25">
      <c r="B12" t="s">
        <v>40</v>
      </c>
      <c r="C12" s="21">
        <v>2016</v>
      </c>
      <c r="D12" s="22">
        <v>2159</v>
      </c>
      <c r="E12" s="22">
        <v>5223</v>
      </c>
      <c r="F12" s="22">
        <v>2817</v>
      </c>
      <c r="G12" s="22"/>
      <c r="H12" s="22"/>
      <c r="I12" s="5"/>
    </row>
    <row r="13" spans="2:12" x14ac:dyDescent="0.25">
      <c r="B13" t="s">
        <v>41</v>
      </c>
      <c r="C13" s="21">
        <f t="shared" ref="C13:H13" si="2">SUM(C11:C12)</f>
        <v>2145</v>
      </c>
      <c r="D13" s="21">
        <f t="shared" si="2"/>
        <v>2803</v>
      </c>
      <c r="E13" s="21">
        <f t="shared" si="2"/>
        <v>7958</v>
      </c>
      <c r="F13" s="21">
        <f t="shared" si="2"/>
        <v>14629</v>
      </c>
      <c r="G13" s="21">
        <f t="shared" si="2"/>
        <v>51470</v>
      </c>
      <c r="H13" s="21">
        <f t="shared" si="2"/>
        <v>57091</v>
      </c>
      <c r="I13" s="5"/>
    </row>
    <row r="14" spans="2:12" x14ac:dyDescent="0.25">
      <c r="B14" t="s">
        <v>3</v>
      </c>
      <c r="C14" s="19">
        <f t="shared" ref="C14:H14" si="3">C13/C9</f>
        <v>9.4695018762416304E-5</v>
      </c>
      <c r="D14" s="19">
        <f t="shared" si="3"/>
        <v>5.9198854836438728E-5</v>
      </c>
      <c r="E14" s="19">
        <f t="shared" si="3"/>
        <v>9.8221314060807193E-5</v>
      </c>
      <c r="F14" s="19">
        <f t="shared" si="3"/>
        <v>9.5241229894494695E-5</v>
      </c>
      <c r="G14" s="19">
        <f t="shared" si="3"/>
        <v>1.9106404479320266E-4</v>
      </c>
      <c r="H14" s="19">
        <f t="shared" si="3"/>
        <v>1.3868269462629742E-4</v>
      </c>
      <c r="I14" s="34" t="s">
        <v>45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0</v>
      </c>
      <c r="C16" s="7">
        <v>572890</v>
      </c>
      <c r="D16" s="7">
        <v>1316266</v>
      </c>
      <c r="E16" s="7">
        <v>2129637</v>
      </c>
      <c r="F16" s="7">
        <v>3930173</v>
      </c>
      <c r="G16" s="7">
        <v>7446153</v>
      </c>
      <c r="H16" s="7">
        <v>9716656</v>
      </c>
      <c r="I16" s="5"/>
    </row>
    <row r="17" spans="2:9" x14ac:dyDescent="0.25">
      <c r="B17" t="s">
        <v>1</v>
      </c>
      <c r="C17" s="7">
        <v>66149</v>
      </c>
      <c r="D17" s="7">
        <v>156844</v>
      </c>
      <c r="E17" s="7">
        <v>255100</v>
      </c>
      <c r="F17" s="7">
        <v>487837</v>
      </c>
      <c r="G17" s="7">
        <v>877262</v>
      </c>
      <c r="H17" s="7">
        <v>1250078</v>
      </c>
      <c r="I17" s="5"/>
    </row>
    <row r="18" spans="2:9" x14ac:dyDescent="0.25">
      <c r="B18" t="s">
        <v>42</v>
      </c>
      <c r="C18" s="18">
        <f t="shared" ref="C18:H18" si="4">C17/C16</f>
        <v>0.11546544711899318</v>
      </c>
      <c r="D18" s="18">
        <f t="shared" si="4"/>
        <v>0.11915828563527434</v>
      </c>
      <c r="E18" s="18">
        <f t="shared" si="4"/>
        <v>0.1197856723939338</v>
      </c>
      <c r="F18" s="18">
        <f t="shared" si="4"/>
        <v>0.12412608808823429</v>
      </c>
      <c r="G18" s="18">
        <f t="shared" si="4"/>
        <v>0.11781412495821668</v>
      </c>
      <c r="H18" s="18">
        <f t="shared" si="4"/>
        <v>0.12865310864149149</v>
      </c>
      <c r="I18" s="5">
        <f>AVERAGE(C18:H18)</f>
        <v>0.12083378780602395</v>
      </c>
    </row>
    <row r="19" spans="2:9" x14ac:dyDescent="0.25">
      <c r="B19" t="s">
        <v>43</v>
      </c>
      <c r="C19" s="17">
        <f t="shared" ref="C19:H19" si="5">C17/C9</f>
        <v>2.9202707674196157E-3</v>
      </c>
      <c r="D19" s="17">
        <f t="shared" si="5"/>
        <v>3.3125170131881542E-3</v>
      </c>
      <c r="E19" s="17">
        <f t="shared" si="5"/>
        <v>3.1485621031555559E-3</v>
      </c>
      <c r="F19" s="17">
        <f t="shared" si="5"/>
        <v>3.1760336228067953E-3</v>
      </c>
      <c r="G19" s="17">
        <f t="shared" si="5"/>
        <v>3.2565227523484465E-3</v>
      </c>
      <c r="H19" s="17">
        <f t="shared" si="5"/>
        <v>3.0366289876346997E-3</v>
      </c>
      <c r="I19" s="5">
        <f>AVERAGE(C19:H19)</f>
        <v>3.1417558744255441E-3</v>
      </c>
    </row>
    <row r="20" spans="2:9" x14ac:dyDescent="0.25">
      <c r="C20" s="17"/>
      <c r="D20" s="17"/>
      <c r="E20" s="17"/>
      <c r="F20" s="17"/>
      <c r="G20" s="17"/>
      <c r="H20" s="17"/>
      <c r="I20" s="5"/>
    </row>
    <row r="21" spans="2:9" x14ac:dyDescent="0.25">
      <c r="B21" t="s">
        <v>19</v>
      </c>
      <c r="C21" s="22">
        <v>105</v>
      </c>
      <c r="D21" s="22">
        <v>459</v>
      </c>
      <c r="E21" s="22">
        <v>137</v>
      </c>
      <c r="F21" s="22">
        <v>192</v>
      </c>
      <c r="G21" s="22">
        <v>683</v>
      </c>
      <c r="H21" s="22">
        <v>2596</v>
      </c>
    </row>
    <row r="22" spans="2:9" x14ac:dyDescent="0.25">
      <c r="B22" t="s">
        <v>9</v>
      </c>
      <c r="C22" s="22">
        <v>295</v>
      </c>
      <c r="D22" s="22">
        <v>1802</v>
      </c>
      <c r="E22" s="22">
        <v>2275</v>
      </c>
      <c r="F22" s="22">
        <v>2430</v>
      </c>
      <c r="G22" s="22"/>
      <c r="H22" s="22"/>
      <c r="I22" s="5"/>
    </row>
    <row r="23" spans="2:9" x14ac:dyDescent="0.25">
      <c r="B23" t="s">
        <v>3</v>
      </c>
      <c r="C23" s="20">
        <f>(C22+C21)/C9</f>
        <v>1.765874475756015E-5</v>
      </c>
      <c r="D23" s="20">
        <f t="shared" ref="D23:H23" si="6">(D22+D21)/D9</f>
        <v>4.7751912517013189E-5</v>
      </c>
      <c r="E23" s="20">
        <f t="shared" si="6"/>
        <v>2.9770018787970211E-5</v>
      </c>
      <c r="F23" s="20">
        <f t="shared" si="6"/>
        <v>1.7070374241804983E-5</v>
      </c>
      <c r="G23" s="20">
        <f t="shared" si="6"/>
        <v>2.5353942606131225E-6</v>
      </c>
      <c r="H23" s="20">
        <f t="shared" si="6"/>
        <v>6.3060775822786102E-6</v>
      </c>
      <c r="I23" s="34" t="s">
        <v>45</v>
      </c>
    </row>
    <row r="24" spans="2:9" x14ac:dyDescent="0.25">
      <c r="C24" s="17"/>
      <c r="D24" s="17"/>
      <c r="E24" s="17"/>
      <c r="F24" s="17"/>
      <c r="G24" s="17"/>
      <c r="H24" s="17"/>
      <c r="I24" s="5"/>
    </row>
    <row r="25" spans="2:9" x14ac:dyDescent="0.25">
      <c r="B25" t="s">
        <v>10</v>
      </c>
      <c r="C25" s="22"/>
      <c r="D25" s="22"/>
      <c r="E25" s="22">
        <v>30075</v>
      </c>
      <c r="F25" s="22">
        <v>68141</v>
      </c>
      <c r="G25" s="22">
        <v>814184</v>
      </c>
      <c r="H25" s="22">
        <v>3829531</v>
      </c>
      <c r="I25" s="5"/>
    </row>
    <row r="26" spans="2:9" x14ac:dyDescent="0.25">
      <c r="C26" s="15"/>
      <c r="D26" s="15"/>
      <c r="E26" s="17">
        <f>E25/E5</f>
        <v>2.728501994432894E-4</v>
      </c>
      <c r="F26" s="17">
        <f t="shared" ref="F26:H26" si="7">F25/F5</f>
        <v>3.5309480724861185E-4</v>
      </c>
      <c r="G26" s="17">
        <f t="shared" si="7"/>
        <v>2.3218508527542681E-3</v>
      </c>
      <c r="H26" s="17">
        <f t="shared" si="7"/>
        <v>6.7841504304116647E-3</v>
      </c>
      <c r="I26" s="5"/>
    </row>
    <row r="27" spans="2:9" x14ac:dyDescent="0.25">
      <c r="C27" s="15"/>
      <c r="D27" s="15"/>
      <c r="E27" s="15"/>
      <c r="F27" s="15"/>
      <c r="G27" s="15"/>
      <c r="H27" s="15"/>
      <c r="I27" s="5"/>
    </row>
    <row r="28" spans="2:9" x14ac:dyDescent="0.25">
      <c r="B28" t="s">
        <v>5</v>
      </c>
      <c r="D28" s="22"/>
      <c r="E28" s="22">
        <v>2526</v>
      </c>
      <c r="F28" s="22">
        <v>7751</v>
      </c>
      <c r="G28" s="22">
        <v>26354</v>
      </c>
      <c r="H28" s="22">
        <v>49345</v>
      </c>
      <c r="I28" s="5"/>
    </row>
    <row r="29" spans="2:9" x14ac:dyDescent="0.25">
      <c r="B29" t="s">
        <v>6</v>
      </c>
      <c r="C29" s="19">
        <f t="shared" ref="C29:H29" si="8">C28/C9</f>
        <v>0</v>
      </c>
      <c r="D29" s="19">
        <f t="shared" si="8"/>
        <v>0</v>
      </c>
      <c r="E29" s="19">
        <f t="shared" si="8"/>
        <v>3.1177059476953876E-5</v>
      </c>
      <c r="F29" s="19">
        <f t="shared" si="8"/>
        <v>5.0462422100774383E-5</v>
      </c>
      <c r="G29" s="19">
        <f t="shared" si="8"/>
        <v>9.7829839449777785E-5</v>
      </c>
      <c r="H29" s="19">
        <f t="shared" si="8"/>
        <v>1.1986648624712558E-4</v>
      </c>
      <c r="I29" s="4">
        <f>AVERAGE(C29:H29)</f>
        <v>4.98893012124386E-5</v>
      </c>
    </row>
    <row r="30" spans="2:9" x14ac:dyDescent="0.25">
      <c r="C30" s="14"/>
      <c r="D30" s="15"/>
      <c r="E30" s="15"/>
      <c r="F30" s="15"/>
      <c r="G30" s="15"/>
      <c r="H30" s="15"/>
      <c r="I30" s="5"/>
    </row>
    <row r="31" spans="2:9" x14ac:dyDescent="0.25">
      <c r="B31" t="s">
        <v>11</v>
      </c>
      <c r="C31" s="21">
        <v>34772</v>
      </c>
      <c r="D31" s="22">
        <v>16732</v>
      </c>
      <c r="E31" s="22">
        <v>21750</v>
      </c>
      <c r="F31" s="22">
        <v>43725</v>
      </c>
      <c r="G31" s="22">
        <v>80913</v>
      </c>
      <c r="H31" s="22">
        <v>117730</v>
      </c>
      <c r="I31" s="5"/>
    </row>
    <row r="32" spans="2:9" x14ac:dyDescent="0.25">
      <c r="B32" t="s">
        <v>44</v>
      </c>
      <c r="C32" s="17">
        <f t="shared" ref="C32:H32" si="9">C31/C9</f>
        <v>1.5350746817747037E-3</v>
      </c>
      <c r="D32" s="17">
        <f t="shared" si="9"/>
        <v>3.533768245177641E-4</v>
      </c>
      <c r="E32" s="17">
        <f t="shared" si="9"/>
        <v>2.684485525034627E-4</v>
      </c>
      <c r="F32" s="17">
        <f t="shared" si="9"/>
        <v>2.8466899836877304E-4</v>
      </c>
      <c r="G32" s="20">
        <f t="shared" si="9"/>
        <v>3.0036069664566558E-4</v>
      </c>
      <c r="H32" s="20">
        <f t="shared" si="9"/>
        <v>2.8598401916859041E-4</v>
      </c>
      <c r="I32" s="5">
        <f>AVERAGE(C32:H32)</f>
        <v>5.0465229549649323E-4</v>
      </c>
    </row>
    <row r="33" spans="2:9" x14ac:dyDescent="0.25">
      <c r="C33" s="17"/>
      <c r="D33" s="17"/>
      <c r="E33" s="17"/>
      <c r="F33" s="17"/>
      <c r="G33" s="20"/>
      <c r="H33" s="20"/>
      <c r="I33" s="5"/>
    </row>
    <row r="34" spans="2:9" x14ac:dyDescent="0.25">
      <c r="B34" t="s">
        <v>47</v>
      </c>
      <c r="C34" s="17">
        <v>2.0000000000000001E-4</v>
      </c>
      <c r="D34" s="17">
        <v>1E-4</v>
      </c>
      <c r="E34" s="17">
        <v>1E-4</v>
      </c>
      <c r="F34" s="17">
        <v>1E-4</v>
      </c>
      <c r="G34" s="17">
        <v>1E-4</v>
      </c>
      <c r="H34" s="17">
        <v>1E-4</v>
      </c>
      <c r="I34" s="5"/>
    </row>
    <row r="35" spans="2:9" x14ac:dyDescent="0.25">
      <c r="C35" s="17"/>
      <c r="D35" s="17"/>
      <c r="E35" s="17"/>
      <c r="F35" s="17"/>
      <c r="G35" s="17"/>
      <c r="H35" s="17"/>
      <c r="I35" s="5"/>
    </row>
    <row r="36" spans="2:9" x14ac:dyDescent="0.25">
      <c r="I36" s="20"/>
    </row>
    <row r="37" spans="2:9" x14ac:dyDescent="0.25">
      <c r="B37" t="s">
        <v>60</v>
      </c>
      <c r="C37" s="5">
        <f>I7+I19-I29+I32</f>
        <v>5.3276664096932047E-3</v>
      </c>
      <c r="D37" s="40" t="s">
        <v>81</v>
      </c>
      <c r="E37" s="10"/>
      <c r="F37" s="20"/>
      <c r="G37" s="20"/>
      <c r="H37" s="20"/>
      <c r="I37" s="20"/>
    </row>
    <row r="38" spans="2:9" x14ac:dyDescent="0.25">
      <c r="B38" t="s">
        <v>7</v>
      </c>
      <c r="C38" s="5">
        <f>GTD!L12/100</f>
        <v>5.3499999999999928E-3</v>
      </c>
      <c r="D38" t="s">
        <v>81</v>
      </c>
    </row>
    <row r="39" spans="2:9" x14ac:dyDescent="0.25">
      <c r="B39" t="s">
        <v>48</v>
      </c>
      <c r="C39" s="5">
        <f>C38-C37</f>
        <v>2.2333590306788074E-5</v>
      </c>
    </row>
    <row r="41" spans="2:9" x14ac:dyDescent="0.25">
      <c r="B41" s="1" t="s">
        <v>49</v>
      </c>
      <c r="C41" s="13">
        <f>0.12%+I19-H29+H32</f>
        <v>4.5078734073470093E-3</v>
      </c>
    </row>
    <row r="42" spans="2:9" x14ac:dyDescent="0.25">
      <c r="B42" s="1" t="s">
        <v>50</v>
      </c>
      <c r="C42" s="13">
        <f>C41-I19</f>
        <v>1.3661175329214652E-3</v>
      </c>
    </row>
    <row r="43" spans="2:9" x14ac:dyDescent="0.25">
      <c r="B43" s="1"/>
      <c r="C43" s="13"/>
    </row>
    <row r="44" spans="2:9" x14ac:dyDescent="0.25">
      <c r="B44" s="2" t="s">
        <v>51</v>
      </c>
      <c r="C44" s="13">
        <f>C41-C37</f>
        <v>-8.1979300234619537E-4</v>
      </c>
    </row>
    <row r="45" spans="2:9" x14ac:dyDescent="0.25">
      <c r="B45" s="1" t="s">
        <v>52</v>
      </c>
      <c r="C45" s="13">
        <f>C38+C44</f>
        <v>4.5302069976537974E-3</v>
      </c>
      <c r="D45" s="10"/>
      <c r="E45" s="10"/>
      <c r="F45" s="9"/>
      <c r="G45" s="9"/>
      <c r="H45" s="9"/>
      <c r="I45" s="9"/>
    </row>
    <row r="46" spans="2:9" x14ac:dyDescent="0.25">
      <c r="C46" s="10"/>
      <c r="D46" s="10"/>
      <c r="E46" s="10"/>
      <c r="F46" s="9"/>
      <c r="G46" s="9"/>
      <c r="H46" s="9"/>
      <c r="I46" s="9"/>
    </row>
  </sheetData>
  <hyperlinks>
    <hyperlink ref="L4" r:id="rId1" xr:uid="{745F6B18-DC25-4827-AF1C-C37F4C9E9B7D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E6BE-6294-49D0-8387-463ECD6DFB0D}">
  <dimension ref="B2:N46"/>
  <sheetViews>
    <sheetView zoomScaleNormal="100" workbookViewId="0">
      <selection activeCell="J32" sqref="J32"/>
    </sheetView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0" width="16.28515625" customWidth="1"/>
    <col min="11" max="11" width="15.42578125" customWidth="1"/>
  </cols>
  <sheetData>
    <row r="2" spans="2:14" x14ac:dyDescent="0.25">
      <c r="B2" s="11" t="s">
        <v>64</v>
      </c>
      <c r="C2" s="11"/>
      <c r="D2" s="12"/>
      <c r="E2" s="12"/>
      <c r="F2" s="12"/>
      <c r="G2" s="12"/>
      <c r="H2" s="12"/>
      <c r="I2" s="12"/>
      <c r="J2" s="12"/>
      <c r="K2" s="12"/>
    </row>
    <row r="3" spans="2:14" x14ac:dyDescent="0.25">
      <c r="B3" t="s">
        <v>46</v>
      </c>
      <c r="N3" t="s">
        <v>54</v>
      </c>
    </row>
    <row r="4" spans="2:14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 t="s">
        <v>38</v>
      </c>
      <c r="N4" s="33" t="s">
        <v>55</v>
      </c>
    </row>
    <row r="5" spans="2:14" x14ac:dyDescent="0.25">
      <c r="B5" t="s">
        <v>34</v>
      </c>
      <c r="C5" s="7">
        <v>43898122</v>
      </c>
      <c r="D5" s="21">
        <v>252031560</v>
      </c>
      <c r="E5" s="21">
        <v>558122115</v>
      </c>
      <c r="F5" s="22">
        <v>635252624</v>
      </c>
      <c r="G5" s="22">
        <v>1382224416</v>
      </c>
      <c r="H5" s="22">
        <v>1480869360</v>
      </c>
      <c r="I5" s="22">
        <v>1971859507</v>
      </c>
      <c r="J5" s="22">
        <v>1912680136</v>
      </c>
      <c r="K5" s="1"/>
      <c r="N5" t="s">
        <v>83</v>
      </c>
    </row>
    <row r="6" spans="2:14" x14ac:dyDescent="0.25">
      <c r="B6" t="s">
        <v>8</v>
      </c>
      <c r="C6" s="7"/>
      <c r="D6" s="21">
        <v>348524</v>
      </c>
      <c r="E6" s="21">
        <v>1087252</v>
      </c>
      <c r="F6" s="22">
        <v>1277504</v>
      </c>
      <c r="G6" s="22">
        <v>2493543</v>
      </c>
      <c r="H6" s="22">
        <v>3984684</v>
      </c>
      <c r="I6" s="22">
        <v>4162039</v>
      </c>
      <c r="J6" s="22">
        <v>4590519</v>
      </c>
      <c r="N6" t="s">
        <v>107</v>
      </c>
    </row>
    <row r="7" spans="2:14" x14ac:dyDescent="0.25">
      <c r="B7" t="s">
        <v>35</v>
      </c>
      <c r="D7" s="16">
        <v>2.8999999999999998E-3</v>
      </c>
      <c r="E7" s="16">
        <f>((2/12)*0.29%)+((10/12)*0.25%)</f>
        <v>2.5666666666666667E-3</v>
      </c>
      <c r="F7" s="16">
        <v>2.5000000000000001E-3</v>
      </c>
      <c r="G7" s="16">
        <v>2.5000000000000001E-3</v>
      </c>
      <c r="H7" s="16">
        <v>2.5000000000000001E-3</v>
      </c>
      <c r="I7" s="16">
        <v>2.5000000000000001E-3</v>
      </c>
      <c r="J7" s="16">
        <f>((114/366)*0.25%)+((252/366)*0.22%)</f>
        <v>2.29344262295082E-3</v>
      </c>
      <c r="K7" s="5">
        <f>AVERAGE(D7:J7)</f>
        <v>2.5371584699453555E-3</v>
      </c>
    </row>
    <row r="8" spans="2:14" x14ac:dyDescent="0.25">
      <c r="B8" t="s">
        <v>36</v>
      </c>
      <c r="C8" s="7"/>
      <c r="D8" s="21">
        <f>(C5+D5)/2</f>
        <v>147964841</v>
      </c>
      <c r="E8" s="21">
        <f t="shared" ref="E8:J8" si="0">(D5+E5)/2</f>
        <v>405076837.5</v>
      </c>
      <c r="F8" s="21">
        <f t="shared" si="0"/>
        <v>596687369.5</v>
      </c>
      <c r="G8" s="21">
        <f t="shared" si="0"/>
        <v>1008738520</v>
      </c>
      <c r="H8" s="21">
        <f t="shared" si="0"/>
        <v>1431546888</v>
      </c>
      <c r="I8" s="21">
        <f t="shared" si="0"/>
        <v>1726364433.5</v>
      </c>
      <c r="J8" s="21">
        <f t="shared" si="0"/>
        <v>1942269821.5</v>
      </c>
      <c r="K8" s="5"/>
      <c r="N8" s="35" t="s">
        <v>65</v>
      </c>
    </row>
    <row r="9" spans="2:14" x14ac:dyDescent="0.25">
      <c r="B9" t="s">
        <v>37</v>
      </c>
      <c r="C9" s="7"/>
      <c r="D9" s="22">
        <f>D6/E7</f>
        <v>135788571.42857143</v>
      </c>
      <c r="E9" s="22">
        <f t="shared" ref="E9:J9" si="1">E6/E7</f>
        <v>423604675.32467532</v>
      </c>
      <c r="F9" s="22">
        <f t="shared" si="1"/>
        <v>511001600</v>
      </c>
      <c r="G9" s="22">
        <f t="shared" si="1"/>
        <v>997417200</v>
      </c>
      <c r="H9" s="22">
        <f t="shared" si="1"/>
        <v>1593873600</v>
      </c>
      <c r="I9" s="22">
        <f t="shared" si="1"/>
        <v>1664815600</v>
      </c>
      <c r="J9" s="22">
        <f t="shared" si="1"/>
        <v>2001584410.2930663</v>
      </c>
      <c r="K9" s="5"/>
      <c r="N9" s="35" t="s">
        <v>66</v>
      </c>
    </row>
    <row r="10" spans="2:14" x14ac:dyDescent="0.25">
      <c r="C10" s="7"/>
      <c r="D10" s="22"/>
      <c r="E10" s="22"/>
      <c r="F10" s="22"/>
      <c r="G10" s="22"/>
      <c r="H10" s="22"/>
      <c r="I10" s="22"/>
      <c r="J10" s="22"/>
      <c r="K10" s="5"/>
    </row>
    <row r="11" spans="2:14" x14ac:dyDescent="0.25">
      <c r="B11" t="s">
        <v>39</v>
      </c>
      <c r="C11" s="7"/>
      <c r="D11" s="22">
        <v>3379</v>
      </c>
      <c r="E11" s="22">
        <v>3085</v>
      </c>
      <c r="F11" s="22">
        <v>3950</v>
      </c>
      <c r="G11" s="22">
        <v>36319</v>
      </c>
      <c r="H11" s="22">
        <v>62285</v>
      </c>
      <c r="I11" s="22">
        <v>229312</v>
      </c>
      <c r="J11" s="22">
        <v>160470</v>
      </c>
      <c r="K11" s="5"/>
      <c r="N11" t="s">
        <v>53</v>
      </c>
    </row>
    <row r="12" spans="2:14" x14ac:dyDescent="0.25">
      <c r="B12" t="s">
        <v>40</v>
      </c>
      <c r="C12" s="7"/>
      <c r="D12" s="21">
        <v>445</v>
      </c>
      <c r="E12" s="21">
        <v>34</v>
      </c>
      <c r="F12" s="22">
        <v>120</v>
      </c>
      <c r="G12" s="22">
        <v>3353</v>
      </c>
      <c r="H12" s="22"/>
      <c r="I12" s="22"/>
      <c r="J12" s="22"/>
      <c r="K12" s="5"/>
      <c r="N12" t="s">
        <v>67</v>
      </c>
    </row>
    <row r="13" spans="2:14" x14ac:dyDescent="0.25">
      <c r="B13" t="s">
        <v>41</v>
      </c>
      <c r="C13" s="7">
        <f>SUM(C11:C12)</f>
        <v>0</v>
      </c>
      <c r="D13" s="7">
        <f t="shared" ref="D13:J13" si="2">SUM(D11:D12)</f>
        <v>3824</v>
      </c>
      <c r="E13" s="7">
        <f t="shared" si="2"/>
        <v>3119</v>
      </c>
      <c r="F13" s="7">
        <f t="shared" si="2"/>
        <v>4070</v>
      </c>
      <c r="G13" s="7">
        <f t="shared" si="2"/>
        <v>39672</v>
      </c>
      <c r="H13" s="7">
        <f t="shared" si="2"/>
        <v>62285</v>
      </c>
      <c r="I13" s="7">
        <f t="shared" si="2"/>
        <v>229312</v>
      </c>
      <c r="J13" s="7">
        <f t="shared" si="2"/>
        <v>160470</v>
      </c>
      <c r="K13" s="5"/>
    </row>
    <row r="14" spans="2:14" x14ac:dyDescent="0.25">
      <c r="B14" t="s">
        <v>3</v>
      </c>
      <c r="C14" s="7"/>
      <c r="D14" s="19">
        <f>D13/D9</f>
        <v>2.8161427429196648E-5</v>
      </c>
      <c r="E14" s="19">
        <f t="shared" ref="E14:J14" si="3">E13/E9</f>
        <v>7.3629971095324111E-6</v>
      </c>
      <c r="F14" s="19">
        <f t="shared" si="3"/>
        <v>7.9647500125244226E-6</v>
      </c>
      <c r="G14" s="19">
        <f t="shared" si="3"/>
        <v>3.977473017309106E-5</v>
      </c>
      <c r="H14" s="19">
        <f t="shared" si="3"/>
        <v>3.9077753718990011E-5</v>
      </c>
      <c r="I14" s="19">
        <f t="shared" si="3"/>
        <v>1.3774017975324115E-4</v>
      </c>
      <c r="J14" s="19">
        <f t="shared" si="3"/>
        <v>8.0171487734811267E-5</v>
      </c>
      <c r="K14" s="34" t="s">
        <v>45</v>
      </c>
    </row>
    <row r="15" spans="2:14" x14ac:dyDescent="0.25">
      <c r="D15" s="17"/>
      <c r="E15" s="17"/>
      <c r="F15" s="17"/>
      <c r="G15" s="17"/>
      <c r="H15" s="17"/>
      <c r="I15" s="17"/>
      <c r="J15" s="17"/>
      <c r="K15" s="5"/>
    </row>
    <row r="16" spans="2:14" x14ac:dyDescent="0.25">
      <c r="B16" t="s">
        <v>0</v>
      </c>
      <c r="C16" s="7"/>
      <c r="D16" s="7">
        <v>3325881</v>
      </c>
      <c r="E16" s="7">
        <v>13386831</v>
      </c>
      <c r="F16" s="7">
        <v>17405209</v>
      </c>
      <c r="G16" s="7">
        <v>29020960</v>
      </c>
      <c r="H16" s="7">
        <v>44723633</v>
      </c>
      <c r="I16" s="7">
        <v>55691122</v>
      </c>
      <c r="J16" s="7">
        <v>57139164</v>
      </c>
      <c r="K16" s="5"/>
    </row>
    <row r="17" spans="2:11" x14ac:dyDescent="0.25">
      <c r="B17" t="s">
        <v>1</v>
      </c>
      <c r="C17" s="7"/>
      <c r="D17" s="7">
        <v>298586</v>
      </c>
      <c r="E17" s="7">
        <v>1274164</v>
      </c>
      <c r="F17" s="7">
        <v>1706810</v>
      </c>
      <c r="G17" s="7">
        <v>3013440</v>
      </c>
      <c r="H17" s="7">
        <v>4856073</v>
      </c>
      <c r="I17" s="7">
        <v>5576288</v>
      </c>
      <c r="J17" s="7">
        <v>6005283</v>
      </c>
      <c r="K17" s="5"/>
    </row>
    <row r="18" spans="2:11" x14ac:dyDescent="0.25">
      <c r="B18" t="s">
        <v>42</v>
      </c>
      <c r="D18" s="18">
        <f>D17/D16</f>
        <v>8.9776513350898604E-2</v>
      </c>
      <c r="E18" s="18">
        <f t="shared" ref="E18:J18" si="4">E17/E16</f>
        <v>9.5180405280383379E-2</v>
      </c>
      <c r="F18" s="18">
        <f t="shared" si="4"/>
        <v>9.8063171778057942E-2</v>
      </c>
      <c r="G18" s="18">
        <f t="shared" si="4"/>
        <v>0.10383667528572453</v>
      </c>
      <c r="H18" s="18">
        <f t="shared" si="4"/>
        <v>0.10857957357802306</v>
      </c>
      <c r="I18" s="18">
        <f t="shared" si="4"/>
        <v>0.10012884998079227</v>
      </c>
      <c r="J18" s="18">
        <f t="shared" si="4"/>
        <v>0.10509924506420849</v>
      </c>
      <c r="K18" s="5">
        <f>AVERAGE(D18:J18)</f>
        <v>0.10009491918829834</v>
      </c>
    </row>
    <row r="19" spans="2:11" x14ac:dyDescent="0.25">
      <c r="B19" t="s">
        <v>43</v>
      </c>
      <c r="D19" s="17">
        <f t="shared" ref="D19:J19" si="5">D17/D9</f>
        <v>2.1989037579430207E-3</v>
      </c>
      <c r="E19" s="17">
        <f t="shared" si="5"/>
        <v>3.0079082555531439E-3</v>
      </c>
      <c r="F19" s="17">
        <f t="shared" si="5"/>
        <v>3.3401265279795599E-3</v>
      </c>
      <c r="G19" s="17">
        <f t="shared" si="5"/>
        <v>3.0212432671102925E-3</v>
      </c>
      <c r="H19" s="17">
        <f t="shared" si="5"/>
        <v>3.0467114832694385E-3</v>
      </c>
      <c r="I19" s="17">
        <f t="shared" si="5"/>
        <v>3.3494928807731019E-3</v>
      </c>
      <c r="J19" s="17">
        <f t="shared" si="5"/>
        <v>3.0002646748835955E-3</v>
      </c>
      <c r="K19" s="5">
        <f>AVERAGE(D19:J19)</f>
        <v>2.9949501210731646E-3</v>
      </c>
    </row>
    <row r="20" spans="2:11" x14ac:dyDescent="0.25">
      <c r="D20" s="17"/>
      <c r="E20" s="17"/>
      <c r="F20" s="17"/>
      <c r="G20" s="17"/>
      <c r="H20" s="17"/>
      <c r="I20" s="17"/>
      <c r="J20" s="17"/>
      <c r="K20" s="5"/>
    </row>
    <row r="21" spans="2:11" x14ac:dyDescent="0.25">
      <c r="B21" t="s">
        <v>19</v>
      </c>
      <c r="D21" s="22"/>
      <c r="E21" s="22">
        <v>1262</v>
      </c>
      <c r="F21" s="22">
        <v>6880</v>
      </c>
      <c r="G21" s="22">
        <v>10518</v>
      </c>
      <c r="H21" s="22">
        <v>7787</v>
      </c>
      <c r="I21" s="22">
        <v>17795</v>
      </c>
      <c r="J21" s="22">
        <v>35218</v>
      </c>
    </row>
    <row r="22" spans="2:11" x14ac:dyDescent="0.25">
      <c r="B22" t="s">
        <v>9</v>
      </c>
      <c r="D22" s="22">
        <v>6944</v>
      </c>
      <c r="E22" s="22">
        <v>87555</v>
      </c>
      <c r="F22" s="22">
        <v>67371</v>
      </c>
      <c r="G22" s="22">
        <v>123881</v>
      </c>
      <c r="H22" s="22">
        <v>94948</v>
      </c>
      <c r="I22" s="22">
        <v>12004</v>
      </c>
      <c r="J22" s="22">
        <v>10124</v>
      </c>
      <c r="K22" s="5"/>
    </row>
    <row r="23" spans="2:11" x14ac:dyDescent="0.25">
      <c r="B23" t="s">
        <v>3</v>
      </c>
      <c r="D23" s="20">
        <f>(D22+D21)/D9</f>
        <v>5.1138324285654167E-5</v>
      </c>
      <c r="E23" s="20">
        <f>(E22+E21)/E9</f>
        <v>2.0966954609725558E-4</v>
      </c>
      <c r="F23" s="20">
        <f t="shared" ref="F23:J23" si="6">(F22+F21)/F9</f>
        <v>1.4530482879114272E-4</v>
      </c>
      <c r="G23" s="20">
        <f t="shared" si="6"/>
        <v>1.3474702461517608E-4</v>
      </c>
      <c r="H23" s="20">
        <f t="shared" si="6"/>
        <v>6.4456177704430267E-5</v>
      </c>
      <c r="I23" s="20">
        <f t="shared" si="6"/>
        <v>1.7899279655957092E-5</v>
      </c>
      <c r="J23" s="20">
        <f t="shared" si="6"/>
        <v>2.2653054133930406E-5</v>
      </c>
      <c r="K23" s="34" t="s">
        <v>45</v>
      </c>
    </row>
    <row r="24" spans="2:11" x14ac:dyDescent="0.25">
      <c r="D24" s="17"/>
      <c r="E24" s="17"/>
      <c r="F24" s="17"/>
      <c r="G24" s="17"/>
      <c r="H24" s="17"/>
      <c r="I24" s="17"/>
      <c r="J24" s="17"/>
      <c r="K24" s="5"/>
    </row>
    <row r="25" spans="2:11" x14ac:dyDescent="0.25">
      <c r="B25" t="s">
        <v>10</v>
      </c>
      <c r="C25" s="7"/>
      <c r="D25" s="22"/>
      <c r="E25" s="22"/>
      <c r="F25" s="22"/>
      <c r="G25" s="22">
        <v>4397504</v>
      </c>
      <c r="H25" s="22">
        <v>4131498</v>
      </c>
      <c r="I25" s="22">
        <v>5461085</v>
      </c>
      <c r="J25" s="22">
        <v>9560909</v>
      </c>
      <c r="K25" s="5"/>
    </row>
    <row r="26" spans="2:11" x14ac:dyDescent="0.25">
      <c r="D26" s="15"/>
      <c r="E26" s="15"/>
      <c r="F26" s="15"/>
      <c r="G26" s="17">
        <f>G25/G5</f>
        <v>3.1814689055528881E-3</v>
      </c>
      <c r="H26" s="17">
        <f t="shared" ref="H26:J26" si="7">H25/H5</f>
        <v>2.7899138922018079E-3</v>
      </c>
      <c r="I26" s="17">
        <f t="shared" si="7"/>
        <v>2.7695101910726544E-3</v>
      </c>
      <c r="J26" s="17">
        <f t="shared" si="7"/>
        <v>4.9986972834855647E-3</v>
      </c>
      <c r="K26" s="5"/>
    </row>
    <row r="27" spans="2:11" x14ac:dyDescent="0.25">
      <c r="D27" s="15"/>
      <c r="E27" s="15"/>
      <c r="F27" s="15"/>
      <c r="G27" s="15"/>
      <c r="H27" s="15"/>
      <c r="I27" s="15"/>
      <c r="J27" s="15"/>
      <c r="K27" s="5"/>
    </row>
    <row r="28" spans="2:11" x14ac:dyDescent="0.25">
      <c r="B28" t="s">
        <v>5</v>
      </c>
      <c r="C28" s="7"/>
      <c r="F28" s="22"/>
      <c r="G28" s="22">
        <v>46231</v>
      </c>
      <c r="H28" s="22">
        <v>161281</v>
      </c>
      <c r="I28" s="22">
        <v>215630</v>
      </c>
      <c r="J28" s="22">
        <v>205976</v>
      </c>
      <c r="K28" s="5"/>
    </row>
    <row r="29" spans="2:11" x14ac:dyDescent="0.25">
      <c r="B29" t="s">
        <v>6</v>
      </c>
      <c r="D29" s="19">
        <f>D28/D9</f>
        <v>0</v>
      </c>
      <c r="E29" s="19">
        <f t="shared" ref="E29:J29" si="8">E28/E9</f>
        <v>0</v>
      </c>
      <c r="F29" s="19">
        <f t="shared" si="8"/>
        <v>0</v>
      </c>
      <c r="G29" s="19">
        <f t="shared" si="8"/>
        <v>4.6350714625735352E-5</v>
      </c>
      <c r="H29" s="19">
        <f t="shared" si="8"/>
        <v>1.0118807413586624E-4</v>
      </c>
      <c r="I29" s="19">
        <f t="shared" si="8"/>
        <v>1.2952185214987173E-4</v>
      </c>
      <c r="J29" s="19">
        <f t="shared" si="8"/>
        <v>1.0290647695934121E-4</v>
      </c>
      <c r="K29" s="4">
        <f>AVERAGE(D29:J29)</f>
        <v>5.4281016838687783E-5</v>
      </c>
    </row>
    <row r="30" spans="2:11" x14ac:dyDescent="0.25">
      <c r="D30" s="14"/>
      <c r="E30" s="14"/>
      <c r="F30" s="15"/>
      <c r="G30" s="15"/>
      <c r="H30" s="15"/>
      <c r="I30" s="15"/>
      <c r="J30" s="15"/>
      <c r="K30" s="5"/>
    </row>
    <row r="31" spans="2:11" x14ac:dyDescent="0.25">
      <c r="B31" t="s">
        <v>11</v>
      </c>
      <c r="C31" s="7"/>
      <c r="D31" s="7">
        <v>248141</v>
      </c>
      <c r="E31" s="21">
        <v>437315</v>
      </c>
      <c r="F31" s="22">
        <v>522563</v>
      </c>
      <c r="G31" s="22">
        <v>913162</v>
      </c>
      <c r="H31" s="22">
        <v>588927</v>
      </c>
      <c r="I31" s="22">
        <v>821909</v>
      </c>
      <c r="J31" s="22">
        <v>1066867</v>
      </c>
      <c r="K31" s="5"/>
    </row>
    <row r="32" spans="2:11" x14ac:dyDescent="0.25">
      <c r="B32" t="s">
        <v>44</v>
      </c>
      <c r="D32" s="17">
        <f t="shared" ref="D32:J32" si="9">D31/D9</f>
        <v>1.8274071034802002E-3</v>
      </c>
      <c r="E32" s="17">
        <f t="shared" si="9"/>
        <v>1.0323658483344553E-3</v>
      </c>
      <c r="F32" s="17">
        <f t="shared" si="9"/>
        <v>1.0226249780822603E-3</v>
      </c>
      <c r="G32" s="17">
        <f t="shared" si="9"/>
        <v>9.155266221597141E-4</v>
      </c>
      <c r="H32" s="17">
        <f t="shared" si="9"/>
        <v>3.6949416816992265E-4</v>
      </c>
      <c r="I32" s="20">
        <f t="shared" si="9"/>
        <v>4.9369371598872568E-4</v>
      </c>
      <c r="J32" s="20">
        <f t="shared" si="9"/>
        <v>5.3301124574795845E-4</v>
      </c>
      <c r="K32" s="5">
        <f>AVERAGE(D32:J32)</f>
        <v>8.8487481170903388E-4</v>
      </c>
    </row>
    <row r="33" spans="2:11" x14ac:dyDescent="0.25">
      <c r="D33" s="17"/>
      <c r="E33" s="17"/>
      <c r="F33" s="17"/>
      <c r="G33" s="17"/>
      <c r="H33" s="17"/>
      <c r="I33" s="20"/>
      <c r="J33" s="20"/>
      <c r="K33" s="5"/>
    </row>
    <row r="34" spans="2:11" x14ac:dyDescent="0.25">
      <c r="B34" t="s">
        <v>47</v>
      </c>
      <c r="D34" s="17"/>
      <c r="E34" s="17">
        <v>1E-4</v>
      </c>
      <c r="F34" s="17">
        <v>5.0000000000000001E-4</v>
      </c>
      <c r="G34" s="17">
        <v>0</v>
      </c>
      <c r="H34" s="17">
        <v>0</v>
      </c>
      <c r="I34" s="17">
        <v>0</v>
      </c>
      <c r="J34" s="17">
        <v>0</v>
      </c>
      <c r="K34" s="5"/>
    </row>
    <row r="35" spans="2:11" x14ac:dyDescent="0.25">
      <c r="D35" s="17"/>
      <c r="E35" s="17"/>
      <c r="F35" s="17"/>
      <c r="G35" s="17"/>
      <c r="H35" s="17"/>
      <c r="I35" s="17"/>
      <c r="J35" s="17"/>
      <c r="K35" s="5"/>
    </row>
    <row r="36" spans="2:11" x14ac:dyDescent="0.25">
      <c r="K36" s="20"/>
    </row>
    <row r="37" spans="2:11" x14ac:dyDescent="0.25">
      <c r="B37" t="s">
        <v>60</v>
      </c>
      <c r="C37" s="5">
        <f>K7+K19-K29+K32</f>
        <v>6.3627023858888656E-3</v>
      </c>
      <c r="D37" t="s">
        <v>79</v>
      </c>
      <c r="F37" s="10"/>
      <c r="G37" s="10"/>
      <c r="H37" s="20"/>
      <c r="I37" s="20"/>
      <c r="J37" s="20"/>
      <c r="K37" s="20"/>
    </row>
    <row r="38" spans="2:11" x14ac:dyDescent="0.25">
      <c r="B38" t="s">
        <v>7</v>
      </c>
      <c r="C38" s="5">
        <f>AVERAGE(GTD!D19:J19)/100</f>
        <v>6.3571428571428589E-3</v>
      </c>
      <c r="D38" t="s">
        <v>79</v>
      </c>
    </row>
    <row r="39" spans="2:11" x14ac:dyDescent="0.25">
      <c r="B39" t="s">
        <v>48</v>
      </c>
      <c r="C39" s="5">
        <f>C38-C37</f>
        <v>-5.5595287460066464E-6</v>
      </c>
    </row>
    <row r="41" spans="2:11" x14ac:dyDescent="0.25">
      <c r="B41" s="1" t="s">
        <v>49</v>
      </c>
      <c r="C41" s="13">
        <f>0.22%+K19-J29+AVERAGE(I32:J32)</f>
        <v>5.6053961249821656E-3</v>
      </c>
      <c r="E41" s="4"/>
    </row>
    <row r="42" spans="2:11" x14ac:dyDescent="0.25">
      <c r="B42" s="1" t="s">
        <v>50</v>
      </c>
      <c r="C42" s="13">
        <f>C41-K19</f>
        <v>2.6104460039090009E-3</v>
      </c>
    </row>
    <row r="43" spans="2:11" x14ac:dyDescent="0.25">
      <c r="B43" s="1"/>
      <c r="C43" s="13"/>
    </row>
    <row r="44" spans="2:11" x14ac:dyDescent="0.25">
      <c r="B44" s="2" t="s">
        <v>51</v>
      </c>
      <c r="C44" s="13">
        <f>C41-C37</f>
        <v>-7.5730626090670002E-4</v>
      </c>
    </row>
    <row r="45" spans="2:11" x14ac:dyDescent="0.25">
      <c r="B45" s="1" t="s">
        <v>52</v>
      </c>
      <c r="C45" s="13">
        <f>C38+C44</f>
        <v>5.5998365962361589E-3</v>
      </c>
      <c r="E45" s="10"/>
      <c r="F45" s="10"/>
      <c r="G45" s="10"/>
      <c r="H45" s="9"/>
      <c r="I45" s="9"/>
      <c r="J45" s="9"/>
      <c r="K45" s="9"/>
    </row>
    <row r="46" spans="2:11" x14ac:dyDescent="0.25">
      <c r="E46" s="10"/>
      <c r="F46" s="10"/>
      <c r="G46" s="10"/>
      <c r="H46" s="9"/>
      <c r="I46" s="9"/>
      <c r="J46" s="9"/>
      <c r="K46" s="9"/>
    </row>
  </sheetData>
  <hyperlinks>
    <hyperlink ref="N4" r:id="rId1" xr:uid="{557AC283-063D-4E5C-8154-046830ABCBD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1A6-CEA5-4113-9E88-4EE6B698AC9B}">
  <dimension ref="B2:L36"/>
  <sheetViews>
    <sheetView zoomScaleNormal="100" workbookViewId="0">
      <selection activeCell="H20" sqref="H20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21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94</v>
      </c>
      <c r="L3" t="s">
        <v>53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43">
        <v>44377</v>
      </c>
    </row>
    <row r="5" spans="2:12" x14ac:dyDescent="0.25">
      <c r="B5" t="s">
        <v>34</v>
      </c>
      <c r="C5" s="21">
        <v>286237679</v>
      </c>
      <c r="D5" s="22">
        <v>502327318</v>
      </c>
      <c r="E5" s="22">
        <v>1113048696</v>
      </c>
      <c r="F5" s="22">
        <v>1679694691</v>
      </c>
      <c r="G5" s="22">
        <v>1694765475</v>
      </c>
      <c r="H5" s="22">
        <v>2009226586</v>
      </c>
      <c r="I5" s="1"/>
    </row>
    <row r="6" spans="2:12" x14ac:dyDescent="0.25">
      <c r="B6" t="s">
        <v>8</v>
      </c>
      <c r="C6" s="21">
        <v>197844</v>
      </c>
      <c r="D6" s="22">
        <v>500281</v>
      </c>
      <c r="E6" s="22">
        <v>868002</v>
      </c>
      <c r="F6" s="22">
        <v>1747960</v>
      </c>
      <c r="G6" s="22">
        <v>1927300</v>
      </c>
      <c r="H6" s="22">
        <v>2030488</v>
      </c>
      <c r="L6" t="s">
        <v>95</v>
      </c>
    </row>
    <row r="7" spans="2:12" x14ac:dyDescent="0.25">
      <c r="B7" t="s">
        <v>35</v>
      </c>
      <c r="C7" s="16">
        <v>1.1999999999999999E-3</v>
      </c>
      <c r="D7" s="16">
        <v>1.1999999999999999E-3</v>
      </c>
      <c r="E7" s="16">
        <v>1.1999999999999999E-3</v>
      </c>
      <c r="F7" s="16">
        <v>1.1999999999999999E-3</v>
      </c>
      <c r="G7" s="16">
        <v>1.1999999999999999E-3</v>
      </c>
      <c r="H7" s="16">
        <f>((114/366)*0.12%)+((252/366)*0.1%)</f>
        <v>1.0622950819672132E-3</v>
      </c>
      <c r="I7" s="5">
        <f>AVERAGE(D7:H7)</f>
        <v>1.1724590163934424E-3</v>
      </c>
    </row>
    <row r="8" spans="2:12" x14ac:dyDescent="0.25">
      <c r="B8" t="s">
        <v>36</v>
      </c>
      <c r="C8" s="21"/>
      <c r="D8" s="21">
        <f t="shared" ref="D8" si="0">(C5+D5)/2</f>
        <v>394282498.5</v>
      </c>
      <c r="E8" s="21">
        <f t="shared" ref="E8" si="1">(D5+E5)/2</f>
        <v>807688007</v>
      </c>
      <c r="F8" s="21">
        <f t="shared" ref="F8" si="2">(E5+F5)/2</f>
        <v>1396371693.5</v>
      </c>
      <c r="G8" s="21">
        <f t="shared" ref="G8" si="3">(F5+G5)/2</f>
        <v>1687230083</v>
      </c>
      <c r="H8" s="21">
        <f t="shared" ref="H8" si="4">(G5+H5)/2</f>
        <v>1851996030.5</v>
      </c>
      <c r="I8" s="5"/>
      <c r="L8" t="s">
        <v>54</v>
      </c>
    </row>
    <row r="9" spans="2:12" x14ac:dyDescent="0.25">
      <c r="B9" t="s">
        <v>37</v>
      </c>
      <c r="C9" s="22">
        <f t="shared" ref="C9:H9" si="5">C6/C7</f>
        <v>164870000</v>
      </c>
      <c r="D9" s="22">
        <f t="shared" si="5"/>
        <v>416900833.33333337</v>
      </c>
      <c r="E9" s="22">
        <f t="shared" si="5"/>
        <v>723335000.00000012</v>
      </c>
      <c r="F9" s="22">
        <f t="shared" si="5"/>
        <v>1456633333.3333335</v>
      </c>
      <c r="G9" s="22">
        <f t="shared" si="5"/>
        <v>1606083333.3333335</v>
      </c>
      <c r="H9" s="22">
        <f t="shared" si="5"/>
        <v>1911416172.8395061</v>
      </c>
      <c r="I9" s="5"/>
      <c r="L9" s="33" t="s">
        <v>55</v>
      </c>
    </row>
    <row r="10" spans="2:12" x14ac:dyDescent="0.25">
      <c r="C10" s="17"/>
      <c r="D10" s="17"/>
      <c r="E10" s="17"/>
      <c r="F10" s="17"/>
      <c r="G10" s="17"/>
      <c r="H10" s="17"/>
      <c r="I10" s="5"/>
      <c r="L10" t="s">
        <v>56</v>
      </c>
    </row>
    <row r="11" spans="2:12" x14ac:dyDescent="0.25">
      <c r="B11" t="s">
        <v>0</v>
      </c>
      <c r="C11" s="7">
        <v>6453840</v>
      </c>
      <c r="D11" s="7">
        <v>16699948</v>
      </c>
      <c r="E11" s="7">
        <v>28612288</v>
      </c>
      <c r="F11" s="7">
        <v>55451908</v>
      </c>
      <c r="G11" s="7">
        <v>63355725</v>
      </c>
      <c r="H11" s="7">
        <v>53087528</v>
      </c>
      <c r="I11" s="5"/>
      <c r="L11" t="s">
        <v>106</v>
      </c>
    </row>
    <row r="12" spans="2:12" x14ac:dyDescent="0.25">
      <c r="B12" t="s">
        <v>1</v>
      </c>
      <c r="C12" s="7">
        <v>449779</v>
      </c>
      <c r="D12" s="7">
        <v>1214196</v>
      </c>
      <c r="E12" s="7">
        <v>2137859</v>
      </c>
      <c r="F12" s="7">
        <v>4211322</v>
      </c>
      <c r="G12" s="7">
        <v>4497447</v>
      </c>
      <c r="H12" s="7">
        <v>5016404</v>
      </c>
      <c r="I12" s="5"/>
    </row>
    <row r="13" spans="2:12" x14ac:dyDescent="0.25">
      <c r="B13" t="s">
        <v>42</v>
      </c>
      <c r="C13" s="18">
        <f t="shared" ref="C13:H13" si="6">C12/C11</f>
        <v>6.9691687429499341E-2</v>
      </c>
      <c r="D13" s="18">
        <f t="shared" si="6"/>
        <v>7.2706573697115709E-2</v>
      </c>
      <c r="E13" s="18">
        <f t="shared" si="6"/>
        <v>7.4718211979412488E-2</v>
      </c>
      <c r="F13" s="18">
        <f t="shared" si="6"/>
        <v>7.5945484148173939E-2</v>
      </c>
      <c r="G13" s="18">
        <f t="shared" si="6"/>
        <v>7.0987223333013716E-2</v>
      </c>
      <c r="H13" s="18">
        <f t="shared" si="6"/>
        <v>9.4493079429126936E-2</v>
      </c>
      <c r="I13" s="5">
        <f>AVERAGE(D13:H13)</f>
        <v>7.7770114517368566E-2</v>
      </c>
    </row>
    <row r="14" spans="2:12" x14ac:dyDescent="0.25">
      <c r="B14" t="s">
        <v>43</v>
      </c>
      <c r="C14" s="17">
        <f t="shared" ref="C14:H14" si="7">C12/C9</f>
        <v>2.7280827318493356E-3</v>
      </c>
      <c r="D14" s="17">
        <f t="shared" si="7"/>
        <v>2.9124336123098815E-3</v>
      </c>
      <c r="E14" s="17">
        <f t="shared" si="7"/>
        <v>2.9555586277450968E-3</v>
      </c>
      <c r="F14" s="17">
        <f t="shared" si="7"/>
        <v>2.8911338932241007E-3</v>
      </c>
      <c r="G14" s="17">
        <f t="shared" si="7"/>
        <v>2.8002575623929846E-3</v>
      </c>
      <c r="H14" s="17">
        <f t="shared" si="7"/>
        <v>2.6244436304773315E-3</v>
      </c>
      <c r="I14" s="5">
        <f>AVERAGE(D14:H14)</f>
        <v>2.8367654652298791E-3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10</v>
      </c>
      <c r="C16" s="22"/>
      <c r="D16" s="22"/>
      <c r="E16" s="22"/>
      <c r="F16" s="22">
        <v>4326489</v>
      </c>
      <c r="G16" s="22"/>
      <c r="H16" s="22">
        <v>22002115</v>
      </c>
      <c r="I16" s="5"/>
    </row>
    <row r="17" spans="2:9" x14ac:dyDescent="0.25">
      <c r="C17" s="15"/>
      <c r="D17" s="15"/>
      <c r="E17" s="17">
        <f>E16/E5</f>
        <v>0</v>
      </c>
      <c r="F17" s="17">
        <f>F16/F5</f>
        <v>2.5757591681284894E-3</v>
      </c>
      <c r="G17" s="17">
        <f>G16/G5</f>
        <v>0</v>
      </c>
      <c r="H17" s="17">
        <f>H16/H5</f>
        <v>1.0950539452995274E-2</v>
      </c>
      <c r="I17" s="5"/>
    </row>
    <row r="18" spans="2:9" x14ac:dyDescent="0.25">
      <c r="C18" s="15"/>
      <c r="D18" s="15"/>
      <c r="E18" s="15"/>
      <c r="F18" s="15"/>
      <c r="G18" s="15"/>
      <c r="H18" s="15"/>
      <c r="I18" s="5"/>
    </row>
    <row r="19" spans="2:9" x14ac:dyDescent="0.25">
      <c r="B19" t="s">
        <v>5</v>
      </c>
      <c r="D19" s="22"/>
      <c r="E19" s="22">
        <v>89435</v>
      </c>
      <c r="F19" s="22">
        <v>193993</v>
      </c>
      <c r="G19" s="22">
        <v>209291</v>
      </c>
      <c r="H19" s="22">
        <v>480474</v>
      </c>
      <c r="I19" s="5"/>
    </row>
    <row r="20" spans="2:9" x14ac:dyDescent="0.25">
      <c r="B20" t="s">
        <v>6</v>
      </c>
      <c r="C20" s="19">
        <f t="shared" ref="C20:H20" si="8">C19/C9</f>
        <v>0</v>
      </c>
      <c r="D20" s="19">
        <f t="shared" si="8"/>
        <v>0</v>
      </c>
      <c r="E20" s="19">
        <f t="shared" si="8"/>
        <v>1.2364257225213764E-4</v>
      </c>
      <c r="F20" s="19">
        <f t="shared" si="8"/>
        <v>1.3317902011487676E-4</v>
      </c>
      <c r="G20" s="19">
        <f t="shared" si="8"/>
        <v>1.3031142012141336E-4</v>
      </c>
      <c r="H20" s="19">
        <f t="shared" si="8"/>
        <v>2.5137068882609241E-4</v>
      </c>
      <c r="I20" s="5">
        <f>AVERAGE(D20:H20)</f>
        <v>1.2770074026290402E-4</v>
      </c>
    </row>
    <row r="21" spans="2:9" x14ac:dyDescent="0.25">
      <c r="C21" s="14"/>
      <c r="D21" s="15"/>
      <c r="E21" s="15"/>
      <c r="F21" s="15"/>
      <c r="G21" s="15"/>
      <c r="H21" s="15"/>
      <c r="I21" s="5"/>
    </row>
    <row r="22" spans="2:9" x14ac:dyDescent="0.25">
      <c r="B22" t="s">
        <v>11</v>
      </c>
      <c r="C22" s="21">
        <v>422303</v>
      </c>
      <c r="D22" s="22">
        <v>602163</v>
      </c>
      <c r="E22" s="22">
        <v>1099868</v>
      </c>
      <c r="F22" s="22">
        <v>1252501</v>
      </c>
      <c r="G22" s="22">
        <v>481133</v>
      </c>
      <c r="H22" s="22">
        <v>891525</v>
      </c>
      <c r="I22" s="5"/>
    </row>
    <row r="23" spans="2:9" x14ac:dyDescent="0.25">
      <c r="B23" t="s">
        <v>44</v>
      </c>
      <c r="C23" s="17">
        <f t="shared" ref="C23:H23" si="9">C22/C9</f>
        <v>2.5614302177473162E-3</v>
      </c>
      <c r="D23" s="17">
        <f t="shared" si="9"/>
        <v>1.4443794587441856E-3</v>
      </c>
      <c r="E23" s="17">
        <f t="shared" si="9"/>
        <v>1.5205513351351722E-3</v>
      </c>
      <c r="F23" s="17">
        <f t="shared" si="9"/>
        <v>8.5986017986681605E-4</v>
      </c>
      <c r="G23" s="20">
        <f t="shared" si="9"/>
        <v>2.9956913817257301E-4</v>
      </c>
      <c r="H23" s="20">
        <f t="shared" si="9"/>
        <v>4.6642118690227161E-4</v>
      </c>
      <c r="I23" s="5">
        <f>AVERAGE(D23:H23)</f>
        <v>9.1815625976420358E-4</v>
      </c>
    </row>
    <row r="24" spans="2:9" x14ac:dyDescent="0.25">
      <c r="C24" s="17"/>
      <c r="D24" s="17"/>
      <c r="E24" s="17"/>
      <c r="F24" s="17"/>
      <c r="G24" s="20"/>
      <c r="H24" s="20"/>
      <c r="I24" s="5"/>
    </row>
    <row r="25" spans="2:9" x14ac:dyDescent="0.25">
      <c r="C25" s="17"/>
      <c r="D25" s="17"/>
      <c r="E25" s="17"/>
      <c r="F25" s="17"/>
      <c r="G25" s="17"/>
      <c r="H25" s="17"/>
      <c r="I25" s="5"/>
    </row>
    <row r="26" spans="2:9" x14ac:dyDescent="0.25">
      <c r="I26" s="20"/>
    </row>
    <row r="27" spans="2:9" x14ac:dyDescent="0.25">
      <c r="B27" t="s">
        <v>60</v>
      </c>
      <c r="C27" s="5">
        <f>I7+I14-I20+I23</f>
        <v>4.799680001124621E-3</v>
      </c>
      <c r="D27" s="40" t="s">
        <v>105</v>
      </c>
      <c r="E27" s="10"/>
      <c r="F27" s="20"/>
      <c r="G27" s="20"/>
      <c r="H27" s="20"/>
      <c r="I27" s="20"/>
    </row>
    <row r="28" spans="2:9" x14ac:dyDescent="0.25">
      <c r="B28" t="s">
        <v>7</v>
      </c>
      <c r="C28" s="5">
        <f>AVERAGE(GTD!F26:J26)/100</f>
        <v>3.7799999999999995E-3</v>
      </c>
      <c r="D28" s="40" t="s">
        <v>105</v>
      </c>
    </row>
    <row r="29" spans="2:9" x14ac:dyDescent="0.25">
      <c r="B29" t="s">
        <v>48</v>
      </c>
      <c r="C29" s="5">
        <f>C28-C27</f>
        <v>-1.0196800011246215E-3</v>
      </c>
    </row>
    <row r="31" spans="2:9" x14ac:dyDescent="0.25">
      <c r="B31" s="1" t="s">
        <v>49</v>
      </c>
      <c r="C31" s="13">
        <f>0.1%+I14-H20+0.02%</f>
        <v>3.7853947764037868E-3</v>
      </c>
    </row>
    <row r="32" spans="2:9" x14ac:dyDescent="0.25">
      <c r="B32" s="1"/>
      <c r="C32" s="13"/>
    </row>
    <row r="33" spans="2:9" x14ac:dyDescent="0.25">
      <c r="B33" s="1"/>
      <c r="C33" s="13"/>
    </row>
    <row r="34" spans="2:9" x14ac:dyDescent="0.25">
      <c r="B34" s="2"/>
      <c r="C34" s="13"/>
    </row>
    <row r="35" spans="2:9" x14ac:dyDescent="0.25">
      <c r="B35" s="1"/>
      <c r="C35" s="13"/>
      <c r="D35" s="10"/>
      <c r="E35" s="10"/>
      <c r="F35" s="9"/>
      <c r="G35" s="9"/>
      <c r="H35" s="9"/>
      <c r="I35" s="9"/>
    </row>
    <row r="36" spans="2:9" x14ac:dyDescent="0.25">
      <c r="C36" s="10"/>
      <c r="D36" s="10"/>
      <c r="E36" s="10"/>
      <c r="F36" s="9"/>
      <c r="G36" s="9"/>
      <c r="H36" s="9"/>
      <c r="I36" s="9"/>
    </row>
  </sheetData>
  <hyperlinks>
    <hyperlink ref="L9" r:id="rId1" xr:uid="{0F590AA1-B2FE-4C50-B434-79D396F20D31}"/>
  </hyperlinks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9AA-9D8B-4A10-A65A-228471C4BA4F}">
  <dimension ref="B2:L36"/>
  <sheetViews>
    <sheetView zoomScaleNormal="100" workbookViewId="0">
      <selection activeCell="H20" sqref="H20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20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94</v>
      </c>
      <c r="L3" t="s">
        <v>53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33"/>
    </row>
    <row r="5" spans="2:12" x14ac:dyDescent="0.25">
      <c r="B5" t="s">
        <v>34</v>
      </c>
      <c r="C5" s="21">
        <v>95809998</v>
      </c>
      <c r="D5" s="22">
        <v>123443681</v>
      </c>
      <c r="E5" s="22">
        <v>256132398</v>
      </c>
      <c r="F5" s="22">
        <v>353569464</v>
      </c>
      <c r="G5" s="22">
        <v>391574855</v>
      </c>
      <c r="H5" s="22">
        <v>578659274</v>
      </c>
      <c r="I5" s="1"/>
      <c r="L5" t="s">
        <v>54</v>
      </c>
    </row>
    <row r="6" spans="2:12" x14ac:dyDescent="0.25">
      <c r="B6" t="s">
        <v>8</v>
      </c>
      <c r="C6" s="21">
        <v>176697</v>
      </c>
      <c r="D6" s="22">
        <v>222968</v>
      </c>
      <c r="E6" s="22">
        <v>394440</v>
      </c>
      <c r="F6" s="22">
        <v>734028</v>
      </c>
      <c r="G6" s="22">
        <v>772839</v>
      </c>
      <c r="H6" s="22">
        <v>756995</v>
      </c>
      <c r="L6" t="s">
        <v>108</v>
      </c>
    </row>
    <row r="7" spans="2:12" x14ac:dyDescent="0.25">
      <c r="B7" t="s">
        <v>35</v>
      </c>
      <c r="C7" s="16">
        <v>2.2000000000000001E-3</v>
      </c>
      <c r="D7" s="16">
        <v>2.2000000000000001E-3</v>
      </c>
      <c r="E7" s="16">
        <v>2.2000000000000001E-3</v>
      </c>
      <c r="F7" s="16">
        <v>2.2000000000000001E-3</v>
      </c>
      <c r="G7" s="16">
        <v>2.2000000000000001E-3</v>
      </c>
      <c r="H7" s="16">
        <f>((114/366)*0.22%)+((252/366)*0.15%)</f>
        <v>1.7180327868852462E-3</v>
      </c>
      <c r="I7" s="5">
        <f>AVERAGE(C7:H7)</f>
        <v>2.1196721311475411E-3</v>
      </c>
      <c r="L7" t="s">
        <v>109</v>
      </c>
    </row>
    <row r="8" spans="2:12" x14ac:dyDescent="0.25">
      <c r="B8" t="s">
        <v>36</v>
      </c>
      <c r="C8" s="21"/>
      <c r="D8" s="21">
        <f t="shared" ref="D8:H8" si="0">(C5+D5)/2</f>
        <v>109626839.5</v>
      </c>
      <c r="E8" s="21">
        <f t="shared" si="0"/>
        <v>189788039.5</v>
      </c>
      <c r="F8" s="21">
        <f t="shared" si="0"/>
        <v>304850931</v>
      </c>
      <c r="G8" s="21">
        <f t="shared" si="0"/>
        <v>372572159.5</v>
      </c>
      <c r="H8" s="21">
        <f t="shared" si="0"/>
        <v>485117064.5</v>
      </c>
      <c r="I8" s="5"/>
    </row>
    <row r="9" spans="2:12" x14ac:dyDescent="0.25">
      <c r="B9" t="s">
        <v>37</v>
      </c>
      <c r="C9" s="22">
        <f t="shared" ref="C9:H9" si="1">C6/C7</f>
        <v>80316818.181818172</v>
      </c>
      <c r="D9" s="22">
        <f t="shared" si="1"/>
        <v>101349090.90909091</v>
      </c>
      <c r="E9" s="22">
        <f t="shared" si="1"/>
        <v>179290909.09090909</v>
      </c>
      <c r="F9" s="22">
        <f t="shared" si="1"/>
        <v>333649090.90909088</v>
      </c>
      <c r="G9" s="22">
        <f t="shared" si="1"/>
        <v>351290454.5454545</v>
      </c>
      <c r="H9" s="22">
        <f t="shared" si="1"/>
        <v>440617318.70229</v>
      </c>
      <c r="I9" s="5"/>
    </row>
    <row r="10" spans="2:12" x14ac:dyDescent="0.25">
      <c r="C10" s="17"/>
      <c r="D10" s="17"/>
      <c r="E10" s="17"/>
      <c r="F10" s="17"/>
      <c r="G10" s="17"/>
      <c r="H10" s="17"/>
      <c r="I10" s="5"/>
    </row>
    <row r="11" spans="2:12" x14ac:dyDescent="0.25">
      <c r="B11" t="s">
        <v>0</v>
      </c>
      <c r="C11" s="7">
        <v>2910412</v>
      </c>
      <c r="D11" s="7">
        <v>3697627</v>
      </c>
      <c r="E11" s="7">
        <v>6020134</v>
      </c>
      <c r="F11" s="7">
        <v>12310610</v>
      </c>
      <c r="G11" s="7">
        <v>14080736</v>
      </c>
      <c r="H11" s="7">
        <v>14853415</v>
      </c>
      <c r="I11" s="5"/>
    </row>
    <row r="12" spans="2:12" x14ac:dyDescent="0.25">
      <c r="B12" t="s">
        <v>1</v>
      </c>
      <c r="C12" s="7">
        <v>95674</v>
      </c>
      <c r="D12" s="7">
        <v>135521</v>
      </c>
      <c r="E12" s="7">
        <v>217184</v>
      </c>
      <c r="F12" s="7">
        <v>396984</v>
      </c>
      <c r="G12" s="7">
        <v>725905</v>
      </c>
      <c r="H12" s="7">
        <v>642854</v>
      </c>
      <c r="I12" s="5"/>
    </row>
    <row r="13" spans="2:12" x14ac:dyDescent="0.25">
      <c r="B13" t="s">
        <v>42</v>
      </c>
      <c r="C13" s="18">
        <f t="shared" ref="C13:H13" si="2">C12/C11</f>
        <v>3.2873009044767545E-2</v>
      </c>
      <c r="D13" s="18">
        <f t="shared" si="2"/>
        <v>3.6650803339547226E-2</v>
      </c>
      <c r="E13" s="18">
        <f t="shared" si="2"/>
        <v>3.6076273385276809E-2</v>
      </c>
      <c r="F13" s="18">
        <f t="shared" si="2"/>
        <v>3.2247305373169971E-2</v>
      </c>
      <c r="G13" s="18">
        <f t="shared" si="2"/>
        <v>5.1553058021967031E-2</v>
      </c>
      <c r="H13" s="18">
        <f t="shared" si="2"/>
        <v>4.3279878734957582E-2</v>
      </c>
      <c r="I13" s="5">
        <f>AVERAGE(C13:H13)</f>
        <v>3.8780054649947694E-2</v>
      </c>
    </row>
    <row r="14" spans="2:12" x14ac:dyDescent="0.25">
      <c r="B14" t="s">
        <v>43</v>
      </c>
      <c r="C14" s="17">
        <f t="shared" ref="C14:H14" si="3">C12/C9</f>
        <v>1.191207547383374E-3</v>
      </c>
      <c r="D14" s="17">
        <f t="shared" si="3"/>
        <v>1.3371703562843099E-3</v>
      </c>
      <c r="E14" s="17">
        <f t="shared" si="3"/>
        <v>1.2113497616874555E-3</v>
      </c>
      <c r="F14" s="17">
        <f t="shared" si="3"/>
        <v>1.1898249113112852E-3</v>
      </c>
      <c r="G14" s="17">
        <f t="shared" si="3"/>
        <v>2.0663954588213073E-3</v>
      </c>
      <c r="H14" s="17">
        <f t="shared" si="3"/>
        <v>1.4589848667168582E-3</v>
      </c>
      <c r="I14" s="5">
        <f>AVERAGE(C14:H14)</f>
        <v>1.409155483700765E-3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10</v>
      </c>
      <c r="C16" s="22"/>
      <c r="D16" s="22"/>
      <c r="E16" s="22"/>
      <c r="F16" s="22">
        <v>2168054</v>
      </c>
      <c r="G16" s="22"/>
      <c r="H16" s="22">
        <v>5733068</v>
      </c>
      <c r="I16" s="5"/>
    </row>
    <row r="17" spans="2:9" x14ac:dyDescent="0.25">
      <c r="C17" s="15"/>
      <c r="D17" s="15"/>
      <c r="E17" s="17">
        <f>E16/E5</f>
        <v>0</v>
      </c>
      <c r="F17" s="17">
        <f>F16/F5</f>
        <v>6.1319039700781404E-3</v>
      </c>
      <c r="G17" s="17">
        <f>G16/G5</f>
        <v>0</v>
      </c>
      <c r="H17" s="17">
        <f>H16/H5</f>
        <v>9.9075021478010564E-3</v>
      </c>
      <c r="I17" s="5"/>
    </row>
    <row r="18" spans="2:9" x14ac:dyDescent="0.25">
      <c r="C18" s="15"/>
      <c r="D18" s="15"/>
      <c r="E18" s="15"/>
      <c r="F18" s="15"/>
      <c r="G18" s="15"/>
      <c r="H18" s="15"/>
      <c r="I18" s="5"/>
    </row>
    <row r="19" spans="2:9" x14ac:dyDescent="0.25">
      <c r="B19" t="s">
        <v>5</v>
      </c>
      <c r="D19" s="22"/>
      <c r="E19" s="22">
        <v>4070</v>
      </c>
      <c r="F19" s="22">
        <v>43784</v>
      </c>
      <c r="G19" s="22">
        <v>81269</v>
      </c>
      <c r="H19" s="22">
        <v>147489</v>
      </c>
      <c r="I19" s="5"/>
    </row>
    <row r="20" spans="2:9" x14ac:dyDescent="0.25">
      <c r="B20" t="s">
        <v>6</v>
      </c>
      <c r="C20" s="19">
        <f t="shared" ref="C20:H20" si="4">C19/C9</f>
        <v>0</v>
      </c>
      <c r="D20" s="19">
        <f t="shared" si="4"/>
        <v>0</v>
      </c>
      <c r="E20" s="19">
        <f t="shared" si="4"/>
        <v>2.2700537470844743E-5</v>
      </c>
      <c r="F20" s="19">
        <f t="shared" si="4"/>
        <v>1.3122769158669699E-4</v>
      </c>
      <c r="G20" s="19">
        <f t="shared" si="4"/>
        <v>2.3134417388356439E-4</v>
      </c>
      <c r="H20" s="19">
        <f t="shared" si="4"/>
        <v>3.3473264381524061E-4</v>
      </c>
      <c r="I20" s="4">
        <f>AVERAGE(C20:H20)</f>
        <v>1.2000084112605779E-4</v>
      </c>
    </row>
    <row r="21" spans="2:9" x14ac:dyDescent="0.25">
      <c r="C21" s="14"/>
      <c r="D21" s="15"/>
      <c r="E21" s="15"/>
      <c r="F21" s="15"/>
      <c r="G21" s="15"/>
      <c r="H21" s="15"/>
      <c r="I21" s="5"/>
    </row>
    <row r="22" spans="2:9" x14ac:dyDescent="0.25">
      <c r="B22" t="s">
        <v>11</v>
      </c>
      <c r="C22" s="21">
        <v>57821</v>
      </c>
      <c r="D22" s="22">
        <v>32497</v>
      </c>
      <c r="E22" s="22">
        <v>59576</v>
      </c>
      <c r="F22" s="22">
        <v>92342</v>
      </c>
      <c r="G22" s="22">
        <v>59886</v>
      </c>
      <c r="H22" s="22">
        <v>127784</v>
      </c>
      <c r="I22" s="5"/>
    </row>
    <row r="23" spans="2:9" x14ac:dyDescent="0.25">
      <c r="B23" t="s">
        <v>44</v>
      </c>
      <c r="C23" s="17">
        <f t="shared" ref="C23:H23" si="5">C22/C9</f>
        <v>7.1991148689564625E-4</v>
      </c>
      <c r="D23" s="17">
        <f t="shared" si="5"/>
        <v>3.2064421800437733E-4</v>
      </c>
      <c r="E23" s="17">
        <f t="shared" si="5"/>
        <v>3.322867863299868E-4</v>
      </c>
      <c r="F23" s="17">
        <f t="shared" si="5"/>
        <v>2.7676382917272914E-4</v>
      </c>
      <c r="G23" s="20">
        <f t="shared" si="5"/>
        <v>1.7047431612535083E-4</v>
      </c>
      <c r="H23" s="20">
        <f t="shared" si="5"/>
        <v>2.9001129682407981E-4</v>
      </c>
      <c r="I23" s="5">
        <f>AVERAGE(C23:H23)</f>
        <v>3.5168198889202839E-4</v>
      </c>
    </row>
    <row r="24" spans="2:9" x14ac:dyDescent="0.25">
      <c r="C24" s="17"/>
      <c r="D24" s="17"/>
      <c r="E24" s="17"/>
      <c r="F24" s="17"/>
      <c r="G24" s="20"/>
      <c r="H24" s="20"/>
      <c r="I24" s="5"/>
    </row>
    <row r="25" spans="2:9" x14ac:dyDescent="0.25">
      <c r="C25" s="17"/>
      <c r="D25" s="17"/>
      <c r="E25" s="17"/>
      <c r="F25" s="17"/>
      <c r="G25" s="17"/>
      <c r="H25" s="17"/>
      <c r="I25" s="5"/>
    </row>
    <row r="26" spans="2:9" x14ac:dyDescent="0.25">
      <c r="I26" s="20"/>
    </row>
    <row r="27" spans="2:9" x14ac:dyDescent="0.25">
      <c r="B27" t="s">
        <v>60</v>
      </c>
      <c r="C27" s="5">
        <f>I7+I14-I20+I23</f>
        <v>3.7605087626142765E-3</v>
      </c>
      <c r="D27" s="40" t="s">
        <v>81</v>
      </c>
      <c r="E27" s="10"/>
      <c r="F27" s="20"/>
      <c r="G27" s="20"/>
      <c r="H27" s="20"/>
      <c r="I27" s="20"/>
    </row>
    <row r="28" spans="2:9" x14ac:dyDescent="0.25">
      <c r="B28" t="s">
        <v>7</v>
      </c>
      <c r="C28" s="5">
        <f>AVERAGE(GTD!E33:J33)/100</f>
        <v>3.5500000000000015E-3</v>
      </c>
      <c r="D28" s="40" t="s">
        <v>81</v>
      </c>
    </row>
    <row r="29" spans="2:9" x14ac:dyDescent="0.25">
      <c r="B29" t="s">
        <v>48</v>
      </c>
      <c r="C29" s="5">
        <f>C28-C27</f>
        <v>-2.1050876261427499E-4</v>
      </c>
    </row>
    <row r="31" spans="2:9" x14ac:dyDescent="0.25">
      <c r="B31" s="1" t="s">
        <v>49</v>
      </c>
      <c r="C31" s="13">
        <f>0.15%+I14-H20+H23</f>
        <v>2.8644341367096045E-3</v>
      </c>
    </row>
    <row r="32" spans="2:9" x14ac:dyDescent="0.25">
      <c r="B32" s="1"/>
      <c r="C32" s="13"/>
    </row>
    <row r="33" spans="2:9" x14ac:dyDescent="0.25">
      <c r="B33" s="1"/>
      <c r="C33" s="13"/>
    </row>
    <row r="34" spans="2:9" x14ac:dyDescent="0.25">
      <c r="B34" s="2"/>
      <c r="C34" s="13"/>
    </row>
    <row r="35" spans="2:9" x14ac:dyDescent="0.25">
      <c r="B35" s="1"/>
      <c r="C35" s="13"/>
      <c r="D35" s="10"/>
      <c r="E35" s="10"/>
      <c r="F35" s="9"/>
      <c r="G35" s="9"/>
      <c r="H35" s="9"/>
      <c r="I35" s="9"/>
    </row>
    <row r="36" spans="2:9" x14ac:dyDescent="0.25">
      <c r="C36" s="10"/>
      <c r="D36" s="10"/>
      <c r="E36" s="10"/>
      <c r="F36" s="9"/>
      <c r="G36" s="9"/>
      <c r="H36" s="9"/>
      <c r="I36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62D4-0311-4C15-9CAB-0AC451E6E3A5}">
  <dimension ref="B2:L36"/>
  <sheetViews>
    <sheetView tabSelected="1" zoomScaleNormal="100" workbookViewId="0">
      <selection activeCell="F39" sqref="F39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25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94</v>
      </c>
      <c r="L3" t="s">
        <v>53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33"/>
    </row>
    <row r="5" spans="2:12" x14ac:dyDescent="0.25">
      <c r="B5" t="s">
        <v>34</v>
      </c>
      <c r="C5" s="21">
        <v>590786984</v>
      </c>
      <c r="D5" s="22">
        <v>722285064</v>
      </c>
      <c r="E5" s="22">
        <v>1085744450</v>
      </c>
      <c r="F5" s="22">
        <v>2020467317</v>
      </c>
      <c r="G5" s="22">
        <v>1829551730</v>
      </c>
      <c r="H5" s="22">
        <v>1685328502</v>
      </c>
      <c r="I5" s="1"/>
      <c r="L5" t="s">
        <v>54</v>
      </c>
    </row>
    <row r="6" spans="2:12" x14ac:dyDescent="0.25">
      <c r="B6" t="s">
        <v>8</v>
      </c>
      <c r="C6" s="21">
        <v>1049432</v>
      </c>
      <c r="D6" s="22">
        <v>1383165</v>
      </c>
      <c r="E6" s="22">
        <v>1596845</v>
      </c>
      <c r="F6" s="22">
        <v>3363704</v>
      </c>
      <c r="G6" s="22">
        <v>3719157</v>
      </c>
      <c r="H6" s="22">
        <v>2951847</v>
      </c>
      <c r="L6" t="s">
        <v>56</v>
      </c>
    </row>
    <row r="7" spans="2:12" x14ac:dyDescent="0.25">
      <c r="B7" t="s">
        <v>35</v>
      </c>
      <c r="C7" s="16">
        <v>1.9E-3</v>
      </c>
      <c r="D7" s="16">
        <v>1.9E-3</v>
      </c>
      <c r="E7" s="16">
        <v>1.9E-3</v>
      </c>
      <c r="F7" s="16">
        <v>1.9E-3</v>
      </c>
      <c r="G7" s="16">
        <v>1.9E-3</v>
      </c>
      <c r="H7" s="16">
        <f>((114/366)*0.19%)+((252/366)*0.15%)</f>
        <v>1.6245901639344263E-3</v>
      </c>
      <c r="I7" s="5">
        <f>AVERAGE(C7:H7)</f>
        <v>1.8540983606557375E-3</v>
      </c>
      <c r="L7" t="s">
        <v>110</v>
      </c>
    </row>
    <row r="8" spans="2:12" x14ac:dyDescent="0.25">
      <c r="B8" t="s">
        <v>36</v>
      </c>
      <c r="C8" s="21"/>
      <c r="D8" s="21">
        <f t="shared" ref="D8:H8" si="0">(C5+D5)/2</f>
        <v>656536024</v>
      </c>
      <c r="E8" s="21">
        <f t="shared" si="0"/>
        <v>904014757</v>
      </c>
      <c r="F8" s="21">
        <f t="shared" si="0"/>
        <v>1553105883.5</v>
      </c>
      <c r="G8" s="21">
        <f t="shared" si="0"/>
        <v>1925009523.5</v>
      </c>
      <c r="H8" s="21">
        <f t="shared" si="0"/>
        <v>1757440116</v>
      </c>
      <c r="I8" s="5"/>
    </row>
    <row r="9" spans="2:12" x14ac:dyDescent="0.25">
      <c r="B9" t="s">
        <v>37</v>
      </c>
      <c r="C9" s="22">
        <f t="shared" ref="C9:H9" si="1">C6/C7</f>
        <v>552332631.57894742</v>
      </c>
      <c r="D9" s="22">
        <f t="shared" si="1"/>
        <v>727981578.94736838</v>
      </c>
      <c r="E9" s="22">
        <f t="shared" si="1"/>
        <v>840444736.84210527</v>
      </c>
      <c r="F9" s="22">
        <f t="shared" si="1"/>
        <v>1770370526.3157895</v>
      </c>
      <c r="G9" s="22">
        <f t="shared" si="1"/>
        <v>1957451052.6315789</v>
      </c>
      <c r="H9" s="22">
        <f t="shared" si="1"/>
        <v>1816979485.3683147</v>
      </c>
      <c r="I9" s="5"/>
    </row>
    <row r="10" spans="2:12" x14ac:dyDescent="0.25">
      <c r="C10" s="17"/>
      <c r="D10" s="17"/>
      <c r="E10" s="17"/>
      <c r="F10" s="17"/>
      <c r="G10" s="17"/>
      <c r="H10" s="17"/>
      <c r="I10" s="5"/>
    </row>
    <row r="11" spans="2:12" x14ac:dyDescent="0.25">
      <c r="B11" t="s">
        <v>0</v>
      </c>
      <c r="C11" s="7">
        <v>10217727</v>
      </c>
      <c r="D11" s="7">
        <v>16266986</v>
      </c>
      <c r="E11" s="7">
        <v>17759481</v>
      </c>
      <c r="F11" s="7">
        <v>39527484</v>
      </c>
      <c r="G11" s="7">
        <v>46429139</v>
      </c>
      <c r="H11" s="7">
        <v>44479054</v>
      </c>
      <c r="I11" s="5"/>
    </row>
    <row r="12" spans="2:12" x14ac:dyDescent="0.25">
      <c r="B12" t="s">
        <v>1</v>
      </c>
      <c r="C12" s="7">
        <v>1532098</v>
      </c>
      <c r="D12" s="7">
        <v>2439137</v>
      </c>
      <c r="E12" s="7">
        <v>2650584</v>
      </c>
      <c r="F12" s="7">
        <v>5929674</v>
      </c>
      <c r="G12" s="7">
        <v>6964518</v>
      </c>
      <c r="H12" s="7">
        <v>6671858</v>
      </c>
      <c r="I12" s="5"/>
    </row>
    <row r="13" spans="2:12" x14ac:dyDescent="0.25">
      <c r="B13" t="s">
        <v>42</v>
      </c>
      <c r="C13" s="18">
        <f t="shared" ref="C13:H13" si="2">C12/C11</f>
        <v>0.14994509052747251</v>
      </c>
      <c r="D13" s="18">
        <f t="shared" si="2"/>
        <v>0.14994400314846279</v>
      </c>
      <c r="E13" s="18">
        <f>E12/E11</f>
        <v>0.14924895609280475</v>
      </c>
      <c r="F13" s="18">
        <f t="shared" si="2"/>
        <v>0.15001394978744409</v>
      </c>
      <c r="G13" s="18">
        <f t="shared" si="2"/>
        <v>0.15000316934587135</v>
      </c>
      <c r="H13" s="18">
        <f t="shared" si="2"/>
        <v>0.14999999775175074</v>
      </c>
      <c r="I13" s="5">
        <f>AVERAGE(C13:H13)</f>
        <v>0.14985919444230103</v>
      </c>
    </row>
    <row r="14" spans="2:12" x14ac:dyDescent="0.25">
      <c r="B14" t="s">
        <v>43</v>
      </c>
      <c r="C14" s="17">
        <f t="shared" ref="C14:H14" si="3">C12/C9</f>
        <v>2.7738683402068927E-3</v>
      </c>
      <c r="D14" s="17">
        <f t="shared" si="3"/>
        <v>3.3505476931530226E-3</v>
      </c>
      <c r="E14" s="17">
        <f t="shared" si="3"/>
        <v>3.153787374479051E-3</v>
      </c>
      <c r="F14" s="17">
        <f t="shared" si="3"/>
        <v>3.3493971526626599E-3</v>
      </c>
      <c r="G14" s="17">
        <f t="shared" si="3"/>
        <v>3.557952568283619E-3</v>
      </c>
      <c r="H14" s="17">
        <f t="shared" si="3"/>
        <v>3.6719500983510372E-3</v>
      </c>
      <c r="I14" s="5">
        <f>AVERAGE(C14:H14)</f>
        <v>3.3095838711893802E-3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10</v>
      </c>
      <c r="C16" s="22"/>
      <c r="D16" s="22"/>
      <c r="E16" s="22"/>
      <c r="F16" s="22">
        <v>4191238</v>
      </c>
      <c r="G16" s="22"/>
      <c r="H16" s="22">
        <v>109586469</v>
      </c>
      <c r="I16" s="5"/>
    </row>
    <row r="17" spans="2:9" x14ac:dyDescent="0.25">
      <c r="C17" s="15"/>
      <c r="D17" s="15"/>
      <c r="E17" s="17">
        <f>E16/E5</f>
        <v>0</v>
      </c>
      <c r="F17" s="17">
        <f>F16/F5</f>
        <v>2.0743903970805977E-3</v>
      </c>
      <c r="G17" s="17">
        <f>G16/G5</f>
        <v>0</v>
      </c>
      <c r="H17" s="17">
        <f>H16/H5</f>
        <v>6.5023803294106994E-2</v>
      </c>
      <c r="I17" s="5"/>
    </row>
    <row r="18" spans="2:9" x14ac:dyDescent="0.25">
      <c r="C18" s="15"/>
      <c r="D18" s="15"/>
      <c r="E18" s="15"/>
      <c r="F18" s="15"/>
      <c r="G18" s="15"/>
      <c r="H18" s="15"/>
      <c r="I18" s="5"/>
    </row>
    <row r="19" spans="2:9" x14ac:dyDescent="0.25">
      <c r="B19" t="s">
        <v>5</v>
      </c>
      <c r="D19" s="22"/>
      <c r="E19" s="22">
        <v>23585</v>
      </c>
      <c r="F19" s="22">
        <v>204352</v>
      </c>
      <c r="G19" s="22">
        <v>191141</v>
      </c>
      <c r="H19" s="22">
        <v>287610</v>
      </c>
      <c r="I19" s="5"/>
    </row>
    <row r="20" spans="2:9" x14ac:dyDescent="0.25">
      <c r="B20" t="s">
        <v>6</v>
      </c>
      <c r="C20" s="19">
        <f t="shared" ref="C20:H20" si="4">C19/C9</f>
        <v>0</v>
      </c>
      <c r="D20" s="19">
        <f t="shared" si="4"/>
        <v>0</v>
      </c>
      <c r="E20" s="19">
        <f t="shared" si="4"/>
        <v>2.806252328810874E-5</v>
      </c>
      <c r="F20" s="19">
        <f t="shared" si="4"/>
        <v>1.1542894380718398E-4</v>
      </c>
      <c r="G20" s="19">
        <f t="shared" si="4"/>
        <v>9.764790784578334E-5</v>
      </c>
      <c r="H20" s="19">
        <f t="shared" si="4"/>
        <v>1.5829017460904321E-4</v>
      </c>
      <c r="I20" s="4">
        <f>AVERAGE(C20:H20)</f>
        <v>6.6571591591686537E-5</v>
      </c>
    </row>
    <row r="21" spans="2:9" x14ac:dyDescent="0.25">
      <c r="C21" s="14"/>
      <c r="D21" s="15"/>
      <c r="E21" s="15"/>
      <c r="F21" s="15"/>
      <c r="G21" s="15"/>
      <c r="H21" s="15"/>
      <c r="I21" s="5"/>
    </row>
    <row r="22" spans="2:9" x14ac:dyDescent="0.25">
      <c r="B22" t="s">
        <v>11</v>
      </c>
      <c r="C22" s="21">
        <v>85794</v>
      </c>
      <c r="D22" s="22">
        <v>109651</v>
      </c>
      <c r="E22" s="22">
        <v>103589</v>
      </c>
      <c r="F22" s="22">
        <v>128797</v>
      </c>
      <c r="G22" s="22">
        <v>90461</v>
      </c>
      <c r="H22" s="22">
        <v>37218</v>
      </c>
      <c r="I22" s="5"/>
    </row>
    <row r="23" spans="2:9" x14ac:dyDescent="0.25">
      <c r="B23" t="s">
        <v>44</v>
      </c>
      <c r="C23" s="17">
        <f t="shared" ref="C23:H23" si="5">C22/C9</f>
        <v>1.5533031201640505E-4</v>
      </c>
      <c r="D23" s="17">
        <f t="shared" si="5"/>
        <v>1.5062331681325078E-4</v>
      </c>
      <c r="E23" s="17">
        <f t="shared" si="5"/>
        <v>1.2325498091549274E-4</v>
      </c>
      <c r="F23" s="17">
        <f t="shared" si="5"/>
        <v>7.2751437106237648E-5</v>
      </c>
      <c r="G23" s="20">
        <f t="shared" si="5"/>
        <v>4.6213671539007365E-5</v>
      </c>
      <c r="H23" s="20">
        <f t="shared" si="5"/>
        <v>2.0483445355166266E-5</v>
      </c>
      <c r="I23" s="5">
        <f>AVERAGE(C23:H23)</f>
        <v>9.4776193957593302E-5</v>
      </c>
    </row>
    <row r="24" spans="2:9" x14ac:dyDescent="0.25">
      <c r="C24" s="17"/>
      <c r="D24" s="17"/>
      <c r="E24" s="17"/>
      <c r="F24" s="17"/>
      <c r="G24" s="20"/>
      <c r="H24" s="20"/>
      <c r="I24" s="5"/>
    </row>
    <row r="25" spans="2:9" x14ac:dyDescent="0.25">
      <c r="C25" s="17"/>
      <c r="D25" s="17"/>
      <c r="E25" s="17"/>
      <c r="F25" s="17"/>
      <c r="G25" s="17"/>
      <c r="H25" s="17"/>
      <c r="I25" s="5"/>
    </row>
    <row r="26" spans="2:9" x14ac:dyDescent="0.25">
      <c r="I26" s="20"/>
    </row>
    <row r="27" spans="2:9" x14ac:dyDescent="0.25">
      <c r="B27" t="s">
        <v>60</v>
      </c>
      <c r="C27" s="5">
        <f>I7+I14-I20+I23</f>
        <v>5.1918868342110246E-3</v>
      </c>
      <c r="D27" s="40" t="s">
        <v>81</v>
      </c>
      <c r="E27" s="10"/>
      <c r="F27" s="20"/>
      <c r="G27" s="20"/>
      <c r="H27" s="20"/>
      <c r="I27" s="20"/>
    </row>
    <row r="28" spans="2:9" x14ac:dyDescent="0.25">
      <c r="B28" t="s">
        <v>7</v>
      </c>
      <c r="C28" s="5">
        <f>AVERAGE(GTD!E40:J40)/100</f>
        <v>5.416666666666666E-3</v>
      </c>
      <c r="D28" s="40" t="s">
        <v>81</v>
      </c>
    </row>
    <row r="29" spans="2:9" x14ac:dyDescent="0.25">
      <c r="B29" t="s">
        <v>48</v>
      </c>
      <c r="C29" s="5">
        <f>C28-C27</f>
        <v>2.2477983245564135E-4</v>
      </c>
    </row>
    <row r="31" spans="2:9" x14ac:dyDescent="0.25">
      <c r="B31" s="1" t="s">
        <v>49</v>
      </c>
      <c r="C31" s="13">
        <f>0.15%+I14-H20+H23</f>
        <v>4.6717771419355026E-3</v>
      </c>
    </row>
    <row r="32" spans="2:9" x14ac:dyDescent="0.25">
      <c r="B32" s="1"/>
      <c r="C32" s="13"/>
    </row>
    <row r="33" spans="2:9" x14ac:dyDescent="0.25">
      <c r="B33" s="1"/>
      <c r="C33" s="13"/>
    </row>
    <row r="34" spans="2:9" x14ac:dyDescent="0.25">
      <c r="B34" s="2"/>
      <c r="C34" s="13"/>
    </row>
    <row r="35" spans="2:9" x14ac:dyDescent="0.25">
      <c r="B35" s="1"/>
      <c r="C35" s="13"/>
      <c r="D35" s="10"/>
      <c r="E35" s="10"/>
      <c r="F35" s="9"/>
      <c r="G35" s="9"/>
      <c r="H35" s="9"/>
      <c r="I35" s="9"/>
    </row>
    <row r="36" spans="2:9" x14ac:dyDescent="0.25">
      <c r="C36" s="10"/>
      <c r="D36" s="10"/>
      <c r="E36" s="10"/>
      <c r="F36" s="9"/>
      <c r="G36" s="9"/>
      <c r="H36" s="9"/>
      <c r="I36" s="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M41"/>
  <sheetViews>
    <sheetView workbookViewId="0"/>
  </sheetViews>
  <sheetFormatPr defaultRowHeight="15" x14ac:dyDescent="0.25"/>
  <cols>
    <col min="2" max="2" width="67.28515625" bestFit="1" customWidth="1"/>
  </cols>
  <sheetData>
    <row r="1" spans="2:13" x14ac:dyDescent="0.25">
      <c r="C1" s="27">
        <v>2013</v>
      </c>
      <c r="D1" s="27">
        <v>2014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L1" s="1" t="s">
        <v>32</v>
      </c>
      <c r="M1" s="1" t="s">
        <v>33</v>
      </c>
    </row>
    <row r="2" spans="2:13" x14ac:dyDescent="0.25">
      <c r="B2" s="23" t="s">
        <v>12</v>
      </c>
      <c r="C2" s="24">
        <v>22.82</v>
      </c>
      <c r="D2" s="24">
        <v>4.28</v>
      </c>
      <c r="E2" s="24">
        <v>-2.23</v>
      </c>
      <c r="F2" s="24">
        <v>7.98</v>
      </c>
      <c r="G2" s="24">
        <v>23.98</v>
      </c>
      <c r="H2" s="24">
        <v>-9.6199999999999992</v>
      </c>
      <c r="I2" s="24">
        <v>26.57</v>
      </c>
      <c r="J2" s="25">
        <v>15.99</v>
      </c>
      <c r="K2" s="25"/>
      <c r="L2" s="25"/>
      <c r="M2" s="25"/>
    </row>
    <row r="3" spans="2:13" x14ac:dyDescent="0.25">
      <c r="B3" s="23" t="s">
        <v>13</v>
      </c>
      <c r="C3" s="25">
        <v>23.3</v>
      </c>
      <c r="D3" s="25">
        <v>4.8</v>
      </c>
      <c r="E3" s="25">
        <v>-1.7</v>
      </c>
      <c r="F3" s="25">
        <v>8.6</v>
      </c>
      <c r="G3" s="25">
        <v>24.6</v>
      </c>
      <c r="H3" s="25">
        <v>-9.1</v>
      </c>
      <c r="I3" s="25">
        <v>27.2</v>
      </c>
      <c r="J3" s="25">
        <v>16.600000000000001</v>
      </c>
      <c r="K3" s="25"/>
      <c r="L3" s="25"/>
      <c r="M3" s="25"/>
    </row>
    <row r="4" spans="2:13" x14ac:dyDescent="0.25">
      <c r="B4" s="23" t="s">
        <v>14</v>
      </c>
      <c r="C4" s="26">
        <v>22.69</v>
      </c>
      <c r="D4" s="26">
        <v>4.2300000000000004</v>
      </c>
      <c r="E4" s="26">
        <v>-2.17</v>
      </c>
      <c r="F4" s="26">
        <v>8</v>
      </c>
      <c r="G4" s="26">
        <v>23.97</v>
      </c>
      <c r="H4" s="26">
        <v>-9.57</v>
      </c>
      <c r="I4" s="26">
        <v>26.52</v>
      </c>
      <c r="J4" s="25">
        <v>16.010000000000002</v>
      </c>
      <c r="K4" s="25"/>
      <c r="L4" s="25"/>
      <c r="M4" s="25"/>
    </row>
    <row r="5" spans="2:13" x14ac:dyDescent="0.25">
      <c r="B5" s="23" t="s">
        <v>15</v>
      </c>
      <c r="C5" s="24">
        <f t="shared" ref="C5:J5" si="0">C3-C2</f>
        <v>0.48000000000000043</v>
      </c>
      <c r="D5" s="24">
        <f t="shared" si="0"/>
        <v>0.51999999999999957</v>
      </c>
      <c r="E5" s="24">
        <f t="shared" si="0"/>
        <v>0.53</v>
      </c>
      <c r="F5" s="24">
        <f t="shared" si="0"/>
        <v>0.61999999999999922</v>
      </c>
      <c r="G5" s="24">
        <f t="shared" si="0"/>
        <v>0.62000000000000099</v>
      </c>
      <c r="H5" s="24">
        <f t="shared" si="0"/>
        <v>0.51999999999999957</v>
      </c>
      <c r="I5" s="24">
        <f t="shared" si="0"/>
        <v>0.62999999999999901</v>
      </c>
      <c r="J5" s="24">
        <f t="shared" si="0"/>
        <v>0.61000000000000121</v>
      </c>
      <c r="K5" s="25"/>
      <c r="L5" s="28">
        <f>AVERAGE(C5:J5)</f>
        <v>0.56625000000000003</v>
      </c>
      <c r="M5" s="29"/>
    </row>
    <row r="6" spans="2:13" x14ac:dyDescent="0.25">
      <c r="B6" s="23" t="s">
        <v>16</v>
      </c>
      <c r="C6" s="24">
        <f>C2-C4</f>
        <v>0.12999999999999901</v>
      </c>
      <c r="D6" s="24">
        <f t="shared" ref="D6:J6" si="1">D2-D4</f>
        <v>4.9999999999999822E-2</v>
      </c>
      <c r="E6" s="24">
        <f t="shared" si="1"/>
        <v>-6.0000000000000053E-2</v>
      </c>
      <c r="F6" s="24">
        <f t="shared" si="1"/>
        <v>-1.9999999999999574E-2</v>
      </c>
      <c r="G6" s="24">
        <f t="shared" si="1"/>
        <v>1.0000000000001563E-2</v>
      </c>
      <c r="H6" s="24">
        <f t="shared" si="1"/>
        <v>-4.9999999999998934E-2</v>
      </c>
      <c r="I6" s="24">
        <f t="shared" si="1"/>
        <v>5.0000000000000711E-2</v>
      </c>
      <c r="J6" s="24">
        <f t="shared" si="1"/>
        <v>-2.000000000000135E-2</v>
      </c>
      <c r="K6" s="25"/>
      <c r="L6" s="29"/>
      <c r="M6" s="29">
        <f>AVERAGE(C6:J6)</f>
        <v>1.1250000000000149E-2</v>
      </c>
    </row>
    <row r="7" spans="2:13" x14ac:dyDescent="0.25">
      <c r="L7" s="30"/>
      <c r="M7" s="30"/>
    </row>
    <row r="8" spans="2:13" x14ac:dyDescent="0.25">
      <c r="L8" s="30"/>
      <c r="M8" s="30"/>
    </row>
    <row r="9" spans="2:13" x14ac:dyDescent="0.25">
      <c r="B9" s="23" t="s">
        <v>72</v>
      </c>
      <c r="C9" s="24"/>
      <c r="D9" s="24"/>
      <c r="E9" s="24">
        <v>-0.81</v>
      </c>
      <c r="F9" s="24">
        <v>7.68</v>
      </c>
      <c r="G9" s="24">
        <v>23.29</v>
      </c>
      <c r="H9" s="24">
        <v>-9.1</v>
      </c>
      <c r="I9" s="24">
        <v>27.42</v>
      </c>
      <c r="J9" s="24">
        <v>16.21</v>
      </c>
      <c r="K9" s="25"/>
      <c r="L9" s="36"/>
      <c r="M9" s="36"/>
    </row>
    <row r="10" spans="2:13" x14ac:dyDescent="0.25">
      <c r="B10" s="23" t="s">
        <v>73</v>
      </c>
      <c r="C10" s="24"/>
      <c r="D10" s="24"/>
      <c r="E10" s="24">
        <v>-0.3</v>
      </c>
      <c r="F10" s="24">
        <v>8.1999999999999993</v>
      </c>
      <c r="G10" s="24">
        <v>23.9</v>
      </c>
      <c r="H10" s="24">
        <v>-8.6</v>
      </c>
      <c r="I10" s="24">
        <v>28</v>
      </c>
      <c r="J10" s="24">
        <v>16.7</v>
      </c>
      <c r="K10" s="25"/>
      <c r="L10" s="25"/>
      <c r="M10" s="36"/>
    </row>
    <row r="11" spans="2:13" x14ac:dyDescent="0.25">
      <c r="B11" s="23" t="s">
        <v>74</v>
      </c>
      <c r="C11" s="24"/>
      <c r="D11" s="24"/>
      <c r="E11" s="24">
        <v>-0.81</v>
      </c>
      <c r="F11" s="24">
        <v>7.55</v>
      </c>
      <c r="G11" s="24">
        <v>23.18</v>
      </c>
      <c r="H11" s="24">
        <v>-9.1300000000000008</v>
      </c>
      <c r="I11" s="24">
        <v>27.27</v>
      </c>
      <c r="J11" s="24">
        <v>16.11</v>
      </c>
      <c r="K11" s="25"/>
      <c r="L11" s="36"/>
      <c r="M11" s="36"/>
    </row>
    <row r="12" spans="2:13" x14ac:dyDescent="0.25">
      <c r="B12" s="23" t="s">
        <v>15</v>
      </c>
      <c r="C12" s="24"/>
      <c r="D12" s="24"/>
      <c r="E12" s="24">
        <f>E10-E9</f>
        <v>0.51</v>
      </c>
      <c r="F12" s="24">
        <f t="shared" ref="F12:J12" si="2">F10-F9</f>
        <v>0.51999999999999957</v>
      </c>
      <c r="G12" s="24">
        <f t="shared" si="2"/>
        <v>0.60999999999999943</v>
      </c>
      <c r="H12" s="24">
        <f t="shared" si="2"/>
        <v>0.5</v>
      </c>
      <c r="I12" s="24">
        <f t="shared" si="2"/>
        <v>0.57999999999999829</v>
      </c>
      <c r="J12" s="24">
        <f t="shared" si="2"/>
        <v>0.48999999999999844</v>
      </c>
      <c r="K12" s="25"/>
      <c r="L12" s="36">
        <f>AVERAGE(E12:J12)</f>
        <v>0.53499999999999925</v>
      </c>
      <c r="M12" s="36"/>
    </row>
    <row r="13" spans="2:13" x14ac:dyDescent="0.25">
      <c r="B13" s="23" t="s">
        <v>16</v>
      </c>
      <c r="C13" s="24"/>
      <c r="D13" s="24"/>
      <c r="E13" s="24">
        <f>E9-E11</f>
        <v>0</v>
      </c>
      <c r="F13" s="24">
        <f t="shared" ref="F13:J13" si="3">F9-F11</f>
        <v>0.12999999999999989</v>
      </c>
      <c r="G13" s="24">
        <f t="shared" si="3"/>
        <v>0.10999999999999943</v>
      </c>
      <c r="H13" s="24">
        <f t="shared" si="3"/>
        <v>3.0000000000001137E-2</v>
      </c>
      <c r="I13" s="24">
        <f t="shared" si="3"/>
        <v>0.15000000000000213</v>
      </c>
      <c r="J13" s="24">
        <f t="shared" si="3"/>
        <v>0.10000000000000142</v>
      </c>
      <c r="K13" s="25"/>
      <c r="L13" s="36"/>
      <c r="M13" s="36">
        <f>AVERAGE(E13:J13)</f>
        <v>8.6666666666667336E-2</v>
      </c>
    </row>
    <row r="15" spans="2:13" x14ac:dyDescent="0.25">
      <c r="B15" s="23"/>
    </row>
    <row r="16" spans="2:13" x14ac:dyDescent="0.25">
      <c r="B16" s="37" t="s">
        <v>75</v>
      </c>
      <c r="C16" s="38">
        <v>-3.96</v>
      </c>
      <c r="D16" s="38">
        <v>1.0900000000000001</v>
      </c>
      <c r="E16" s="38">
        <v>-15.51</v>
      </c>
      <c r="F16" s="38">
        <v>12.76</v>
      </c>
      <c r="G16" s="38">
        <v>31.89</v>
      </c>
      <c r="H16" s="38">
        <v>-13.5</v>
      </c>
      <c r="I16" s="38">
        <v>19.66</v>
      </c>
      <c r="J16" s="38">
        <v>14.66</v>
      </c>
      <c r="K16" s="38"/>
      <c r="L16" s="38"/>
    </row>
    <row r="17" spans="2:13" x14ac:dyDescent="0.25">
      <c r="B17" s="37" t="s">
        <v>76</v>
      </c>
      <c r="C17" s="38">
        <v>-3.5</v>
      </c>
      <c r="D17" s="38">
        <v>1.6</v>
      </c>
      <c r="E17" s="38">
        <v>-15.2</v>
      </c>
      <c r="F17" s="38">
        <v>13.5</v>
      </c>
      <c r="G17" s="38">
        <v>32.5</v>
      </c>
      <c r="H17" s="38">
        <v>-13</v>
      </c>
      <c r="I17" s="38">
        <v>20.6</v>
      </c>
      <c r="J17" s="38">
        <v>15.5</v>
      </c>
      <c r="K17" s="38"/>
      <c r="L17" s="38"/>
    </row>
    <row r="18" spans="2:13" x14ac:dyDescent="0.25">
      <c r="B18" s="37" t="s">
        <v>77</v>
      </c>
      <c r="C18" s="38">
        <v>-3.79</v>
      </c>
      <c r="D18" s="38">
        <v>1.1200000000000001</v>
      </c>
      <c r="E18" s="38">
        <v>-15.51</v>
      </c>
      <c r="F18" s="38">
        <v>13.14</v>
      </c>
      <c r="G18" s="38">
        <v>32.08</v>
      </c>
      <c r="H18" s="38">
        <v>-13.34</v>
      </c>
      <c r="I18" s="38">
        <v>20.100000000000001</v>
      </c>
      <c r="J18" s="38">
        <v>15.12</v>
      </c>
      <c r="K18" s="39"/>
    </row>
    <row r="19" spans="2:13" x14ac:dyDescent="0.25">
      <c r="B19" s="37" t="s">
        <v>15</v>
      </c>
      <c r="C19" s="38">
        <f>C17-C16</f>
        <v>0.45999999999999996</v>
      </c>
      <c r="D19" s="38">
        <f t="shared" ref="D19:J19" si="4">D17-D16</f>
        <v>0.51</v>
      </c>
      <c r="E19" s="38">
        <f t="shared" si="4"/>
        <v>0.3100000000000005</v>
      </c>
      <c r="F19" s="38">
        <f t="shared" si="4"/>
        <v>0.74000000000000021</v>
      </c>
      <c r="G19" s="38">
        <f t="shared" si="4"/>
        <v>0.60999999999999943</v>
      </c>
      <c r="H19" s="38">
        <f t="shared" si="4"/>
        <v>0.5</v>
      </c>
      <c r="I19" s="38">
        <f t="shared" si="4"/>
        <v>0.94000000000000128</v>
      </c>
      <c r="J19" s="38">
        <f t="shared" si="4"/>
        <v>0.83999999999999986</v>
      </c>
      <c r="L19" s="39">
        <f>AVERAGE(C19:J19)</f>
        <v>0.61375000000000013</v>
      </c>
      <c r="M19" s="38"/>
    </row>
    <row r="20" spans="2:13" x14ac:dyDescent="0.25">
      <c r="B20" s="37" t="s">
        <v>16</v>
      </c>
      <c r="C20" s="38">
        <f>C16-C18</f>
        <v>-0.16999999999999993</v>
      </c>
      <c r="D20" s="38">
        <f t="shared" ref="D20:J20" si="5">D16-D18</f>
        <v>-3.0000000000000027E-2</v>
      </c>
      <c r="E20" s="38">
        <f t="shared" si="5"/>
        <v>0</v>
      </c>
      <c r="F20" s="38">
        <f t="shared" si="5"/>
        <v>-0.38000000000000078</v>
      </c>
      <c r="G20" s="38">
        <f t="shared" si="5"/>
        <v>-0.18999999999999773</v>
      </c>
      <c r="H20" s="38">
        <f t="shared" si="5"/>
        <v>-0.16000000000000014</v>
      </c>
      <c r="I20" s="38">
        <f t="shared" si="5"/>
        <v>-0.44000000000000128</v>
      </c>
      <c r="J20" s="38">
        <f t="shared" si="5"/>
        <v>-0.45999999999999908</v>
      </c>
      <c r="L20" s="38"/>
      <c r="M20" s="39">
        <f>AVERAGE(C20:J20)</f>
        <v>-0.22874999999999987</v>
      </c>
    </row>
    <row r="23" spans="2:13" x14ac:dyDescent="0.25">
      <c r="B23" s="37" t="s">
        <v>96</v>
      </c>
      <c r="D23">
        <v>7.16</v>
      </c>
      <c r="E23">
        <v>8.93</v>
      </c>
      <c r="F23">
        <v>2.76</v>
      </c>
      <c r="G23">
        <v>10.73</v>
      </c>
      <c r="H23">
        <v>-10.47</v>
      </c>
      <c r="I23">
        <v>26.45</v>
      </c>
      <c r="J23">
        <v>-2.56</v>
      </c>
    </row>
    <row r="24" spans="2:13" x14ac:dyDescent="0.25">
      <c r="B24" s="37" t="s">
        <v>97</v>
      </c>
      <c r="D24">
        <v>7.4</v>
      </c>
      <c r="E24">
        <v>9.3000000000000007</v>
      </c>
      <c r="F24">
        <v>3.1</v>
      </c>
      <c r="G24">
        <v>11.1</v>
      </c>
      <c r="H24">
        <v>-10.1</v>
      </c>
      <c r="I24">
        <v>26.9</v>
      </c>
      <c r="J24">
        <v>-2.2000000000000002</v>
      </c>
    </row>
    <row r="25" spans="2:13" x14ac:dyDescent="0.25">
      <c r="B25" s="37" t="s">
        <v>98</v>
      </c>
      <c r="D25">
        <v>6.83</v>
      </c>
      <c r="E25">
        <v>8.67</v>
      </c>
      <c r="F25">
        <v>2.4500000000000002</v>
      </c>
      <c r="G25">
        <v>10.49</v>
      </c>
      <c r="H25">
        <v>-10.68</v>
      </c>
      <c r="I25">
        <v>26.11</v>
      </c>
      <c r="J25">
        <v>-2.71</v>
      </c>
    </row>
    <row r="26" spans="2:13" x14ac:dyDescent="0.25">
      <c r="B26" s="37" t="s">
        <v>15</v>
      </c>
      <c r="D26" s="38">
        <f t="shared" ref="D26:J26" si="6">D24-D23</f>
        <v>0.24000000000000021</v>
      </c>
      <c r="E26" s="38">
        <f t="shared" si="6"/>
        <v>0.37000000000000099</v>
      </c>
      <c r="F26" s="38">
        <f t="shared" si="6"/>
        <v>0.3400000000000003</v>
      </c>
      <c r="G26" s="38">
        <f t="shared" si="6"/>
        <v>0.36999999999999922</v>
      </c>
      <c r="H26" s="38">
        <f t="shared" si="6"/>
        <v>0.37000000000000099</v>
      </c>
      <c r="I26" s="38">
        <f t="shared" si="6"/>
        <v>0.44999999999999929</v>
      </c>
      <c r="J26" s="38">
        <f t="shared" si="6"/>
        <v>0.35999999999999988</v>
      </c>
      <c r="L26" s="39">
        <f>AVERAGE(D26:J26)</f>
        <v>0.35714285714285726</v>
      </c>
      <c r="M26" s="38"/>
    </row>
    <row r="27" spans="2:13" x14ac:dyDescent="0.25">
      <c r="B27" s="37" t="s">
        <v>16</v>
      </c>
      <c r="D27" s="38">
        <f t="shared" ref="D27:J27" si="7">D23-D25</f>
        <v>0.33000000000000007</v>
      </c>
      <c r="E27" s="38">
        <f t="shared" si="7"/>
        <v>0.25999999999999979</v>
      </c>
      <c r="F27" s="38">
        <f t="shared" si="7"/>
        <v>0.30999999999999961</v>
      </c>
      <c r="G27" s="38">
        <f t="shared" si="7"/>
        <v>0.24000000000000021</v>
      </c>
      <c r="H27" s="38">
        <f t="shared" si="7"/>
        <v>0.20999999999999908</v>
      </c>
      <c r="I27" s="38">
        <f t="shared" si="7"/>
        <v>0.33999999999999986</v>
      </c>
      <c r="J27" s="38">
        <f t="shared" si="7"/>
        <v>0.14999999999999991</v>
      </c>
      <c r="L27" s="38"/>
      <c r="M27" s="39">
        <f>AVERAGE(D27:J27)</f>
        <v>0.26285714285714262</v>
      </c>
    </row>
    <row r="30" spans="2:13" x14ac:dyDescent="0.25">
      <c r="B30" s="1" t="s">
        <v>99</v>
      </c>
      <c r="D30">
        <v>-3.76</v>
      </c>
      <c r="E30">
        <v>-8.3000000000000007</v>
      </c>
      <c r="F30">
        <v>8.49</v>
      </c>
      <c r="G30">
        <v>32.21</v>
      </c>
      <c r="H30">
        <v>-14.37</v>
      </c>
      <c r="I30">
        <v>16.97</v>
      </c>
      <c r="J30">
        <v>18.670000000000002</v>
      </c>
    </row>
    <row r="31" spans="2:13" x14ac:dyDescent="0.25">
      <c r="B31" s="37" t="s">
        <v>100</v>
      </c>
      <c r="D31">
        <v>-3.2</v>
      </c>
      <c r="E31">
        <v>-8</v>
      </c>
      <c r="F31">
        <v>8.9</v>
      </c>
      <c r="G31">
        <v>32.700000000000003</v>
      </c>
      <c r="H31">
        <v>-14</v>
      </c>
      <c r="I31">
        <v>17.399999999999999</v>
      </c>
      <c r="J31">
        <v>18.8</v>
      </c>
    </row>
    <row r="32" spans="2:13" x14ac:dyDescent="0.25">
      <c r="B32" s="37" t="s">
        <v>104</v>
      </c>
      <c r="D32">
        <v>-3.36</v>
      </c>
      <c r="E32">
        <v>-8.17</v>
      </c>
      <c r="F32">
        <v>8.6199999999999992</v>
      </c>
      <c r="G32">
        <v>32.409999999999997</v>
      </c>
      <c r="H32">
        <v>-14.23</v>
      </c>
      <c r="I32">
        <v>17.09</v>
      </c>
      <c r="J32">
        <v>18.59</v>
      </c>
    </row>
    <row r="33" spans="2:13" x14ac:dyDescent="0.25">
      <c r="B33" s="37" t="s">
        <v>15</v>
      </c>
      <c r="C33" s="38"/>
      <c r="D33" s="38">
        <f t="shared" ref="D33:J33" si="8">D31-D30</f>
        <v>0.55999999999999961</v>
      </c>
      <c r="E33" s="38">
        <f t="shared" si="8"/>
        <v>0.30000000000000071</v>
      </c>
      <c r="F33" s="38">
        <f t="shared" si="8"/>
        <v>0.41000000000000014</v>
      </c>
      <c r="G33" s="38">
        <f t="shared" si="8"/>
        <v>0.49000000000000199</v>
      </c>
      <c r="H33" s="38">
        <f t="shared" si="8"/>
        <v>0.36999999999999922</v>
      </c>
      <c r="I33" s="38">
        <f t="shared" si="8"/>
        <v>0.42999999999999972</v>
      </c>
      <c r="J33" s="38">
        <f t="shared" si="8"/>
        <v>0.12999999999999901</v>
      </c>
      <c r="L33" s="39">
        <f>AVERAGE(D33:J33)</f>
        <v>0.38428571428571434</v>
      </c>
      <c r="M33" s="38"/>
    </row>
    <row r="34" spans="2:13" x14ac:dyDescent="0.25">
      <c r="B34" s="37" t="s">
        <v>16</v>
      </c>
      <c r="C34" s="38"/>
      <c r="D34" s="38">
        <f t="shared" ref="D34:J34" si="9">D30-D32</f>
        <v>-0.39999999999999991</v>
      </c>
      <c r="E34" s="38">
        <f t="shared" si="9"/>
        <v>-0.13000000000000078</v>
      </c>
      <c r="F34" s="38">
        <f t="shared" si="9"/>
        <v>-0.12999999999999901</v>
      </c>
      <c r="G34" s="38">
        <f t="shared" si="9"/>
        <v>-0.19999999999999574</v>
      </c>
      <c r="H34" s="38">
        <f t="shared" si="9"/>
        <v>-0.13999999999999879</v>
      </c>
      <c r="I34" s="38">
        <f t="shared" si="9"/>
        <v>-0.12000000000000099</v>
      </c>
      <c r="J34" s="38">
        <f t="shared" si="9"/>
        <v>8.0000000000001847E-2</v>
      </c>
      <c r="L34" s="38"/>
      <c r="M34" s="39">
        <f>AVERAGE(D34:J34)</f>
        <v>-0.14857142857142763</v>
      </c>
    </row>
    <row r="37" spans="2:13" x14ac:dyDescent="0.25">
      <c r="B37" s="37" t="s">
        <v>101</v>
      </c>
      <c r="D37">
        <v>-3.91</v>
      </c>
      <c r="E37">
        <v>10.59</v>
      </c>
      <c r="F37">
        <v>2.29</v>
      </c>
      <c r="G37">
        <v>24.71</v>
      </c>
      <c r="H37">
        <v>-13.42</v>
      </c>
      <c r="I37">
        <v>18.829999999999998</v>
      </c>
      <c r="J37">
        <v>14.05</v>
      </c>
    </row>
    <row r="38" spans="2:13" x14ac:dyDescent="0.25">
      <c r="B38" s="37" t="s">
        <v>102</v>
      </c>
      <c r="D38">
        <v>-3.3</v>
      </c>
      <c r="E38">
        <v>11.1</v>
      </c>
      <c r="F38">
        <v>2.8</v>
      </c>
      <c r="G38">
        <v>25.3</v>
      </c>
      <c r="H38">
        <v>-13</v>
      </c>
      <c r="I38">
        <v>19.5</v>
      </c>
      <c r="J38">
        <v>14.6</v>
      </c>
    </row>
    <row r="39" spans="2:13" x14ac:dyDescent="0.25">
      <c r="B39" s="37" t="s">
        <v>103</v>
      </c>
      <c r="D39">
        <v>-3.59</v>
      </c>
      <c r="E39">
        <v>10.82</v>
      </c>
      <c r="F39">
        <v>2.5</v>
      </c>
      <c r="G39">
        <v>24.89</v>
      </c>
      <c r="H39">
        <v>-13.28</v>
      </c>
      <c r="I39">
        <v>19</v>
      </c>
      <c r="J39">
        <v>14.19</v>
      </c>
    </row>
    <row r="40" spans="2:13" x14ac:dyDescent="0.25">
      <c r="B40" s="37" t="s">
        <v>15</v>
      </c>
      <c r="D40" s="38">
        <f t="shared" ref="D40:J40" si="10">D38-D37</f>
        <v>0.61000000000000032</v>
      </c>
      <c r="E40" s="38">
        <f t="shared" si="10"/>
        <v>0.50999999999999979</v>
      </c>
      <c r="F40" s="38">
        <f t="shared" si="10"/>
        <v>0.50999999999999979</v>
      </c>
      <c r="G40" s="38">
        <f t="shared" si="10"/>
        <v>0.58999999999999986</v>
      </c>
      <c r="H40" s="38">
        <f t="shared" si="10"/>
        <v>0.41999999999999993</v>
      </c>
      <c r="I40" s="38">
        <f t="shared" si="10"/>
        <v>0.67000000000000171</v>
      </c>
      <c r="J40" s="38">
        <f t="shared" si="10"/>
        <v>0.54999999999999893</v>
      </c>
      <c r="L40" s="39">
        <f>AVERAGE(D40:J40)</f>
        <v>0.55142857142857149</v>
      </c>
      <c r="M40" s="38"/>
    </row>
    <row r="41" spans="2:13" x14ac:dyDescent="0.25">
      <c r="B41" s="37" t="s">
        <v>16</v>
      </c>
      <c r="D41" s="38">
        <f t="shared" ref="D41:J41" si="11">D37-D39</f>
        <v>-0.32000000000000028</v>
      </c>
      <c r="E41" s="38">
        <f t="shared" si="11"/>
        <v>-0.23000000000000043</v>
      </c>
      <c r="F41" s="38">
        <f t="shared" si="11"/>
        <v>-0.20999999999999996</v>
      </c>
      <c r="G41" s="38">
        <f t="shared" si="11"/>
        <v>-0.17999999999999972</v>
      </c>
      <c r="H41" s="38">
        <f t="shared" si="11"/>
        <v>-0.14000000000000057</v>
      </c>
      <c r="I41" s="38">
        <f t="shared" si="11"/>
        <v>-0.17000000000000171</v>
      </c>
      <c r="J41" s="38">
        <f t="shared" si="11"/>
        <v>-0.13999999999999879</v>
      </c>
      <c r="L41" s="38"/>
      <c r="M41" s="39">
        <f>AVERAGE(D41:J41)</f>
        <v>-0.19857142857142879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69C5-6D31-44B8-AA06-7A631D93EE50}">
  <dimension ref="B1:J13"/>
  <sheetViews>
    <sheetView workbookViewId="0"/>
  </sheetViews>
  <sheetFormatPr defaultRowHeight="15" x14ac:dyDescent="0.25"/>
  <cols>
    <col min="2" max="2" width="43.42578125" bestFit="1" customWidth="1"/>
  </cols>
  <sheetData>
    <row r="1" spans="2:10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/>
      <c r="J1" s="1" t="s">
        <v>61</v>
      </c>
    </row>
    <row r="2" spans="2:10" x14ac:dyDescent="0.25">
      <c r="B2" s="1" t="s">
        <v>29</v>
      </c>
      <c r="C2" s="6"/>
      <c r="D2" s="6"/>
      <c r="E2" s="6"/>
      <c r="F2" s="6"/>
      <c r="G2" s="6"/>
      <c r="H2" s="6">
        <f>37489/296356</f>
        <v>0.12649988527311748</v>
      </c>
      <c r="J2" s="32">
        <f>AVERAGE(C2:H2)</f>
        <v>0.12649988527311748</v>
      </c>
    </row>
    <row r="3" spans="2:10" x14ac:dyDescent="0.25">
      <c r="B3" s="1" t="s">
        <v>30</v>
      </c>
      <c r="C3" s="6">
        <f>87602/47464893</f>
        <v>1.8456167171808436E-3</v>
      </c>
      <c r="D3" s="6">
        <f>568633/61443719</f>
        <v>9.2545342185423388E-3</v>
      </c>
      <c r="E3" s="6">
        <f>1476432/105359240</f>
        <v>1.4013312928225375E-2</v>
      </c>
      <c r="F3" s="6">
        <f>895025/81673540</f>
        <v>1.0958567487095576E-2</v>
      </c>
      <c r="G3" s="6">
        <f>1522926/110267237</f>
        <v>1.3811228443132206E-2</v>
      </c>
      <c r="H3" s="6">
        <f>1667965/126621109</f>
        <v>1.3172882572052026E-2</v>
      </c>
      <c r="J3" s="32">
        <f t="shared" ref="J3:J13" si="0">AVERAGE(C3:H3)</f>
        <v>1.050935706103806E-2</v>
      </c>
    </row>
    <row r="4" spans="2:10" x14ac:dyDescent="0.25">
      <c r="B4" s="1" t="s">
        <v>31</v>
      </c>
      <c r="C4" s="6"/>
      <c r="D4" s="6"/>
      <c r="E4" s="6"/>
      <c r="F4" s="6"/>
      <c r="G4" s="6"/>
      <c r="H4" s="6"/>
      <c r="J4" s="32">
        <f>VWRL!K18</f>
        <v>0.11559428787164658</v>
      </c>
    </row>
    <row r="5" spans="2:10" x14ac:dyDescent="0.25">
      <c r="B5" s="1" t="s">
        <v>28</v>
      </c>
      <c r="C5" s="6">
        <f>276998/3363386</f>
        <v>8.2356886780167365E-2</v>
      </c>
      <c r="D5" s="6">
        <f>993993/9974527</f>
        <v>9.9653146459977499E-2</v>
      </c>
      <c r="E5" s="6">
        <f>1526539/14343861</f>
        <v>0.10642455333330406</v>
      </c>
      <c r="F5" s="6">
        <f>1933590/18057679</f>
        <v>0.10707854536565857</v>
      </c>
      <c r="G5" s="6">
        <f>2658425/25206083</f>
        <v>0.10546759684953827</v>
      </c>
      <c r="H5" s="6">
        <f>3332714/30787587</f>
        <v>0.10824862630514044</v>
      </c>
      <c r="I5" s="31"/>
      <c r="J5" s="32">
        <f t="shared" si="0"/>
        <v>0.10153822584896437</v>
      </c>
    </row>
    <row r="6" spans="2:10" x14ac:dyDescent="0.25">
      <c r="B6" s="1" t="s">
        <v>20</v>
      </c>
      <c r="C6" s="6">
        <f>38753/1151217</f>
        <v>3.3662637018042646E-2</v>
      </c>
      <c r="D6" s="6">
        <f>95674/2910412</f>
        <v>3.2873009044767545E-2</v>
      </c>
      <c r="E6" s="6">
        <f>135521/3697627</f>
        <v>3.6650803339547226E-2</v>
      </c>
      <c r="F6" s="6">
        <f>217184/6020134</f>
        <v>3.6076273385276809E-2</v>
      </c>
      <c r="G6" s="6">
        <f>396984/12310610</f>
        <v>3.2247305373169971E-2</v>
      </c>
      <c r="H6" s="6">
        <f>725905/14080736</f>
        <v>5.1553058021967031E-2</v>
      </c>
      <c r="I6" s="31"/>
      <c r="J6" s="32">
        <f t="shared" si="0"/>
        <v>3.7177181030461866E-2</v>
      </c>
    </row>
    <row r="7" spans="2:10" x14ac:dyDescent="0.25">
      <c r="B7" s="1" t="s">
        <v>21</v>
      </c>
      <c r="C7" s="6">
        <f>449779/6453840</f>
        <v>6.9691687429499341E-2</v>
      </c>
      <c r="D7" s="6">
        <f>98042/1768698</f>
        <v>5.5431735660921196E-2</v>
      </c>
      <c r="E7" s="6">
        <f>1214196/16699948</f>
        <v>7.2706573697115709E-2</v>
      </c>
      <c r="F7" s="6">
        <f>2137859/28612288</f>
        <v>7.4718211979412488E-2</v>
      </c>
      <c r="G7" s="6">
        <f>4211322/55451908</f>
        <v>7.5945484148173939E-2</v>
      </c>
      <c r="H7" s="6">
        <f>4497447/63355725</f>
        <v>7.0987223333013716E-2</v>
      </c>
      <c r="I7" s="31"/>
      <c r="J7" s="32">
        <f t="shared" si="0"/>
        <v>6.9913486041356068E-2</v>
      </c>
    </row>
    <row r="8" spans="2:10" x14ac:dyDescent="0.25">
      <c r="B8" s="1" t="s">
        <v>22</v>
      </c>
      <c r="C8" s="6"/>
      <c r="D8" s="6">
        <f>146930/1398033</f>
        <v>0.10509766221541265</v>
      </c>
      <c r="E8" s="6">
        <f>721453/6516531</f>
        <v>0.1107112050874921</v>
      </c>
      <c r="F8" s="6">
        <f>1277534/12552233</f>
        <v>0.10177742876506515</v>
      </c>
      <c r="G8" s="6">
        <f>3575141/33665380</f>
        <v>0.1061963655244646</v>
      </c>
      <c r="H8" s="6">
        <f>3893883/38411323</f>
        <v>0.10137331119784652</v>
      </c>
      <c r="J8" s="32">
        <f t="shared" si="0"/>
        <v>0.10503119455805621</v>
      </c>
    </row>
    <row r="9" spans="2:10" x14ac:dyDescent="0.25">
      <c r="B9" s="1" t="s">
        <v>23</v>
      </c>
      <c r="C9" s="6"/>
      <c r="D9" s="6">
        <f>66149/572890</f>
        <v>0.11546544711899318</v>
      </c>
      <c r="E9" s="6">
        <f>156844/1316266</f>
        <v>0.11915828563527434</v>
      </c>
      <c r="F9" s="6">
        <f>255100/2129637</f>
        <v>0.1197856723939338</v>
      </c>
      <c r="G9" s="6">
        <f>487837/3930173</f>
        <v>0.12412608808823429</v>
      </c>
      <c r="H9" s="6">
        <f>877262/7446153</f>
        <v>0.11781412495821668</v>
      </c>
      <c r="I9" s="31"/>
      <c r="J9" s="32">
        <f t="shared" si="0"/>
        <v>0.11926992363893045</v>
      </c>
    </row>
    <row r="10" spans="2:10" x14ac:dyDescent="0.25">
      <c r="B10" s="1" t="s">
        <v>24</v>
      </c>
      <c r="C10" s="6">
        <f>298586/3325881</f>
        <v>8.9776513350898604E-2</v>
      </c>
      <c r="D10" s="6">
        <f>1274164/13386831</f>
        <v>9.5180405280383379E-2</v>
      </c>
      <c r="E10" s="6">
        <f>1706810/17405209</f>
        <v>9.8063171778057942E-2</v>
      </c>
      <c r="F10" s="6">
        <f>3013440/29020960</f>
        <v>0.10383667528572453</v>
      </c>
      <c r="G10" s="6">
        <f>4856073/44723633</f>
        <v>0.10857957357802306</v>
      </c>
      <c r="H10" s="6">
        <f>5576288/55691122</f>
        <v>0.10012884998079227</v>
      </c>
      <c r="I10" s="31"/>
      <c r="J10" s="32">
        <f t="shared" si="0"/>
        <v>9.9260864875646629E-2</v>
      </c>
    </row>
    <row r="11" spans="2:10" x14ac:dyDescent="0.25">
      <c r="B11" s="1" t="s">
        <v>25</v>
      </c>
      <c r="C11" s="6">
        <f>160529/1233458</f>
        <v>0.1301454934014778</v>
      </c>
      <c r="D11" s="6">
        <f>1532098/10217727</f>
        <v>0.14994509052747251</v>
      </c>
      <c r="E11" s="6">
        <f>2439137/16266986</f>
        <v>0.14994400314846279</v>
      </c>
      <c r="F11" s="6">
        <f>2650584/17759481</f>
        <v>0.14924895609280475</v>
      </c>
      <c r="G11" s="6">
        <f>5929674/39527484</f>
        <v>0.15001394978744409</v>
      </c>
      <c r="H11" s="6">
        <f>6964518/46429139</f>
        <v>0.15000316934587135</v>
      </c>
      <c r="I11" s="31"/>
      <c r="J11" s="32">
        <f t="shared" si="0"/>
        <v>0.14655011038392221</v>
      </c>
    </row>
    <row r="12" spans="2:10" x14ac:dyDescent="0.25">
      <c r="B12" s="1" t="s">
        <v>26</v>
      </c>
      <c r="C12" s="6"/>
      <c r="D12" s="6">
        <f>39362/256875</f>
        <v>0.15323406326034064</v>
      </c>
      <c r="E12" s="6">
        <f>65794/408533</f>
        <v>0.16104941338888168</v>
      </c>
      <c r="F12" s="6">
        <f>133040/825605</f>
        <v>0.16114243494164884</v>
      </c>
      <c r="G12" s="6">
        <f>433061/2477912</f>
        <v>0.17476851478180017</v>
      </c>
      <c r="H12" s="6">
        <f>689318/4448721</f>
        <v>0.15494745568445403</v>
      </c>
      <c r="I12" s="31"/>
      <c r="J12" s="32">
        <f t="shared" si="0"/>
        <v>0.16102837641142506</v>
      </c>
    </row>
    <row r="13" spans="2:10" x14ac:dyDescent="0.25">
      <c r="B13" s="1" t="s">
        <v>27</v>
      </c>
      <c r="C13" s="6">
        <f>7721652/52371805</f>
        <v>0.14743910392242543</v>
      </c>
      <c r="D13" s="6">
        <f>27863194/196059743</f>
        <v>0.14211583455967297</v>
      </c>
      <c r="E13" s="6">
        <f>41287532/271884091</f>
        <v>0.15185710884422435</v>
      </c>
      <c r="F13" s="6">
        <f>52477342/354919338</f>
        <v>0.14785709422234974</v>
      </c>
      <c r="G13" s="6">
        <f>62709293/420900920</f>
        <v>0.1489882535775878</v>
      </c>
      <c r="H13" s="6">
        <f>79389011/484099232</f>
        <v>0.16399325954724919</v>
      </c>
      <c r="I13" s="31"/>
      <c r="J13" s="32">
        <f t="shared" si="0"/>
        <v>0.15037510911225158</v>
      </c>
    </row>
  </sheetData>
  <conditionalFormatting sqref="J2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MarketCap</vt:lpstr>
      <vt:lpstr>VWRL</vt:lpstr>
      <vt:lpstr>VEVE</vt:lpstr>
      <vt:lpstr>VFEM</vt:lpstr>
      <vt:lpstr>VWCG</vt:lpstr>
      <vt:lpstr>VGEK</vt:lpstr>
      <vt:lpstr>VJPA</vt:lpstr>
      <vt:lpstr>GTD</vt:lpstr>
      <vt:lpstr>LeakgePerFund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2021-07-31T12:39:51Z</dcterms:modified>
</cp:coreProperties>
</file>