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d.docs.live.net/7c741cee80ec8cf3/Financieel/IndexFondsenOnderzoek/KeuzeWelkIndexFonds/OnderzoekPerFonds/NorthernTrust/"/>
    </mc:Choice>
  </mc:AlternateContent>
  <xr:revisionPtr revIDLastSave="674" documentId="13_ncr:1_{0BEEB54A-A1B5-4808-9253-8C962E6DCC11}" xr6:coauthVersionLast="47" xr6:coauthVersionMax="47" xr10:uidLastSave="{86629BA9-EB7D-441A-9D43-6924F1975B4B}"/>
  <bookViews>
    <workbookView xWindow="25695" yWindow="0" windowWidth="26010" windowHeight="20985" activeTab="7" xr2:uid="{00000000-000D-0000-FFFF-FFFF00000000}"/>
  </bookViews>
  <sheets>
    <sheet name="Aannames" sheetId="4" r:id="rId1"/>
    <sheet name="World" sheetId="1" r:id="rId2"/>
    <sheet name="Emerging" sheetId="5" r:id="rId3"/>
    <sheet name="SmallCaps" sheetId="6" r:id="rId4"/>
    <sheet name="NA" sheetId="10" r:id="rId5"/>
    <sheet name="Europe" sheetId="11" r:id="rId6"/>
    <sheet name="Northern Trust Master fondsen" sheetId="2" r:id="rId7"/>
    <sheet name="Tracking Differenc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6" i="3" l="1"/>
  <c r="N7" i="3"/>
  <c r="K7" i="3"/>
  <c r="L7" i="3"/>
  <c r="K6" i="3"/>
  <c r="L6" i="3"/>
  <c r="C25" i="1"/>
  <c r="J15" i="5"/>
  <c r="J18" i="1"/>
  <c r="J20" i="1"/>
  <c r="J10" i="6"/>
  <c r="J8" i="5"/>
  <c r="H8" i="6"/>
  <c r="H9" i="6" s="1"/>
  <c r="C22" i="6" s="1"/>
  <c r="D22" i="6" s="1"/>
  <c r="I22" i="2"/>
  <c r="I6" i="2"/>
  <c r="H8" i="1" s="1"/>
  <c r="H13" i="6"/>
  <c r="H7" i="6"/>
  <c r="H12" i="6"/>
  <c r="H12" i="1"/>
  <c r="H13" i="1" s="1"/>
  <c r="H10" i="5"/>
  <c r="H11" i="5" s="1"/>
  <c r="H7" i="1"/>
  <c r="H7" i="5"/>
  <c r="C18" i="5" s="1"/>
  <c r="J10" i="1"/>
  <c r="J37" i="3"/>
  <c r="J36" i="3"/>
  <c r="J14" i="3"/>
  <c r="J13" i="3"/>
  <c r="J7" i="3"/>
  <c r="J6" i="3"/>
  <c r="H14" i="1" l="1"/>
  <c r="H15" i="1" s="1"/>
  <c r="H9" i="1"/>
  <c r="C31" i="1" s="1"/>
  <c r="D31" i="1" s="1"/>
  <c r="H22" i="2"/>
  <c r="G8" i="6" s="1"/>
  <c r="G9" i="6" s="1"/>
  <c r="J9" i="6" s="1"/>
  <c r="G7" i="6"/>
  <c r="G7" i="5"/>
  <c r="G12" i="6"/>
  <c r="G13" i="6" s="1"/>
  <c r="J13" i="6" s="1"/>
  <c r="G11" i="5"/>
  <c r="G10" i="5"/>
  <c r="G7" i="1"/>
  <c r="G12" i="1"/>
  <c r="G13" i="1" s="1"/>
  <c r="I14" i="3"/>
  <c r="I13" i="3"/>
  <c r="I7" i="3"/>
  <c r="I6" i="3"/>
  <c r="G14" i="1" l="1"/>
  <c r="G15" i="1" s="1"/>
  <c r="I36" i="3"/>
  <c r="O36" i="3" s="1"/>
  <c r="I37" i="3"/>
  <c r="N37" i="3" s="1"/>
  <c r="F14" i="5" l="1"/>
  <c r="F17" i="1"/>
  <c r="F15" i="11"/>
  <c r="F15" i="10"/>
  <c r="F15" i="6"/>
  <c r="E14" i="5"/>
  <c r="E17" i="1"/>
  <c r="E15" i="11"/>
  <c r="E15" i="10"/>
  <c r="D14" i="5"/>
  <c r="D17" i="1"/>
  <c r="D15" i="11"/>
  <c r="D15" i="10"/>
  <c r="C15" i="11"/>
  <c r="C15" i="10"/>
  <c r="C17" i="1"/>
  <c r="C14" i="5"/>
  <c r="J17" i="1" l="1"/>
  <c r="J14" i="5"/>
  <c r="G26" i="2"/>
  <c r="C58" i="2"/>
  <c r="D58" i="2"/>
  <c r="E58" i="2"/>
  <c r="F58" i="2"/>
  <c r="G58" i="2"/>
  <c r="C45" i="2"/>
  <c r="D45" i="2"/>
  <c r="E45" i="2"/>
  <c r="F45" i="2"/>
  <c r="G45" i="2"/>
  <c r="C13" i="2"/>
  <c r="D13" i="2"/>
  <c r="E13" i="2"/>
  <c r="F13" i="2"/>
  <c r="G13" i="2"/>
  <c r="F28" i="3" l="1"/>
  <c r="G28" i="3"/>
  <c r="H28" i="3"/>
  <c r="E28" i="3"/>
  <c r="M28" i="3" s="1"/>
  <c r="F20" i="3"/>
  <c r="G20" i="3"/>
  <c r="H20" i="3"/>
  <c r="E20" i="3"/>
  <c r="M20" i="3" s="1"/>
  <c r="G54" i="2" l="1"/>
  <c r="F8" i="10" s="1"/>
  <c r="F54" i="2"/>
  <c r="E8" i="10" s="1"/>
  <c r="E54" i="2"/>
  <c r="D8" i="10" s="1"/>
  <c r="D54" i="2"/>
  <c r="C8" i="10" s="1"/>
  <c r="G41" i="2"/>
  <c r="F8" i="11" s="1"/>
  <c r="F41" i="2"/>
  <c r="E8" i="11" s="1"/>
  <c r="E41" i="2"/>
  <c r="D8" i="11" s="1"/>
  <c r="D41" i="2"/>
  <c r="C8" i="11" s="1"/>
  <c r="F12" i="6"/>
  <c r="F13" i="6" s="1"/>
  <c r="F12" i="10"/>
  <c r="F13" i="10" s="1"/>
  <c r="F12" i="11"/>
  <c r="F13" i="11" s="1"/>
  <c r="E12" i="10"/>
  <c r="E13" i="10" s="1"/>
  <c r="E12" i="11"/>
  <c r="E13" i="11" s="1"/>
  <c r="D12" i="11"/>
  <c r="D13" i="11" s="1"/>
  <c r="D12" i="10"/>
  <c r="D13" i="10" s="1"/>
  <c r="C12" i="10"/>
  <c r="C12" i="11"/>
  <c r="F10" i="5"/>
  <c r="E10" i="5"/>
  <c r="D10" i="5"/>
  <c r="C10" i="5"/>
  <c r="F12" i="1"/>
  <c r="F14" i="1" s="1"/>
  <c r="F15" i="1" s="1"/>
  <c r="E12" i="1"/>
  <c r="E14" i="1" s="1"/>
  <c r="E15" i="1" s="1"/>
  <c r="D12" i="1"/>
  <c r="D14" i="1" s="1"/>
  <c r="D15" i="1" s="1"/>
  <c r="H10" i="11"/>
  <c r="F7" i="11"/>
  <c r="E7" i="11"/>
  <c r="D7" i="11"/>
  <c r="C7" i="11"/>
  <c r="H30" i="3"/>
  <c r="G30" i="3"/>
  <c r="F30" i="3"/>
  <c r="E30" i="3"/>
  <c r="H29" i="3"/>
  <c r="G29" i="3"/>
  <c r="F29" i="3"/>
  <c r="E29" i="3"/>
  <c r="F22" i="3"/>
  <c r="G22" i="3"/>
  <c r="H22" i="3"/>
  <c r="E22" i="3"/>
  <c r="F21" i="3"/>
  <c r="G21" i="3"/>
  <c r="H21" i="3"/>
  <c r="E21" i="3"/>
  <c r="H10" i="10"/>
  <c r="F7" i="10"/>
  <c r="E7" i="10"/>
  <c r="D7" i="10"/>
  <c r="C7" i="10"/>
  <c r="O21" i="3" l="1"/>
  <c r="N22" i="3"/>
  <c r="C18" i="10" s="1"/>
  <c r="D9" i="11"/>
  <c r="D9" i="10"/>
  <c r="E9" i="10"/>
  <c r="F9" i="11"/>
  <c r="C9" i="11"/>
  <c r="F9" i="10"/>
  <c r="C9" i="10"/>
  <c r="E9" i="11"/>
  <c r="C21" i="11" s="1"/>
  <c r="C13" i="10"/>
  <c r="C13" i="11"/>
  <c r="H13" i="11" s="1"/>
  <c r="N30" i="3"/>
  <c r="O29" i="3"/>
  <c r="H13" i="10"/>
  <c r="C18" i="11" l="1"/>
  <c r="C21" i="10"/>
  <c r="H9" i="10"/>
  <c r="C17" i="10" s="1"/>
  <c r="C19" i="10" s="1"/>
  <c r="H9" i="11"/>
  <c r="C17" i="11" s="1"/>
  <c r="C19" i="11" s="1"/>
  <c r="C23" i="11" l="1"/>
  <c r="C24" i="11" s="1"/>
  <c r="C23" i="10"/>
  <c r="C24" i="10" s="1"/>
  <c r="F7" i="6" l="1"/>
  <c r="F11" i="5"/>
  <c r="E11" i="5"/>
  <c r="D11" i="5"/>
  <c r="C11" i="5"/>
  <c r="F7" i="5"/>
  <c r="E7" i="5"/>
  <c r="D7" i="5"/>
  <c r="C7" i="5"/>
  <c r="H13" i="3"/>
  <c r="G13" i="3"/>
  <c r="F13" i="3"/>
  <c r="E13" i="3"/>
  <c r="H14" i="3"/>
  <c r="G14" i="3"/>
  <c r="F14" i="3"/>
  <c r="E14" i="3"/>
  <c r="H6" i="3"/>
  <c r="G6" i="3"/>
  <c r="F6" i="3"/>
  <c r="E6" i="3"/>
  <c r="H7" i="3"/>
  <c r="G7" i="3"/>
  <c r="F7" i="3"/>
  <c r="E7" i="3"/>
  <c r="C26" i="1" l="1"/>
  <c r="J7" i="5"/>
  <c r="J11" i="5"/>
  <c r="N14" i="3"/>
  <c r="O13" i="3"/>
  <c r="D13" i="1"/>
  <c r="E13" i="1"/>
  <c r="F13" i="1"/>
  <c r="C13" i="1"/>
  <c r="J13" i="1" l="1"/>
  <c r="C17" i="5"/>
  <c r="C20" i="5" s="1"/>
  <c r="D6" i="2"/>
  <c r="E6" i="2"/>
  <c r="F6" i="2"/>
  <c r="G22" i="2"/>
  <c r="F8" i="6" s="1"/>
  <c r="F7" i="1"/>
  <c r="E7" i="1"/>
  <c r="D7" i="1"/>
  <c r="C7" i="1"/>
  <c r="C19" i="6" l="1"/>
  <c r="C24" i="6" s="1"/>
  <c r="F9" i="6"/>
  <c r="G5" i="2"/>
  <c r="G6" i="2" l="1"/>
  <c r="F8" i="2"/>
  <c r="H6" i="2"/>
  <c r="G8" i="1" s="1"/>
  <c r="G9" i="1" s="1"/>
  <c r="G8" i="2"/>
  <c r="D8" i="1"/>
  <c r="D9" i="1" s="1"/>
  <c r="C8" i="1"/>
  <c r="E8" i="1"/>
  <c r="E9" i="1" s="1"/>
  <c r="C9" i="1" l="1"/>
  <c r="F8" i="1" l="1"/>
  <c r="F9" i="1" s="1"/>
  <c r="J9" i="1" l="1"/>
  <c r="C22" i="1"/>
  <c r="C2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Gerben</author>
    <author>Gerben van Loon</author>
  </authors>
  <commentList>
    <comment ref="B5" authorId="0" shapeId="0" xr:uid="{50241BA5-D145-4219-832D-BE1203AA7BBD}">
      <text>
        <r>
          <rPr>
            <b/>
            <sz val="9"/>
            <color indexed="81"/>
            <rFont val="Tahoma"/>
            <family val="2"/>
          </rPr>
          <t>Gerben:</t>
        </r>
        <r>
          <rPr>
            <sz val="9"/>
            <color indexed="81"/>
            <rFont val="Tahoma"/>
            <family val="2"/>
          </rPr>
          <t xml:space="preserve">
Uit statement of comprehensive incomeUit statement of comprehensive income</t>
        </r>
      </text>
    </comment>
    <comment ref="B6" authorId="0" shapeId="0" xr:uid="{DA8AC351-F0FF-44DC-8CB8-6245CA4D3929}">
      <text>
        <r>
          <rPr>
            <b/>
            <sz val="9"/>
            <color indexed="81"/>
            <rFont val="Tahoma"/>
            <family val="2"/>
          </rPr>
          <t>Gerben:</t>
        </r>
        <r>
          <rPr>
            <sz val="9"/>
            <color indexed="81"/>
            <rFont val="Tahoma"/>
            <family val="2"/>
          </rPr>
          <t xml:space="preserve">
Uit 22. Portfolio Turnover Rate</t>
        </r>
      </text>
    </comment>
    <comment ref="B10" authorId="0" shapeId="0" xr:uid="{566F5D12-883E-4D5B-851E-72C69E650C06}">
      <text>
        <r>
          <rPr>
            <b/>
            <sz val="9"/>
            <color indexed="81"/>
            <rFont val="Tahoma"/>
            <family val="2"/>
          </rPr>
          <t>Gerben:</t>
        </r>
        <r>
          <rPr>
            <sz val="9"/>
            <color indexed="81"/>
            <rFont val="Tahoma"/>
            <family val="2"/>
          </rPr>
          <t xml:space="preserve">
Uit 22. Portfolio Turnover Rate</t>
        </r>
      </text>
    </comment>
    <comment ref="B12" authorId="0" shapeId="0" xr:uid="{EC001AE9-666D-4825-A5E4-EA4459FA7786}">
      <text>
        <r>
          <rPr>
            <b/>
            <sz val="9"/>
            <color indexed="81"/>
            <rFont val="Tahoma"/>
            <family val="2"/>
          </rPr>
          <t>Gerben:</t>
        </r>
        <r>
          <rPr>
            <sz val="9"/>
            <color indexed="81"/>
            <rFont val="Tahoma"/>
            <family val="2"/>
          </rPr>
          <t xml:space="preserve">
Uit statement of comprehensive income</t>
        </r>
      </text>
    </comment>
    <comment ref="B18" authorId="0" shapeId="0" xr:uid="{BD1C1B9C-3BAD-45A2-992F-6823089C5EEE}">
      <text>
        <r>
          <rPr>
            <b/>
            <sz val="9"/>
            <color indexed="81"/>
            <rFont val="Tahoma"/>
            <family val="2"/>
          </rPr>
          <t>https://www.assetmanagement.hsbc.nl/en/professional-clients/fund-centre/ie00b4x9l533</t>
        </r>
      </text>
    </comment>
    <comment ref="B20" authorId="1" shapeId="0" xr:uid="{0C1CBCCD-258E-4F5F-BE9F-D83596E2AAA6}">
      <text>
        <r>
          <rPr>
            <b/>
            <sz val="9"/>
            <color indexed="81"/>
            <rFont val="Tahoma"/>
            <family val="2"/>
          </rPr>
          <t>Gerben van Loon:</t>
        </r>
        <r>
          <rPr>
            <sz val="9"/>
            <color indexed="81"/>
            <rFont val="Tahoma"/>
            <family val="2"/>
          </rPr>
          <t xml:space="preserve">
Pagina 109 (2020)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15" authorId="0" shapeId="0" xr:uid="{525B02DB-CF23-48B2-9EF4-9B279845D0C8}">
      <text>
        <r>
          <rPr>
            <b/>
            <sz val="9"/>
            <color indexed="81"/>
            <rFont val="Tahoma"/>
            <family val="2"/>
          </rPr>
          <t>Gerben:</t>
        </r>
        <r>
          <rPr>
            <sz val="9"/>
            <color indexed="81"/>
            <rFont val="Tahoma"/>
            <family val="2"/>
          </rPr>
          <t xml:space="preserve">
https://www.etf.hsbc.com/etf/attachments/uk/etf_december_annual_2019.pdf
https://www.etf.hsbc.com/etf/attachments/uk/etf_december_annual_2017.pdf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Gerben van Loon</author>
  </authors>
  <commentList>
    <comment ref="B17" authorId="0" shapeId="0" xr:uid="{19166E4E-184D-453D-824D-6D7894A37242}">
      <text>
        <r>
          <rPr>
            <b/>
            <sz val="9"/>
            <color indexed="81"/>
            <rFont val="Tahoma"/>
            <family val="2"/>
          </rPr>
          <t>Gerben van Loon:</t>
        </r>
        <r>
          <rPr>
            <sz val="9"/>
            <color indexed="81"/>
            <rFont val="Tahoma"/>
            <family val="2"/>
          </rPr>
          <t xml:space="preserve">
Pagina 109 (2020)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B5" authorId="0" shapeId="0" xr:uid="{75BF0AFD-93F6-4D2B-85DC-AD02EA0A058C}">
      <text>
        <r>
          <rPr>
            <b/>
            <sz val="9"/>
            <color indexed="81"/>
            <rFont val="Tahoma"/>
            <family val="2"/>
          </rPr>
          <t>Gerben:</t>
        </r>
        <r>
          <rPr>
            <sz val="9"/>
            <color indexed="81"/>
            <rFont val="Tahoma"/>
            <family val="2"/>
          </rPr>
          <t xml:space="preserve">
"Net assets attributable to holders of redeemable participating
units" genomen uit "STATEMENT OF FINANCIAL POSITION"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Gerben</author>
  </authors>
  <commentList>
    <comment ref="N2" authorId="0" shapeId="0" xr:uid="{434CD842-3C43-4334-B2E1-FAF0941512B8}">
      <text>
        <r>
          <rPr>
            <b/>
            <sz val="9"/>
            <color indexed="81"/>
            <rFont val="Tahoma"/>
            <family val="2"/>
          </rPr>
          <t>Gerben:</t>
        </r>
        <r>
          <rPr>
            <sz val="9"/>
            <color indexed="81"/>
            <rFont val="Tahoma"/>
            <family val="2"/>
          </rPr>
          <t xml:space="preserve">
Tracking Difference</t>
        </r>
      </text>
    </comment>
    <comment ref="O2" authorId="0" shapeId="0" xr:uid="{EE1FF351-82F3-401D-BF5F-E210234F658F}">
      <text>
        <r>
          <rPr>
            <b/>
            <sz val="9"/>
            <color indexed="81"/>
            <rFont val="Tahoma"/>
            <family val="2"/>
          </rPr>
          <t>Gerben:</t>
        </r>
        <r>
          <rPr>
            <sz val="9"/>
            <color indexed="81"/>
            <rFont val="Tahoma"/>
            <family val="2"/>
          </rPr>
          <t xml:space="preserve">
Outperformance Netto Index</t>
        </r>
      </text>
    </comment>
    <comment ref="B4" authorId="0" shapeId="0" xr:uid="{D86328CD-638A-418E-A01A-FAE5B79F74B0}">
      <text>
        <r>
          <rPr>
            <b/>
            <sz val="9"/>
            <color indexed="81"/>
            <rFont val="Tahoma"/>
            <family val="2"/>
          </rPr>
          <t>Gerben:</t>
        </r>
        <r>
          <rPr>
            <sz val="9"/>
            <color indexed="81"/>
            <rFont val="Tahoma"/>
            <family val="2"/>
          </rPr>
          <t xml:space="preserve">
Zelf moeten opzoeken in: https://www.msci.com/end-of-day-data-search
Index suite: ESG Custom
</t>
        </r>
      </text>
    </comment>
    <comment ref="B11" authorId="0" shapeId="0" xr:uid="{491C301F-C58A-4556-8DFB-A3897F0CAD8E}">
      <text>
        <r>
          <rPr>
            <b/>
            <sz val="9"/>
            <color indexed="81"/>
            <rFont val="Tahoma"/>
            <family val="2"/>
          </rPr>
          <t>Gerben:</t>
        </r>
        <r>
          <rPr>
            <sz val="9"/>
            <color indexed="81"/>
            <rFont val="Tahoma"/>
            <family val="2"/>
          </rPr>
          <t xml:space="preserve">
Zelf moeten opzoeken in: https://www.msci.com/end-of-day-data-search
NT EM CUSTOM ESG INDEX heet hij daar
</t>
        </r>
      </text>
    </comment>
    <comment ref="B35" authorId="0" shapeId="0" xr:uid="{44AC9BF2-D406-4BD8-8416-B5B9C5DDFA7D}">
      <text>
        <r>
          <rPr>
            <b/>
            <sz val="9"/>
            <color indexed="81"/>
            <rFont val="Tahoma"/>
            <family val="2"/>
          </rPr>
          <t>Gerben:</t>
        </r>
        <r>
          <rPr>
            <sz val="9"/>
            <color indexed="81"/>
            <rFont val="Tahoma"/>
            <family val="2"/>
          </rPr>
          <t xml:space="preserve">
MSCI EOD. Suite: ESG Custom. Size: small cap</t>
        </r>
      </text>
    </comment>
  </commentList>
</comments>
</file>

<file path=xl/sharedStrings.xml><?xml version="1.0" encoding="utf-8"?>
<sst xmlns="http://schemas.openxmlformats.org/spreadsheetml/2006/main" count="227" uniqueCount="121">
  <si>
    <t>Transaction costs and interest expenses are excluded from the calculation.</t>
  </si>
  <si>
    <t>Transaction costs</t>
  </si>
  <si>
    <t>Northern Trust Emerging Markets Custom ESG Equity Index UCITS FGR Fund €</t>
  </si>
  <si>
    <t>Northern Trust World Custom ESG Equity Index UCITS FGR Feeder Fund €</t>
  </si>
  <si>
    <t>management</t>
  </si>
  <si>
    <t>investment management and administration of the Sub-Funds</t>
  </si>
  <si>
    <t>plus other running costs, such as depositary, audit and regulatory fees.</t>
  </si>
  <si>
    <t>Average net asset value</t>
  </si>
  <si>
    <t>% transactie kosten</t>
  </si>
  <si>
    <t>Northern Trust World Small Cap ESG Low Carbon Index FGR Fund €</t>
  </si>
  <si>
    <t>Northern Trust World Custom ESG Equity Index Fund US $</t>
  </si>
  <si>
    <t>Northern Trust World Small Cap ESG Low Carbon Index Fund €</t>
  </si>
  <si>
    <t>Vermogen einde jaar</t>
  </si>
  <si>
    <t>Gemiddelde</t>
  </si>
  <si>
    <t>Doe de aanname wat in het jaarverslag onder "other expenses" staat dus in de TER/OCF zit</t>
  </si>
  <si>
    <t>% transactie kosten feeder</t>
  </si>
  <si>
    <t>% transactie kosten master</t>
  </si>
  <si>
    <t>Neem dus aan dat het deze is. Gek, bij small caps is er wel gewoon een euro master fonds</t>
  </si>
  <si>
    <t>Deze getallen komen uit de "NORTHERN TRUST UCITS COMMON CONTRACTUAL FUND" jaarverslagen</t>
  </si>
  <si>
    <t>Er is ook een euro fonds world maar die is hedged en heeft dat ook in de naam, dat matched dus niet.</t>
  </si>
  <si>
    <t>Schatting kosten toekomst</t>
  </si>
  <si>
    <t>09-2015 gestart. Feeder naar: Northern Trust World Custom ESG Equity Index Fund</t>
  </si>
  <si>
    <t>12-2015 gestart. Geen feeder</t>
  </si>
  <si>
    <t>06-2019 gestart. Feeder naar Northern Trust World Small Cap ESG Low Carbon Index Fund</t>
  </si>
  <si>
    <t>Aannames</t>
  </si>
  <si>
    <t>Wat valt op</t>
  </si>
  <si>
    <t>% transactie kosten totaal</t>
  </si>
  <si>
    <t>Wel gek dat soms wel wat kosten bij de feeder worden gemeld</t>
  </si>
  <si>
    <t>Dat transactie en rentekosten van feeder en master fonds bij elkaar opgeteld moeten worden</t>
  </si>
  <si>
    <t>Geen securities lending inkomsten</t>
  </si>
  <si>
    <t xml:space="preserve">Jaarverslag: The OCF includes the cost of </t>
  </si>
  <si>
    <t>Via BND geeft NT aan dat het sluitend is voor hun EM en SmallCap fondsen. Sluitend in EM vind BND zelf ook wel wat raar</t>
  </si>
  <si>
    <t>Transaction costs are costs incurred to acquire or dispose of financial assets or liabilities at fair value
 through profit or loss. They include fees and commissions paid to agents, brokers and dealers.
 Transaction costs for the year are disclosed in the Statement of Comprehensive Income.</t>
  </si>
  <si>
    <t>Lijkt wel te kloppen als ik alle kosten ex transactie optel. Kom dan wel bij de TER in de buurt</t>
  </si>
  <si>
    <t>Rente kosten neem ik niet mee, meestal weinig. En ook weer rente inkomsten.</t>
  </si>
  <si>
    <t>Is natuurlijk niet, maar heb niks anders</t>
  </si>
  <si>
    <t>Enkel deze naam matched volledig met de doorverwijzing vanuit het feeder fonds, wel $ is wat raar</t>
  </si>
  <si>
    <t>Geen gemiddeld vermogen te vinden. Dus maar gemiddelde van stand begin en einde jaar. Aanname dat lineair oploopt.</t>
  </si>
  <si>
    <t>Meesman geeft aan dicht tegen de 100% belasting terug te krijgen, is ook NT</t>
  </si>
  <si>
    <t>In de start jaren vaak wat hogere transactiekosten</t>
  </si>
  <si>
    <t>Bij iShares kan ik nog achteruit doordat de TER dagelijks in rekening wordt gebracht en er vermeld staat hoeveel er op jaarbasis</t>
  </si>
  <si>
    <t>TD</t>
  </si>
  <si>
    <t>OPNI</t>
  </si>
  <si>
    <t>MSCI custom ESG (EUR) gross</t>
  </si>
  <si>
    <t>MSCI custom ESG (EUR) net</t>
  </si>
  <si>
    <t>Vs gross</t>
  </si>
  <si>
    <t>Vs net</t>
  </si>
  <si>
    <t>De TER heeft veel gewisseld, world wordt duurder als er meer vermogen in zit. Raar</t>
  </si>
  <si>
    <t>Gat met kosten benadering</t>
  </si>
  <si>
    <t>Schatting tracking diff toekomst</t>
  </si>
  <si>
    <t>TER wisselingen</t>
  </si>
  <si>
    <t>Tussen de kosten benadering en tracking difference zit een kleiner gat als bij world</t>
  </si>
  <si>
    <t>2016-2019</t>
  </si>
  <si>
    <t>Of in begin gewoon goedkoop geweest om vermogen aan te trekken?</t>
  </si>
  <si>
    <t>Of de average net asset value klopt niet</t>
  </si>
  <si>
    <t>De in rekening gebrachte TER lijkt soms anders als wat er in rekening gebracht had moeten worden</t>
  </si>
  <si>
    <t>MSCI North America Custom ESG Index Net EUR</t>
  </si>
  <si>
    <t>MSCI North America Custom ESG Index Gross EUR</t>
  </si>
  <si>
    <t>Northern Trust North America Custom ESG Equity Index UCITS FGR Feeder Fund €</t>
  </si>
  <si>
    <t>Northern Trust North America Custom ESG Equity Index UCITS FGR Feeder Fund</t>
  </si>
  <si>
    <t>Northern Trust Emerging Markets Custom ESG Equity Index UCITS FGR Fund</t>
  </si>
  <si>
    <t>Northern Trust World Custom ESG Equity Index UCITS FGR Feeder Fund</t>
  </si>
  <si>
    <t>Northern Trust Europe Custom ESG Equity Index UCITS FGR Feeder Fund</t>
  </si>
  <si>
    <t>MSCI Europe Custom ESG Index Net EUR</t>
  </si>
  <si>
    <t>MSCI Europe Custom ESG Index Gross EUR</t>
  </si>
  <si>
    <t>Northern Trust Europe Custom ESG Equity Index UCITS FGR Feeder Fund €</t>
  </si>
  <si>
    <t>12-2015 gestart.  Feeder naar: Northern Trust North America Custom ESG Equity Index Fund (the "Master Fund")</t>
  </si>
  <si>
    <t>Total operating exp - transaction</t>
  </si>
  <si>
    <t>10-2015 gestart. Feeder naar:  Northern Trust Europe Custom ESG Equity Index Fund ("het master-fonds")</t>
  </si>
  <si>
    <t>Northern Trust Europe ESG Equity Index Fund €</t>
  </si>
  <si>
    <t>Northern Trust North America Custom ESG Equity Index Fund US$</t>
  </si>
  <si>
    <t>TER gemeld</t>
  </si>
  <si>
    <t>% TER in rekening gebracht</t>
  </si>
  <si>
    <t>Bij de feeders worden er namelijk bijna geen transactiekosten gemeld</t>
  </si>
  <si>
    <t>In emerging markets wat hogere transactiekosten</t>
  </si>
  <si>
    <t>Transactiekosten ietwat aan de hoge kant voor europa</t>
  </si>
  <si>
    <t>Bruto - netto index</t>
  </si>
  <si>
    <t>Dividend income</t>
  </si>
  <si>
    <t>Withholding taxes</t>
  </si>
  <si>
    <t>Percentage</t>
  </si>
  <si>
    <t>in rekening is gebracht, bij NT is de TER van de master fondsen niet los te vinden</t>
  </si>
  <si>
    <t>Allen maar 1x per jaar dividend uitkering, lopende dividenden worden wel meteen netto geinvesteerd?</t>
  </si>
  <si>
    <t>Kosten gemiddeld verleden</t>
  </si>
  <si>
    <t>Tracking difference verleden</t>
  </si>
  <si>
    <t>De cash/tax drag valt hier extra op omdat de master veel lekt, NL belasdienst nodig om de boel terug te krijgen via ons</t>
  </si>
  <si>
    <t>De cash/tax drag valt hier minder op omdat het lek in europa kleiner is</t>
  </si>
  <si>
    <t>In het 2018 jaarverslag staat dat TER 0,42% zou zijn geweest in 2018</t>
  </si>
  <si>
    <t>In het 2019 jaarverslag staat dat TER 0,25% zou zijn geweest in 2018</t>
  </si>
  <si>
    <t>0,29% is er gerekend</t>
  </si>
  <si>
    <t>Kosten verschil toekomst en verleden</t>
  </si>
  <si>
    <t>Aaname: kalender perf geen last van swing pricing</t>
  </si>
  <si>
    <t>Turnover rate</t>
  </si>
  <si>
    <t>The dealing net asset value per unit for the Sub-Funds did not include</t>
  </si>
  <si>
    <t>any dilution adjustment at 31 December 2019, 31 December 2018 or 31 December 2017 and correspond to their net asset value per unit disclosed in Note 21.</t>
  </si>
  <si>
    <t>US drijft het dividend lek op, niet europa</t>
  </si>
  <si>
    <t>Derivatives</t>
  </si>
  <si>
    <t>HSBC MSCI World turnover (vergelijk)</t>
  </si>
  <si>
    <t>Transactiekosten wel heel erg laag gezien turnover en in vergelijking met iShares/Vanguard</t>
  </si>
  <si>
    <t>HSBC MSCI EM turnover (vergelijk)</t>
  </si>
  <si>
    <t>NORTHERN TRUST WORLD SMALL CAP ESG LOW CARBON INDEX FGR FUND</t>
  </si>
  <si>
    <t>WORLD SMALL CAP CUST ESG LOW CARBON Gross Eur</t>
  </si>
  <si>
    <t>WORLD SMALL CAP CUST ESG LOW CARBON Net Eur</t>
  </si>
  <si>
    <t>Kosten</t>
  </si>
  <si>
    <t>Aanname 100% dividend efficient? NT antwoord daar niet op aan mij.</t>
  </si>
  <si>
    <t>Total kosten?</t>
  </si>
  <si>
    <t>% TER in rekening gebracht?</t>
  </si>
  <si>
    <t>In 2020 worden ineens de transactiekosten anders berekend?</t>
  </si>
  <si>
    <t>Min</t>
  </si>
  <si>
    <t>Max</t>
  </si>
  <si>
    <t>Kosten master fonds nog los op de TER tellen of niet?</t>
  </si>
  <si>
    <t>Master:Northern Trust World Custom ESG Equity Index Fund: Class F</t>
  </si>
  <si>
    <t>Master: Northern Trust World Small Cap ESG Low Carbon Index FGR Fund Class F</t>
  </si>
  <si>
    <t>Meer dan dubbele turnover in vergelijk met normaal MSCI World fonds</t>
  </si>
  <si>
    <t>Schatting kosten toekomst (zonder lek)</t>
  </si>
  <si>
    <t>TD ruimte</t>
  </si>
  <si>
    <t>Op de 2017 factsheet adverteerde men wel met een 0.15% TER, maar factsheet TER blijft indicatie, jaarverslag is de accounting waarheid</t>
  </si>
  <si>
    <t>Transactiekosten nogsteeds laag gezien turnover en in vergelijking met iShares/Vanguard? In 2020 wel logischer?</t>
  </si>
  <si>
    <t>De master fondsen lekken gewoon, de Nederlandse feeders maken dat goed. Dit zijn fiscaal transparante fondsen dus. (CCF)</t>
  </si>
  <si>
    <t>zonder master</t>
  </si>
  <si>
    <t>met master</t>
  </si>
  <si>
    <t>gek, een gat?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</si>
</sst>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_(* #,##0.00_);_(* \(#,##0.00\);_(* &quot;-&quot;??_);_(@_)"/>
    <numFmt numFmtId="166" formatCode="_ &quot;$&quot;\ * #,##0_ ;_ &quot;$&quot;\ * \-#,##0_ ;_ &quot;$&quot;\ * &quot;-&quot;??_ ;_ @_ "/>
    <numFmt numFmtId="167" formatCode="0.000%"/>
    <numFmt numFmtId="168" formatCode="0.0000%"/>
    <numFmt numFmtId="169" formatCode="0.0%"/>
    <numFmt numFmtId="170" formatCode="_ * #,##0_ ;_ * \-#,##0_ ;_ * &quot;-&quot;??_ ;_ @_ "/>
    <numFmt numFmtId="171" formatCode="_ * #,##0.0_ ;_ * \-#,##0.0_ ;_ * &quot;-&quot;?_ ;_ @_ "/>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9"/>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cellStyleXfs>
  <cellXfs count="41">
    <xf numFmtId="0" fontId="0" fillId="0" borderId="0" xfId="0"/>
    <xf numFmtId="0" fontId="2" fillId="0" borderId="0" xfId="0" applyFont="1"/>
    <xf numFmtId="166" fontId="0" fillId="0" borderId="0" xfId="0" applyNumberFormat="1"/>
    <xf numFmtId="10" fontId="0" fillId="0" borderId="0" xfId="1" applyNumberFormat="1" applyFont="1"/>
    <xf numFmtId="167" fontId="0" fillId="0" borderId="0" xfId="1" applyNumberFormat="1" applyFont="1"/>
    <xf numFmtId="167" fontId="0" fillId="0" borderId="0" xfId="0" applyNumberFormat="1"/>
    <xf numFmtId="10" fontId="0" fillId="0" borderId="0" xfId="0" applyNumberFormat="1"/>
    <xf numFmtId="168" fontId="0" fillId="0" borderId="0" xfId="1" applyNumberFormat="1" applyFont="1"/>
    <xf numFmtId="0" fontId="3" fillId="0" borderId="0" xfId="0" applyFont="1"/>
    <xf numFmtId="0" fontId="0" fillId="2" borderId="0" xfId="0" applyFill="1"/>
    <xf numFmtId="0" fontId="2" fillId="2" borderId="0" xfId="0" applyFont="1" applyFill="1"/>
    <xf numFmtId="166" fontId="0" fillId="0" borderId="0" xfId="2" applyNumberFormat="1" applyFont="1"/>
    <xf numFmtId="167" fontId="3" fillId="0" borderId="0" xfId="0" applyNumberFormat="1" applyFont="1"/>
    <xf numFmtId="168" fontId="3" fillId="0" borderId="0" xfId="0" applyNumberFormat="1" applyFont="1"/>
    <xf numFmtId="0" fontId="0" fillId="0" borderId="0" xfId="0" applyAlignment="1">
      <alignment vertical="top" wrapText="1"/>
    </xf>
    <xf numFmtId="166" fontId="0" fillId="0" borderId="0" xfId="1" applyNumberFormat="1" applyFont="1"/>
    <xf numFmtId="0" fontId="4" fillId="0" borderId="0" xfId="0" applyFont="1"/>
    <xf numFmtId="0" fontId="5" fillId="0" borderId="0" xfId="0" applyFont="1" applyAlignment="1">
      <alignment horizontal="right"/>
    </xf>
    <xf numFmtId="0" fontId="5" fillId="0" borderId="0" xfId="0" applyFont="1"/>
    <xf numFmtId="2" fontId="4" fillId="0" borderId="0" xfId="0" applyNumberFormat="1" applyFont="1"/>
    <xf numFmtId="0" fontId="8" fillId="0" borderId="0" xfId="0" applyFont="1"/>
    <xf numFmtId="0" fontId="9" fillId="0" borderId="0" xfId="0" applyFont="1"/>
    <xf numFmtId="2" fontId="8" fillId="0" borderId="0" xfId="0" applyNumberFormat="1" applyFont="1"/>
    <xf numFmtId="169" fontId="0" fillId="0" borderId="0" xfId="1" applyNumberFormat="1" applyFont="1"/>
    <xf numFmtId="9" fontId="0" fillId="0" borderId="0" xfId="1" applyFont="1"/>
    <xf numFmtId="10" fontId="2" fillId="0" borderId="0" xfId="0" applyNumberFormat="1" applyFont="1"/>
    <xf numFmtId="2" fontId="0" fillId="0" borderId="0" xfId="0" applyNumberFormat="1"/>
    <xf numFmtId="2" fontId="8" fillId="3" borderId="0" xfId="0" applyNumberFormat="1" applyFont="1" applyFill="1"/>
    <xf numFmtId="2" fontId="0" fillId="3" borderId="0" xfId="0" applyNumberFormat="1" applyFill="1"/>
    <xf numFmtId="2" fontId="4" fillId="3" borderId="0" xfId="0" applyNumberFormat="1" applyFont="1" applyFill="1"/>
    <xf numFmtId="10" fontId="1" fillId="0" borderId="0" xfId="1" applyNumberFormat="1" applyFont="1"/>
    <xf numFmtId="167" fontId="1" fillId="0" borderId="0" xfId="1" applyNumberFormat="1" applyFont="1"/>
    <xf numFmtId="170" fontId="0" fillId="0" borderId="0" xfId="3" applyNumberFormat="1" applyFont="1"/>
    <xf numFmtId="170" fontId="1" fillId="0" borderId="0" xfId="3" applyNumberFormat="1" applyFont="1"/>
    <xf numFmtId="169" fontId="0" fillId="0" borderId="0" xfId="0" applyNumberFormat="1"/>
    <xf numFmtId="171" fontId="0" fillId="0" borderId="0" xfId="0" applyNumberFormat="1"/>
    <xf numFmtId="10" fontId="3" fillId="0" borderId="0" xfId="1" applyNumberFormat="1" applyFont="1"/>
    <xf numFmtId="9" fontId="0" fillId="0" borderId="0" xfId="0" applyNumberFormat="1"/>
    <xf numFmtId="167" fontId="3" fillId="0" borderId="0" xfId="1" applyNumberFormat="1" applyFont="1"/>
    <xf numFmtId="10" fontId="0" fillId="0" borderId="0" xfId="3" applyNumberFormat="1" applyFont="1"/>
    <xf numFmtId="0" fontId="3" fillId="0" borderId="0" xfId="0" applyFont="1" applyAlignment="1">
      <alignment horizontal="left" vertical="top" wrapText="1"/>
    </xf>
  </cellXfs>
  <cellStyles count="4">
    <cellStyle name="Comma" xfId="3" builtinId="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ECACD-21DA-4904-B85E-A64A90D22818}">
  <dimension ref="B2:B28"/>
  <sheetViews>
    <sheetView workbookViewId="0"/>
  </sheetViews>
  <sheetFormatPr defaultRowHeight="15" x14ac:dyDescent="0.25"/>
  <cols>
    <col min="2" max="2" width="114.28515625" customWidth="1"/>
  </cols>
  <sheetData>
    <row r="2" spans="2:2" x14ac:dyDescent="0.25">
      <c r="B2" s="1" t="s">
        <v>24</v>
      </c>
    </row>
    <row r="3" spans="2:2" x14ac:dyDescent="0.25">
      <c r="B3" s="8" t="s">
        <v>30</v>
      </c>
    </row>
    <row r="4" spans="2:2" x14ac:dyDescent="0.25">
      <c r="B4" s="8" t="s">
        <v>4</v>
      </c>
    </row>
    <row r="5" spans="2:2" x14ac:dyDescent="0.25">
      <c r="B5" s="8" t="s">
        <v>5</v>
      </c>
    </row>
    <row r="6" spans="2:2" x14ac:dyDescent="0.25">
      <c r="B6" s="8" t="s">
        <v>6</v>
      </c>
    </row>
    <row r="7" spans="2:2" x14ac:dyDescent="0.25">
      <c r="B7" s="8" t="s">
        <v>0</v>
      </c>
    </row>
    <row r="8" spans="2:2" x14ac:dyDescent="0.25">
      <c r="B8" s="8"/>
    </row>
    <row r="9" spans="2:2" x14ac:dyDescent="0.25">
      <c r="B9" s="40" t="s">
        <v>32</v>
      </c>
    </row>
    <row r="10" spans="2:2" x14ac:dyDescent="0.25">
      <c r="B10" s="40"/>
    </row>
    <row r="11" spans="2:2" x14ac:dyDescent="0.25">
      <c r="B11" s="40"/>
    </row>
    <row r="12" spans="2:2" x14ac:dyDescent="0.25">
      <c r="B12" s="14"/>
    </row>
    <row r="13" spans="2:2" x14ac:dyDescent="0.25">
      <c r="B13" t="s">
        <v>14</v>
      </c>
    </row>
    <row r="14" spans="2:2" x14ac:dyDescent="0.25">
      <c r="B14" t="s">
        <v>33</v>
      </c>
    </row>
    <row r="15" spans="2:2" x14ac:dyDescent="0.25">
      <c r="B15" t="s">
        <v>34</v>
      </c>
    </row>
    <row r="17" spans="2:2" x14ac:dyDescent="0.25">
      <c r="B17" t="s">
        <v>28</v>
      </c>
    </row>
    <row r="18" spans="2:2" x14ac:dyDescent="0.25">
      <c r="B18" t="s">
        <v>73</v>
      </c>
    </row>
    <row r="19" spans="2:2" x14ac:dyDescent="0.25">
      <c r="B19" t="s">
        <v>27</v>
      </c>
    </row>
    <row r="21" spans="2:2" x14ac:dyDescent="0.25">
      <c r="B21" t="s">
        <v>29</v>
      </c>
    </row>
    <row r="23" spans="2:2" x14ac:dyDescent="0.25">
      <c r="B23" t="s">
        <v>103</v>
      </c>
    </row>
    <row r="25" spans="2:2" x14ac:dyDescent="0.25">
      <c r="B25" t="s">
        <v>38</v>
      </c>
    </row>
    <row r="26" spans="2:2" x14ac:dyDescent="0.25">
      <c r="B26" t="s">
        <v>31</v>
      </c>
    </row>
    <row r="28" spans="2:2" x14ac:dyDescent="0.25">
      <c r="B28" t="s">
        <v>81</v>
      </c>
    </row>
  </sheetData>
  <mergeCells count="1">
    <mergeCell ref="B9:B1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42"/>
  <sheetViews>
    <sheetView zoomScale="115" zoomScaleNormal="115" workbookViewId="0"/>
  </sheetViews>
  <sheetFormatPr defaultRowHeight="15" x14ac:dyDescent="0.25"/>
  <cols>
    <col min="2" max="2" width="36.42578125" customWidth="1"/>
    <col min="3" max="8" width="17.7109375" customWidth="1"/>
    <col min="9" max="9" width="6.140625" customWidth="1"/>
    <col min="10" max="10" width="13.28515625" customWidth="1"/>
    <col min="11" max="11" width="18" customWidth="1"/>
    <col min="12" max="12" width="122.140625" customWidth="1"/>
  </cols>
  <sheetData>
    <row r="2" spans="2:12" x14ac:dyDescent="0.25">
      <c r="B2" s="10" t="s">
        <v>3</v>
      </c>
      <c r="C2" s="9"/>
      <c r="D2" s="9"/>
      <c r="E2" s="9"/>
      <c r="F2" s="9"/>
      <c r="G2" s="9"/>
      <c r="H2" s="9"/>
      <c r="I2" s="9"/>
      <c r="J2" s="9"/>
      <c r="L2" s="1" t="s">
        <v>25</v>
      </c>
    </row>
    <row r="3" spans="2:12" x14ac:dyDescent="0.25">
      <c r="B3" t="s">
        <v>21</v>
      </c>
      <c r="L3" t="s">
        <v>47</v>
      </c>
    </row>
    <row r="4" spans="2:12" x14ac:dyDescent="0.25">
      <c r="C4" s="1">
        <v>2016</v>
      </c>
      <c r="D4" s="1">
        <v>2017</v>
      </c>
      <c r="E4" s="1">
        <v>2018</v>
      </c>
      <c r="F4" s="1">
        <v>2019</v>
      </c>
      <c r="G4" s="1">
        <v>2020</v>
      </c>
      <c r="H4" s="1">
        <v>2021</v>
      </c>
      <c r="I4" s="1"/>
      <c r="J4" s="1" t="s">
        <v>13</v>
      </c>
      <c r="L4" t="s">
        <v>53</v>
      </c>
    </row>
    <row r="5" spans="2:12" x14ac:dyDescent="0.25">
      <c r="B5" t="s">
        <v>1</v>
      </c>
      <c r="C5" s="11">
        <v>0</v>
      </c>
      <c r="D5" s="11">
        <v>0</v>
      </c>
      <c r="E5" s="11">
        <v>0</v>
      </c>
      <c r="F5" s="11">
        <v>22294</v>
      </c>
      <c r="G5" s="11">
        <v>1057177</v>
      </c>
      <c r="H5" s="11">
        <v>526476</v>
      </c>
      <c r="I5" s="2"/>
      <c r="L5" t="s">
        <v>115</v>
      </c>
    </row>
    <row r="6" spans="2:12" x14ac:dyDescent="0.25">
      <c r="B6" t="s">
        <v>7</v>
      </c>
      <c r="C6" s="11">
        <v>607319449</v>
      </c>
      <c r="D6" s="11">
        <v>1151302913</v>
      </c>
      <c r="E6" s="11">
        <v>1781058053</v>
      </c>
      <c r="F6" s="11">
        <v>2673847808</v>
      </c>
      <c r="G6" s="11">
        <v>2699037265</v>
      </c>
      <c r="H6" s="11">
        <v>4671196104</v>
      </c>
      <c r="I6" s="2"/>
    </row>
    <row r="7" spans="2:12" x14ac:dyDescent="0.25">
      <c r="B7" t="s">
        <v>15</v>
      </c>
      <c r="C7" s="4">
        <f>C5/C6</f>
        <v>0</v>
      </c>
      <c r="D7" s="4">
        <f t="shared" ref="D7:H7" si="0">D5/D6</f>
        <v>0</v>
      </c>
      <c r="E7" s="4">
        <f t="shared" si="0"/>
        <v>0</v>
      </c>
      <c r="F7" s="4">
        <f t="shared" si="0"/>
        <v>8.3377969132340379E-6</v>
      </c>
      <c r="G7" s="4">
        <f t="shared" si="0"/>
        <v>3.9168670018344484E-4</v>
      </c>
      <c r="H7" s="4">
        <f t="shared" si="0"/>
        <v>1.1270689311227427E-4</v>
      </c>
      <c r="I7" s="4"/>
      <c r="J7" s="5"/>
      <c r="K7" s="3"/>
      <c r="L7" t="s">
        <v>39</v>
      </c>
    </row>
    <row r="8" spans="2:12" ht="15" customHeight="1" x14ac:dyDescent="0.25">
      <c r="B8" t="s">
        <v>16</v>
      </c>
      <c r="C8" s="4">
        <f>'Northern Trust Master fondsen'!D6</f>
        <v>1.3528648432442348E-4</v>
      </c>
      <c r="D8" s="4">
        <f>'Northern Trust Master fondsen'!E6</f>
        <v>4.4782844092559127E-5</v>
      </c>
      <c r="E8" s="4">
        <f>'Northern Trust Master fondsen'!F6</f>
        <v>4.2300110328596436E-5</v>
      </c>
      <c r="F8" s="4">
        <f>'Northern Trust Master fondsen'!G6</f>
        <v>4.6130035609743487E-5</v>
      </c>
      <c r="G8" s="4">
        <f>'Northern Trust Master fondsen'!H6</f>
        <v>6.2120793946397634E-5</v>
      </c>
      <c r="H8" s="4">
        <f>'Northern Trust Master fondsen'!I6</f>
        <v>1.7136259660773064E-5</v>
      </c>
      <c r="I8" s="4"/>
      <c r="J8" s="5"/>
    </row>
    <row r="9" spans="2:12" ht="15" customHeight="1" x14ac:dyDescent="0.25">
      <c r="B9" t="s">
        <v>26</v>
      </c>
      <c r="C9" s="4">
        <f>SUM(C7:C8)</f>
        <v>1.3528648432442348E-4</v>
      </c>
      <c r="D9" s="4">
        <f t="shared" ref="D9:H9" si="1">SUM(D7:D8)</f>
        <v>4.4782844092559127E-5</v>
      </c>
      <c r="E9" s="4">
        <f t="shared" si="1"/>
        <v>4.2300110328596436E-5</v>
      </c>
      <c r="F9" s="4">
        <f t="shared" si="1"/>
        <v>5.4467832522977523E-5</v>
      </c>
      <c r="G9" s="4">
        <f t="shared" si="1"/>
        <v>4.5380749412984249E-4</v>
      </c>
      <c r="H9" s="4">
        <f t="shared" si="1"/>
        <v>1.2984315277304734E-4</v>
      </c>
      <c r="I9" s="4"/>
      <c r="J9" s="5">
        <f>AVERAGE(C9:H9)</f>
        <v>1.434146530285744E-4</v>
      </c>
      <c r="L9" t="s">
        <v>55</v>
      </c>
    </row>
    <row r="10" spans="2:12" x14ac:dyDescent="0.25">
      <c r="B10" t="s">
        <v>71</v>
      </c>
      <c r="C10" s="3">
        <v>2.9999999999999997E-4</v>
      </c>
      <c r="D10" s="3">
        <v>2.9999999999999997E-4</v>
      </c>
      <c r="E10" s="3">
        <v>1.1999999999999999E-3</v>
      </c>
      <c r="F10" s="3">
        <v>1.5E-3</v>
      </c>
      <c r="G10" s="3">
        <v>1.5E-3</v>
      </c>
      <c r="H10" s="3">
        <v>1.5E-3</v>
      </c>
      <c r="I10" s="4"/>
      <c r="J10" s="6">
        <f>AVERAGE(C10:H10)</f>
        <v>1.0499999999999999E-3</v>
      </c>
      <c r="L10" t="s">
        <v>54</v>
      </c>
    </row>
    <row r="11" spans="2:12" x14ac:dyDescent="0.25">
      <c r="C11" s="3"/>
      <c r="D11" s="3"/>
      <c r="E11" s="3"/>
      <c r="F11" s="3"/>
      <c r="G11" s="3"/>
      <c r="H11" s="3"/>
      <c r="I11" s="4"/>
      <c r="J11" s="6"/>
    </row>
    <row r="12" spans="2:12" x14ac:dyDescent="0.25">
      <c r="B12" t="s">
        <v>67</v>
      </c>
      <c r="C12" s="15">
        <v>159521</v>
      </c>
      <c r="D12" s="15">
        <f>323257-D5</f>
        <v>323257</v>
      </c>
      <c r="E12" s="15">
        <f>2280765-E5</f>
        <v>2280765</v>
      </c>
      <c r="F12" s="15">
        <f>3265001-F5</f>
        <v>3242707</v>
      </c>
      <c r="G12" s="15">
        <f>3763438-G5</f>
        <v>2706261</v>
      </c>
      <c r="H12" s="15">
        <f>4740622-H5</f>
        <v>4214146</v>
      </c>
      <c r="I12" s="4"/>
      <c r="J12" s="6"/>
      <c r="L12" t="s">
        <v>106</v>
      </c>
    </row>
    <row r="13" spans="2:12" x14ac:dyDescent="0.25">
      <c r="B13" t="s">
        <v>105</v>
      </c>
      <c r="C13" s="3">
        <f t="shared" ref="C13:H13" si="2">C12/C6</f>
        <v>2.6266407285764366E-4</v>
      </c>
      <c r="D13" s="3">
        <f t="shared" si="2"/>
        <v>2.8077493451108816E-4</v>
      </c>
      <c r="E13" s="3">
        <f t="shared" si="2"/>
        <v>1.2805674672750266E-3</v>
      </c>
      <c r="F13" s="3">
        <f t="shared" si="2"/>
        <v>1.212749278510918E-3</v>
      </c>
      <c r="G13" s="3">
        <f t="shared" si="2"/>
        <v>1.0026764117315734E-3</v>
      </c>
      <c r="H13" s="3">
        <f t="shared" si="2"/>
        <v>9.0215565910225376E-4</v>
      </c>
      <c r="I13" s="4"/>
      <c r="J13" s="6">
        <f>AVERAGE(C13:H13)</f>
        <v>8.2359797066475053E-4</v>
      </c>
      <c r="L13" t="s">
        <v>112</v>
      </c>
    </row>
    <row r="14" spans="2:12" x14ac:dyDescent="0.25">
      <c r="B14" t="s">
        <v>102</v>
      </c>
      <c r="C14" s="3"/>
      <c r="D14" s="15">
        <f>D12+D5</f>
        <v>323257</v>
      </c>
      <c r="E14" s="15">
        <f t="shared" ref="E14:H14" si="3">E12+E5</f>
        <v>2280765</v>
      </c>
      <c r="F14" s="15">
        <f t="shared" si="3"/>
        <v>3265001</v>
      </c>
      <c r="G14" s="15">
        <f t="shared" si="3"/>
        <v>3763438</v>
      </c>
      <c r="H14" s="15">
        <f t="shared" si="3"/>
        <v>4740622</v>
      </c>
      <c r="I14" s="4"/>
      <c r="J14" s="6"/>
      <c r="L14" t="s">
        <v>116</v>
      </c>
    </row>
    <row r="15" spans="2:12" x14ac:dyDescent="0.25">
      <c r="B15" t="s">
        <v>104</v>
      </c>
      <c r="C15" s="3"/>
      <c r="D15" s="3">
        <f>D14/D6</f>
        <v>2.8077493451108816E-4</v>
      </c>
      <c r="E15" s="3">
        <f t="shared" ref="E15:H15" si="4">E14/E6</f>
        <v>1.2805674672750266E-3</v>
      </c>
      <c r="F15" s="3">
        <f t="shared" si="4"/>
        <v>1.2210870754241522E-3</v>
      </c>
      <c r="G15" s="3">
        <f t="shared" si="4"/>
        <v>1.3943631119150183E-3</v>
      </c>
      <c r="H15" s="3">
        <f t="shared" si="4"/>
        <v>1.0148625522145281E-3</v>
      </c>
      <c r="I15" s="4"/>
      <c r="J15" s="6"/>
    </row>
    <row r="16" spans="2:12" ht="15" customHeight="1" x14ac:dyDescent="0.25">
      <c r="C16" s="3"/>
      <c r="D16" s="3"/>
      <c r="E16" s="3"/>
      <c r="F16" s="3"/>
      <c r="G16" s="3"/>
      <c r="H16" s="3"/>
      <c r="I16" s="4"/>
      <c r="J16" s="6"/>
      <c r="L16" t="s">
        <v>109</v>
      </c>
    </row>
    <row r="17" spans="2:12" ht="15" customHeight="1" x14ac:dyDescent="0.25">
      <c r="B17" t="s">
        <v>91</v>
      </c>
      <c r="C17" s="24">
        <f>0.07</f>
        <v>7.0000000000000007E-2</v>
      </c>
      <c r="D17" s="24">
        <f>0.01</f>
        <v>0.01</v>
      </c>
      <c r="E17" s="24">
        <f>0.09</f>
        <v>0.09</v>
      </c>
      <c r="F17" s="24">
        <f>0.26</f>
        <v>0.26</v>
      </c>
      <c r="G17" s="24">
        <v>0.19</v>
      </c>
      <c r="H17" s="24">
        <v>0.08</v>
      </c>
      <c r="I17" s="4"/>
      <c r="J17" s="37">
        <f>AVERAGE(E17:H17)</f>
        <v>0.155</v>
      </c>
      <c r="K17" s="4"/>
    </row>
    <row r="18" spans="2:12" ht="15" customHeight="1" x14ac:dyDescent="0.25">
      <c r="B18" t="s">
        <v>96</v>
      </c>
      <c r="C18" s="24">
        <v>0.1464</v>
      </c>
      <c r="D18" s="24">
        <v>5.3100000000000001E-2</v>
      </c>
      <c r="E18" s="24">
        <v>0.1013</v>
      </c>
      <c r="F18" s="24">
        <v>9.2600000000000002E-2</v>
      </c>
      <c r="G18" s="24">
        <v>3.32E-2</v>
      </c>
      <c r="H18" s="24">
        <v>7.9200000000000007E-2</v>
      </c>
      <c r="I18" s="4"/>
      <c r="J18" s="37">
        <f>AVERAGE(E18:H18)</f>
        <v>7.6575000000000004E-2</v>
      </c>
    </row>
    <row r="19" spans="2:12" ht="15" customHeight="1" x14ac:dyDescent="0.25">
      <c r="D19" s="4"/>
      <c r="E19" s="4"/>
      <c r="F19" s="4"/>
      <c r="G19" s="4"/>
      <c r="H19" s="4"/>
      <c r="I19" s="4"/>
      <c r="J19" s="5"/>
    </row>
    <row r="20" spans="2:12" x14ac:dyDescent="0.25">
      <c r="B20" t="s">
        <v>110</v>
      </c>
      <c r="C20" s="25"/>
      <c r="D20" s="4"/>
      <c r="F20" s="4">
        <v>2.9999999999999997E-4</v>
      </c>
      <c r="G20" s="3">
        <v>2.9999999999999997E-4</v>
      </c>
      <c r="H20" s="3">
        <v>2.9999999999999997E-4</v>
      </c>
      <c r="I20" s="4"/>
      <c r="J20" s="5">
        <f>AVERAGE(F20:H20)</f>
        <v>2.9999999999999997E-4</v>
      </c>
    </row>
    <row r="21" spans="2:12" x14ac:dyDescent="0.25">
      <c r="C21" s="3"/>
      <c r="D21" s="4"/>
      <c r="E21" s="4"/>
      <c r="F21" s="4"/>
      <c r="G21" s="4"/>
      <c r="H21" s="4"/>
      <c r="I21" s="4"/>
      <c r="J21" s="5"/>
    </row>
    <row r="22" spans="2:12" x14ac:dyDescent="0.25">
      <c r="B22" t="s">
        <v>82</v>
      </c>
      <c r="C22" s="6">
        <f>J9+J13</f>
        <v>9.6701262369332491E-4</v>
      </c>
      <c r="D22" t="s">
        <v>118</v>
      </c>
      <c r="E22" s="4"/>
      <c r="F22" s="4"/>
      <c r="G22" s="4"/>
      <c r="H22" s="4"/>
      <c r="I22" s="4"/>
      <c r="J22" s="5"/>
    </row>
    <row r="23" spans="2:12" x14ac:dyDescent="0.25">
      <c r="B23" t="s">
        <v>114</v>
      </c>
      <c r="C23" s="6">
        <f>('Tracking Difference'!N7/100)-C22</f>
        <v>1.3329873763066728E-3</v>
      </c>
      <c r="D23" t="s">
        <v>120</v>
      </c>
      <c r="E23" s="4"/>
      <c r="F23" s="4"/>
      <c r="G23" s="4"/>
      <c r="H23" s="4"/>
      <c r="I23" s="4"/>
      <c r="J23" s="5"/>
    </row>
    <row r="24" spans="2:12" x14ac:dyDescent="0.25">
      <c r="C24" s="6"/>
      <c r="E24" s="4"/>
      <c r="F24" s="4"/>
      <c r="G24" s="4"/>
      <c r="H24" s="4"/>
      <c r="I24" s="4"/>
      <c r="J24" s="5"/>
    </row>
    <row r="25" spans="2:12" x14ac:dyDescent="0.25">
      <c r="B25" t="s">
        <v>82</v>
      </c>
      <c r="C25" s="6">
        <f>J9+J13+J20</f>
        <v>1.2670126236933249E-3</v>
      </c>
      <c r="D25" t="s">
        <v>119</v>
      </c>
      <c r="E25" s="4"/>
      <c r="F25" s="4"/>
      <c r="G25" s="4"/>
      <c r="H25" s="4"/>
      <c r="I25" s="4"/>
      <c r="J25" s="5"/>
    </row>
    <row r="26" spans="2:12" x14ac:dyDescent="0.25">
      <c r="B26" t="s">
        <v>114</v>
      </c>
      <c r="C26" s="6">
        <f>('Tracking Difference'!N7/100)-C25</f>
        <v>1.0329873763066729E-3</v>
      </c>
      <c r="D26" t="s">
        <v>120</v>
      </c>
      <c r="E26" s="4"/>
      <c r="F26" s="4"/>
      <c r="G26" s="4"/>
      <c r="H26" s="4"/>
      <c r="I26" s="4"/>
      <c r="J26" s="5"/>
    </row>
    <row r="27" spans="2:12" x14ac:dyDescent="0.25">
      <c r="C27" s="6"/>
      <c r="E27" s="4"/>
      <c r="F27" s="4"/>
      <c r="G27" s="4"/>
      <c r="H27" s="4"/>
      <c r="I27" s="4"/>
      <c r="J27" s="5"/>
    </row>
    <row r="28" spans="2:12" x14ac:dyDescent="0.25">
      <c r="E28" s="4"/>
      <c r="F28" s="4"/>
      <c r="G28" s="4"/>
      <c r="H28" s="4"/>
      <c r="I28" s="4"/>
      <c r="J28" s="5"/>
    </row>
    <row r="29" spans="2:12" x14ac:dyDescent="0.25">
      <c r="C29" s="6"/>
      <c r="E29" s="4"/>
      <c r="F29" s="4"/>
      <c r="G29" s="4"/>
      <c r="H29" s="4"/>
      <c r="I29" s="4"/>
      <c r="J29" s="5"/>
    </row>
    <row r="30" spans="2:12" x14ac:dyDescent="0.25">
      <c r="C30" s="3" t="s">
        <v>107</v>
      </c>
      <c r="D30" s="4" t="s">
        <v>108</v>
      </c>
      <c r="E30" s="4"/>
      <c r="F30" s="4"/>
      <c r="G30" s="4"/>
      <c r="H30" s="4"/>
      <c r="I30" s="4"/>
      <c r="J30" s="5"/>
      <c r="L30" s="3"/>
    </row>
    <row r="31" spans="2:12" x14ac:dyDescent="0.25">
      <c r="B31" s="1" t="s">
        <v>113</v>
      </c>
      <c r="C31" s="6">
        <f>H10+H9</f>
        <v>1.6298431527730474E-3</v>
      </c>
      <c r="D31" s="3">
        <f>C31+H20</f>
        <v>1.9298431527730473E-3</v>
      </c>
      <c r="I31" s="4"/>
      <c r="J31" s="5"/>
    </row>
    <row r="32" spans="2:12" x14ac:dyDescent="0.25">
      <c r="E32" s="4"/>
      <c r="F32" s="4"/>
      <c r="G32" s="4"/>
      <c r="H32" s="4"/>
      <c r="I32" s="4"/>
      <c r="J32" s="5"/>
    </row>
    <row r="33" spans="3:11" x14ac:dyDescent="0.25">
      <c r="E33" s="4"/>
      <c r="F33" s="4"/>
      <c r="G33" s="4"/>
      <c r="H33" s="4"/>
      <c r="I33" s="4"/>
      <c r="J33" s="5"/>
    </row>
    <row r="34" spans="3:11" x14ac:dyDescent="0.25">
      <c r="C34" s="6"/>
      <c r="E34" s="4"/>
      <c r="F34" s="4"/>
      <c r="G34" s="4"/>
      <c r="H34" s="4"/>
      <c r="I34" s="4"/>
      <c r="J34" s="5"/>
    </row>
    <row r="35" spans="3:11" x14ac:dyDescent="0.25">
      <c r="C35" s="6"/>
      <c r="E35" s="4"/>
      <c r="F35" s="4"/>
      <c r="G35" s="4"/>
      <c r="H35" s="4"/>
      <c r="I35" s="4"/>
      <c r="J35" s="5"/>
      <c r="K35" s="5"/>
    </row>
    <row r="36" spans="3:11" x14ac:dyDescent="0.25">
      <c r="C36" s="32"/>
      <c r="D36" s="32"/>
      <c r="E36" s="32"/>
      <c r="F36" s="32"/>
      <c r="G36" s="32"/>
      <c r="H36" s="32"/>
    </row>
    <row r="37" spans="3:11" x14ac:dyDescent="0.25">
      <c r="C37" s="6"/>
      <c r="E37" s="32"/>
      <c r="F37" s="32"/>
      <c r="G37" s="32"/>
      <c r="H37" s="32"/>
    </row>
    <row r="38" spans="3:11" x14ac:dyDescent="0.25">
      <c r="C38" s="3"/>
      <c r="D38" s="3"/>
      <c r="E38" s="32"/>
      <c r="F38" s="32"/>
      <c r="G38" s="32"/>
      <c r="H38" s="32"/>
    </row>
    <row r="39" spans="3:11" x14ac:dyDescent="0.25">
      <c r="C39" s="39"/>
      <c r="D39" s="39"/>
      <c r="E39" s="32"/>
      <c r="F39" s="32"/>
      <c r="G39" s="32"/>
      <c r="H39" s="32"/>
    </row>
    <row r="40" spans="3:11" x14ac:dyDescent="0.25">
      <c r="C40" s="6"/>
      <c r="D40" s="6"/>
    </row>
    <row r="41" spans="3:11" x14ac:dyDescent="0.25">
      <c r="C41" s="6"/>
      <c r="D41" s="3"/>
    </row>
    <row r="42" spans="3:11" x14ac:dyDescent="0.25">
      <c r="C42" s="24"/>
      <c r="D42" s="6"/>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4C98-CE28-4015-A5EF-F840D4E9DB1C}">
  <dimension ref="B2:L37"/>
  <sheetViews>
    <sheetView zoomScaleNormal="100" workbookViewId="0">
      <selection activeCell="J15" sqref="J15"/>
    </sheetView>
  </sheetViews>
  <sheetFormatPr defaultRowHeight="15" x14ac:dyDescent="0.25"/>
  <cols>
    <col min="2" max="2" width="37.7109375" customWidth="1"/>
    <col min="3" max="8" width="17.7109375" customWidth="1"/>
    <col min="9" max="9" width="6.140625" customWidth="1"/>
    <col min="10" max="10" width="13.28515625" customWidth="1"/>
    <col min="11" max="11" width="18" customWidth="1"/>
    <col min="12" max="12" width="91.85546875" customWidth="1"/>
  </cols>
  <sheetData>
    <row r="2" spans="2:12" x14ac:dyDescent="0.25">
      <c r="B2" s="10" t="s">
        <v>2</v>
      </c>
      <c r="C2" s="9"/>
      <c r="D2" s="9"/>
      <c r="E2" s="9"/>
      <c r="F2" s="9"/>
      <c r="G2" s="9"/>
      <c r="H2" s="9"/>
      <c r="I2" s="9"/>
      <c r="J2" s="9"/>
      <c r="L2" s="1" t="s">
        <v>25</v>
      </c>
    </row>
    <row r="3" spans="2:12" x14ac:dyDescent="0.25">
      <c r="B3" t="s">
        <v>22</v>
      </c>
      <c r="L3" t="s">
        <v>50</v>
      </c>
    </row>
    <row r="4" spans="2:12" x14ac:dyDescent="0.25">
      <c r="C4" s="1">
        <v>2016</v>
      </c>
      <c r="D4" s="1">
        <v>2017</v>
      </c>
      <c r="E4" s="1">
        <v>2018</v>
      </c>
      <c r="F4" s="1">
        <v>2019</v>
      </c>
      <c r="G4" s="1">
        <v>2020</v>
      </c>
      <c r="H4" s="1">
        <v>2021</v>
      </c>
      <c r="I4" s="1"/>
      <c r="J4" s="1" t="s">
        <v>13</v>
      </c>
      <c r="L4" t="s">
        <v>39</v>
      </c>
    </row>
    <row r="5" spans="2:12" x14ac:dyDescent="0.25">
      <c r="B5" t="s">
        <v>1</v>
      </c>
      <c r="C5" s="2">
        <v>48346</v>
      </c>
      <c r="D5" s="2">
        <v>276690</v>
      </c>
      <c r="E5" s="2">
        <v>234574</v>
      </c>
      <c r="F5" s="2">
        <v>672683</v>
      </c>
      <c r="G5" s="2">
        <v>1289282</v>
      </c>
      <c r="H5" s="2">
        <v>1944889</v>
      </c>
      <c r="I5" s="2"/>
    </row>
    <row r="6" spans="2:12" x14ac:dyDescent="0.25">
      <c r="B6" t="s">
        <v>7</v>
      </c>
      <c r="C6" s="2">
        <v>72832569</v>
      </c>
      <c r="D6" s="2">
        <v>280855994</v>
      </c>
      <c r="E6" s="2">
        <v>798617793</v>
      </c>
      <c r="F6" s="2">
        <v>1521930963</v>
      </c>
      <c r="G6" s="2">
        <v>2450916010</v>
      </c>
      <c r="H6" s="2">
        <v>3883272002</v>
      </c>
      <c r="I6" s="2"/>
      <c r="L6" t="s">
        <v>55</v>
      </c>
    </row>
    <row r="7" spans="2:12" x14ac:dyDescent="0.25">
      <c r="B7" t="s">
        <v>8</v>
      </c>
      <c r="C7" s="3">
        <f>C5/C6</f>
        <v>6.6379643974936542E-4</v>
      </c>
      <c r="D7" s="3">
        <f t="shared" ref="D7:H7" si="0">D5/D6</f>
        <v>9.8516679690304203E-4</v>
      </c>
      <c r="E7" s="3">
        <f t="shared" si="0"/>
        <v>2.9372498591450741E-4</v>
      </c>
      <c r="F7" s="3">
        <f t="shared" si="0"/>
        <v>4.4199311030115364E-4</v>
      </c>
      <c r="G7" s="4">
        <f t="shared" si="0"/>
        <v>5.26040873999595E-4</v>
      </c>
      <c r="H7" s="4">
        <f t="shared" si="0"/>
        <v>5.008376953760449E-4</v>
      </c>
      <c r="I7" s="4"/>
      <c r="J7" s="6">
        <f>AVERAGE(C7:H7)</f>
        <v>5.6859331704061809E-4</v>
      </c>
      <c r="K7" s="3"/>
    </row>
    <row r="8" spans="2:12" ht="15" customHeight="1" x14ac:dyDescent="0.25">
      <c r="B8" t="s">
        <v>71</v>
      </c>
      <c r="C8" s="6">
        <v>2.8E-3</v>
      </c>
      <c r="D8" s="6">
        <v>2E-3</v>
      </c>
      <c r="E8" s="6">
        <v>2.5000000000000001E-3</v>
      </c>
      <c r="F8" s="6">
        <v>2.5000000000000001E-3</v>
      </c>
      <c r="G8" s="6">
        <v>2.5000000000000001E-3</v>
      </c>
      <c r="H8" s="6">
        <v>2.5000000000000001E-3</v>
      </c>
      <c r="I8" s="2"/>
      <c r="J8" s="6">
        <f>AVERAGE(C8:H8)</f>
        <v>2.4666666666666669E-3</v>
      </c>
      <c r="L8" t="s">
        <v>51</v>
      </c>
    </row>
    <row r="9" spans="2:12" ht="15" customHeight="1" x14ac:dyDescent="0.25">
      <c r="C9" s="6"/>
      <c r="D9" s="6"/>
      <c r="E9" s="6"/>
      <c r="F9" s="6"/>
      <c r="G9" s="6"/>
      <c r="H9" s="6"/>
      <c r="I9" s="2"/>
      <c r="J9" s="6"/>
    </row>
    <row r="10" spans="2:12" x14ac:dyDescent="0.25">
      <c r="B10" t="s">
        <v>67</v>
      </c>
      <c r="C10" s="2">
        <f>252128-C5</f>
        <v>203782</v>
      </c>
      <c r="D10" s="2">
        <f>842623-D5</f>
        <v>565933</v>
      </c>
      <c r="E10" s="2">
        <f>2541872-E5</f>
        <v>2307298</v>
      </c>
      <c r="F10" s="2">
        <f>4524697-F5</f>
        <v>3852014</v>
      </c>
      <c r="G10" s="2">
        <f>6441892-G5</f>
        <v>5152610</v>
      </c>
      <c r="H10" s="2">
        <f>9439821-H5</f>
        <v>7494932</v>
      </c>
      <c r="I10" s="2"/>
      <c r="J10" s="6"/>
      <c r="L10" t="s">
        <v>74</v>
      </c>
    </row>
    <row r="11" spans="2:12" x14ac:dyDescent="0.25">
      <c r="B11" t="s">
        <v>72</v>
      </c>
      <c r="C11" s="3">
        <f>C10/C6</f>
        <v>2.7979515592811231E-3</v>
      </c>
      <c r="D11" s="3">
        <f>D10/D6</f>
        <v>2.0150290970824001E-3</v>
      </c>
      <c r="E11" s="3">
        <f t="shared" ref="E11:H11" si="1">E10/E6</f>
        <v>2.8891141923255395E-3</v>
      </c>
      <c r="F11" s="3">
        <f t="shared" si="1"/>
        <v>2.5310044237532212E-3</v>
      </c>
      <c r="G11" s="3">
        <f t="shared" si="1"/>
        <v>2.1023201035762951E-3</v>
      </c>
      <c r="H11" s="3">
        <f t="shared" si="1"/>
        <v>1.9300558900174616E-3</v>
      </c>
      <c r="I11" s="2"/>
      <c r="J11" s="6">
        <f>AVERAGE(C11:H11)</f>
        <v>2.3775792110060068E-3</v>
      </c>
    </row>
    <row r="12" spans="2:12" x14ac:dyDescent="0.25">
      <c r="C12" s="3"/>
      <c r="D12" s="3"/>
      <c r="E12" s="3"/>
      <c r="F12" s="3"/>
      <c r="G12" s="3"/>
      <c r="H12" s="3"/>
      <c r="I12" s="2"/>
      <c r="J12" s="6"/>
      <c r="L12" t="s">
        <v>86</v>
      </c>
    </row>
    <row r="13" spans="2:12" x14ac:dyDescent="0.25">
      <c r="B13" t="s">
        <v>95</v>
      </c>
      <c r="C13" s="3"/>
      <c r="D13" s="3"/>
      <c r="E13" s="3">
        <v>1E-4</v>
      </c>
      <c r="F13" s="3">
        <v>4.0000000000000002E-4</v>
      </c>
      <c r="G13" s="3"/>
      <c r="H13" s="3"/>
      <c r="I13" s="2"/>
      <c r="J13" s="6"/>
      <c r="L13" t="s">
        <v>87</v>
      </c>
    </row>
    <row r="14" spans="2:12" x14ac:dyDescent="0.25">
      <c r="B14" t="s">
        <v>91</v>
      </c>
      <c r="C14" s="24">
        <f>1.53</f>
        <v>1.53</v>
      </c>
      <c r="D14" s="24">
        <f>1.09</f>
        <v>1.0900000000000001</v>
      </c>
      <c r="E14" s="24">
        <f>0.46</f>
        <v>0.46</v>
      </c>
      <c r="F14" s="24">
        <f>0.13</f>
        <v>0.13</v>
      </c>
      <c r="G14" s="24">
        <v>0.56999999999999995</v>
      </c>
      <c r="H14" s="24">
        <v>0.02</v>
      </c>
      <c r="I14" s="2"/>
      <c r="J14" s="37">
        <f>AVERAGE(C14:H14)</f>
        <v>0.6333333333333333</v>
      </c>
      <c r="K14" s="3"/>
      <c r="L14" t="s">
        <v>88</v>
      </c>
    </row>
    <row r="15" spans="2:12" x14ac:dyDescent="0.25">
      <c r="B15" t="s">
        <v>98</v>
      </c>
      <c r="C15" s="24">
        <v>0.1845</v>
      </c>
      <c r="D15" s="24">
        <v>2.6200000000000001E-2</v>
      </c>
      <c r="E15" s="24">
        <v>7.3300000000000004E-2</v>
      </c>
      <c r="F15" s="24">
        <v>0.2301</v>
      </c>
      <c r="G15" s="24">
        <v>1.7081</v>
      </c>
      <c r="H15" s="24">
        <v>0.2447</v>
      </c>
      <c r="I15" s="2"/>
      <c r="J15" s="37">
        <f>AVERAGE(C15:H15)</f>
        <v>0.41114999999999996</v>
      </c>
    </row>
    <row r="16" spans="2:12" x14ac:dyDescent="0.25">
      <c r="C16" s="6"/>
      <c r="D16" s="6"/>
      <c r="E16" s="6"/>
      <c r="F16" s="6"/>
      <c r="G16" s="6"/>
      <c r="H16" s="6"/>
      <c r="I16" s="2"/>
      <c r="J16" s="5"/>
      <c r="L16" t="s">
        <v>97</v>
      </c>
    </row>
    <row r="17" spans="2:10" ht="15" customHeight="1" x14ac:dyDescent="0.25">
      <c r="B17" t="s">
        <v>82</v>
      </c>
      <c r="C17" s="6">
        <f>J7+J11</f>
        <v>2.946172528046625E-3</v>
      </c>
    </row>
    <row r="18" spans="2:10" ht="15" customHeight="1" x14ac:dyDescent="0.25">
      <c r="B18" s="1" t="s">
        <v>113</v>
      </c>
      <c r="C18" s="25">
        <f>H8+H7</f>
        <v>3.0008376953760451E-3</v>
      </c>
    </row>
    <row r="19" spans="2:10" ht="15" customHeight="1" x14ac:dyDescent="0.25">
      <c r="C19" s="6"/>
      <c r="D19" s="4"/>
    </row>
    <row r="20" spans="2:10" ht="15" customHeight="1" x14ac:dyDescent="0.25">
      <c r="B20" t="s">
        <v>114</v>
      </c>
      <c r="C20" s="6">
        <f>('Tracking Difference'!N14/100)-C17</f>
        <v>7.0382747195337761E-4</v>
      </c>
    </row>
    <row r="21" spans="2:10" ht="15" customHeight="1" x14ac:dyDescent="0.25">
      <c r="D21" s="4"/>
    </row>
    <row r="22" spans="2:10" ht="15" customHeight="1" x14ac:dyDescent="0.25">
      <c r="B22" s="1"/>
      <c r="C22" s="25"/>
      <c r="D22" s="38"/>
    </row>
    <row r="23" spans="2:10" ht="15" customHeight="1" x14ac:dyDescent="0.25">
      <c r="B23" s="1"/>
      <c r="C23" s="25"/>
      <c r="D23" s="4"/>
    </row>
    <row r="24" spans="2:10" ht="15" customHeight="1" x14ac:dyDescent="0.25">
      <c r="C24" s="25"/>
      <c r="D24" s="4"/>
    </row>
    <row r="25" spans="2:10" x14ac:dyDescent="0.25">
      <c r="B25" s="1"/>
      <c r="C25" s="25"/>
      <c r="E25" s="4"/>
      <c r="F25" s="4"/>
      <c r="G25" s="4"/>
      <c r="H25" s="4"/>
      <c r="I25" s="4"/>
      <c r="J25" s="5"/>
    </row>
    <row r="29" spans="2:10" x14ac:dyDescent="0.25">
      <c r="C29" s="32"/>
      <c r="D29" s="32"/>
      <c r="E29" s="32"/>
      <c r="F29" s="32"/>
      <c r="G29" s="32"/>
      <c r="H29" s="32"/>
    </row>
    <row r="30" spans="2:10" x14ac:dyDescent="0.25">
      <c r="D30" s="32"/>
      <c r="E30" s="32"/>
      <c r="F30" s="32"/>
      <c r="G30" s="32"/>
      <c r="H30" s="32"/>
    </row>
    <row r="32" spans="2:10" x14ac:dyDescent="0.25">
      <c r="C32" s="32"/>
      <c r="D32" s="32"/>
      <c r="E32" s="32"/>
      <c r="F32" s="32"/>
      <c r="G32" s="32"/>
      <c r="H32" s="32"/>
    </row>
    <row r="33" spans="3:8" x14ac:dyDescent="0.25">
      <c r="C33" s="32"/>
      <c r="D33" s="32"/>
      <c r="E33" s="32"/>
      <c r="F33" s="32"/>
      <c r="G33" s="32"/>
      <c r="H33" s="32"/>
    </row>
    <row r="34" spans="3:8" x14ac:dyDescent="0.25">
      <c r="C34" s="32"/>
      <c r="D34" s="32"/>
      <c r="E34" s="32"/>
      <c r="F34" s="32"/>
      <c r="G34" s="32"/>
      <c r="H34" s="32"/>
    </row>
    <row r="37" spans="3:8" x14ac:dyDescent="0.25">
      <c r="C37" s="24"/>
    </row>
  </sheetData>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B064-D487-424B-955E-970CD2CDF897}">
  <dimension ref="B2:L37"/>
  <sheetViews>
    <sheetView zoomScaleNormal="100" workbookViewId="0">
      <selection activeCell="C25" sqref="C25"/>
    </sheetView>
  </sheetViews>
  <sheetFormatPr defaultRowHeight="15" x14ac:dyDescent="0.25"/>
  <cols>
    <col min="2" max="2" width="36.42578125" customWidth="1"/>
    <col min="3" max="8" width="17.7109375" customWidth="1"/>
    <col min="9" max="9" width="6.140625" customWidth="1"/>
    <col min="10" max="10" width="13.28515625" customWidth="1"/>
    <col min="11" max="11" width="18" customWidth="1"/>
    <col min="12" max="12" width="91.85546875" customWidth="1"/>
  </cols>
  <sheetData>
    <row r="2" spans="2:12" x14ac:dyDescent="0.25">
      <c r="B2" s="10" t="s">
        <v>9</v>
      </c>
      <c r="C2" s="9"/>
      <c r="D2" s="9"/>
      <c r="E2" s="9"/>
      <c r="F2" s="9"/>
      <c r="G2" s="9"/>
      <c r="H2" s="9"/>
      <c r="I2" s="9"/>
      <c r="J2" s="9"/>
      <c r="L2" s="1" t="s">
        <v>25</v>
      </c>
    </row>
    <row r="3" spans="2:12" x14ac:dyDescent="0.25">
      <c r="B3" t="s">
        <v>23</v>
      </c>
    </row>
    <row r="4" spans="2:12" x14ac:dyDescent="0.25">
      <c r="C4" s="1">
        <v>2016</v>
      </c>
      <c r="D4" s="1">
        <v>2017</v>
      </c>
      <c r="E4" s="1">
        <v>2018</v>
      </c>
      <c r="F4" s="1">
        <v>2019</v>
      </c>
      <c r="G4" s="1">
        <v>2020</v>
      </c>
      <c r="H4" s="1">
        <v>2021</v>
      </c>
      <c r="I4" s="1"/>
      <c r="J4" s="1" t="s">
        <v>13</v>
      </c>
    </row>
    <row r="5" spans="2:12" x14ac:dyDescent="0.25">
      <c r="B5" t="s">
        <v>1</v>
      </c>
      <c r="C5" s="2"/>
      <c r="D5" s="2"/>
      <c r="E5" s="2"/>
      <c r="F5" s="2">
        <v>2131</v>
      </c>
      <c r="G5" s="2">
        <v>139778</v>
      </c>
      <c r="H5" s="2">
        <v>203240</v>
      </c>
      <c r="I5" s="2"/>
    </row>
    <row r="6" spans="2:12" x14ac:dyDescent="0.25">
      <c r="B6" t="s">
        <v>7</v>
      </c>
      <c r="C6" s="2"/>
      <c r="D6" s="2"/>
      <c r="E6" s="2"/>
      <c r="F6" s="2">
        <v>134685073</v>
      </c>
      <c r="G6" s="2">
        <v>209928765</v>
      </c>
      <c r="H6" s="2">
        <v>536989210</v>
      </c>
      <c r="I6" s="2"/>
    </row>
    <row r="7" spans="2:12" x14ac:dyDescent="0.25">
      <c r="B7" t="s">
        <v>8</v>
      </c>
      <c r="D7" s="3"/>
      <c r="E7" s="3"/>
      <c r="F7" s="4">
        <f>F5/F6</f>
        <v>1.582209485085255E-5</v>
      </c>
      <c r="G7" s="4">
        <f>G5/G6</f>
        <v>6.6583538468394262E-4</v>
      </c>
      <c r="H7" s="4">
        <f>H5/H6</f>
        <v>3.7848060299014202E-4</v>
      </c>
      <c r="I7" s="4"/>
      <c r="J7" s="6"/>
      <c r="K7" s="3"/>
    </row>
    <row r="8" spans="2:12" ht="15" customHeight="1" x14ac:dyDescent="0.25">
      <c r="B8" t="s">
        <v>16</v>
      </c>
      <c r="D8" s="3"/>
      <c r="E8" s="3"/>
      <c r="F8" s="3">
        <f>'Northern Trust Master fondsen'!G22</f>
        <v>8.9319673455790307E-4</v>
      </c>
      <c r="G8" s="3">
        <f>'Northern Trust Master fondsen'!H22</f>
        <v>3.2934847239067549E-4</v>
      </c>
      <c r="H8" s="3">
        <f>'Northern Trust Master fondsen'!I22</f>
        <v>1.5612069852104837E-4</v>
      </c>
      <c r="I8" s="4"/>
      <c r="J8" s="6"/>
    </row>
    <row r="9" spans="2:12" ht="15" customHeight="1" x14ac:dyDescent="0.25">
      <c r="B9" t="s">
        <v>26</v>
      </c>
      <c r="D9" s="3"/>
      <c r="E9" s="3"/>
      <c r="F9" s="3">
        <f>SUM(F7:F8)</f>
        <v>9.0901882940875559E-4</v>
      </c>
      <c r="G9" s="4">
        <f>SUM(G7:G8)</f>
        <v>9.9518385707461805E-4</v>
      </c>
      <c r="H9" s="4">
        <f>SUM(H7:H8)</f>
        <v>5.3460130151119036E-4</v>
      </c>
      <c r="I9" s="4"/>
      <c r="J9" s="6">
        <f>AVERAGE(G9:H9)</f>
        <v>7.6489257929290421E-4</v>
      </c>
    </row>
    <row r="10" spans="2:12" x14ac:dyDescent="0.25">
      <c r="B10" t="s">
        <v>71</v>
      </c>
      <c r="D10" s="2"/>
      <c r="E10" s="2"/>
      <c r="F10" s="6">
        <v>2.3E-3</v>
      </c>
      <c r="G10" s="6">
        <v>2.3E-3</v>
      </c>
      <c r="H10" s="6">
        <v>2.2000000000000001E-3</v>
      </c>
      <c r="J10" s="6">
        <f>AVERAGE(G10:H10)</f>
        <v>2.2500000000000003E-3</v>
      </c>
    </row>
    <row r="11" spans="2:12" x14ac:dyDescent="0.25">
      <c r="D11" s="2"/>
      <c r="E11" s="2"/>
      <c r="F11" s="6"/>
      <c r="G11" s="6"/>
      <c r="H11" s="6"/>
      <c r="J11" s="6"/>
    </row>
    <row r="12" spans="2:12" x14ac:dyDescent="0.25">
      <c r="B12" t="s">
        <v>67</v>
      </c>
      <c r="D12" s="2"/>
      <c r="E12" s="2"/>
      <c r="F12" s="2">
        <f>108396-F5</f>
        <v>106265</v>
      </c>
      <c r="G12" s="2">
        <f>404158-G5</f>
        <v>264380</v>
      </c>
      <c r="H12" s="2">
        <f>1012274-H5</f>
        <v>809034</v>
      </c>
      <c r="J12" s="6"/>
    </row>
    <row r="13" spans="2:12" x14ac:dyDescent="0.25">
      <c r="B13" t="s">
        <v>72</v>
      </c>
      <c r="D13" s="2"/>
      <c r="E13" s="2"/>
      <c r="F13" s="3">
        <f>F12/F6</f>
        <v>7.889886951317909E-4</v>
      </c>
      <c r="G13" s="3">
        <f>G12/G6</f>
        <v>1.2593795804972225E-3</v>
      </c>
      <c r="H13" s="3">
        <f>H12/H6</f>
        <v>1.5066112780925337E-3</v>
      </c>
      <c r="J13" s="6">
        <f>AVERAGE(G13:H13)</f>
        <v>1.382995429294878E-3</v>
      </c>
    </row>
    <row r="15" spans="2:12" x14ac:dyDescent="0.25">
      <c r="B15" t="s">
        <v>91</v>
      </c>
      <c r="F15" s="37">
        <f>0.01</f>
        <v>0.01</v>
      </c>
      <c r="G15" s="37">
        <v>0.17</v>
      </c>
      <c r="H15" s="37">
        <v>0.1</v>
      </c>
    </row>
    <row r="16" spans="2:12" x14ac:dyDescent="0.25">
      <c r="F16" s="37"/>
      <c r="G16" s="37"/>
      <c r="H16" s="37"/>
    </row>
    <row r="17" spans="2:8" x14ac:dyDescent="0.25">
      <c r="B17" s="1" t="s">
        <v>111</v>
      </c>
      <c r="F17" s="6">
        <v>6.9999999999999999E-4</v>
      </c>
      <c r="G17" s="6">
        <v>4.0000000000000002E-4</v>
      </c>
      <c r="H17" s="6">
        <v>2.9999999999999997E-4</v>
      </c>
    </row>
    <row r="19" spans="2:8" x14ac:dyDescent="0.25">
      <c r="B19" t="s">
        <v>82</v>
      </c>
      <c r="C19" s="6">
        <f>J9+J10</f>
        <v>3.0148925792929044E-3</v>
      </c>
    </row>
    <row r="21" spans="2:8" x14ac:dyDescent="0.25">
      <c r="C21" s="3" t="s">
        <v>107</v>
      </c>
      <c r="D21" s="4" t="s">
        <v>108</v>
      </c>
    </row>
    <row r="22" spans="2:8" x14ac:dyDescent="0.25">
      <c r="B22" s="1" t="s">
        <v>113</v>
      </c>
      <c r="C22" s="6">
        <f>H9+H10</f>
        <v>2.7346013015111907E-3</v>
      </c>
      <c r="D22" s="3">
        <f>C22+H17</f>
        <v>3.0346013015111906E-3</v>
      </c>
    </row>
    <row r="24" spans="2:8" x14ac:dyDescent="0.25">
      <c r="B24" t="s">
        <v>114</v>
      </c>
      <c r="C24" s="6">
        <f>('Tracking Difference'!N30/100)-C19</f>
        <v>-1.3648925792929085E-3</v>
      </c>
    </row>
    <row r="36" spans="2:2" x14ac:dyDescent="0.25">
      <c r="B36" s="12"/>
    </row>
    <row r="37" spans="2:2" x14ac:dyDescent="0.25">
      <c r="B37" s="36"/>
    </row>
  </sheetData>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13B5-3E66-4D6C-8B83-264808508A91}">
  <dimension ref="B2:J32"/>
  <sheetViews>
    <sheetView zoomScaleNormal="100" workbookViewId="0"/>
  </sheetViews>
  <sheetFormatPr defaultRowHeight="15" x14ac:dyDescent="0.25"/>
  <cols>
    <col min="2" max="2" width="35.8554687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58</v>
      </c>
      <c r="C2" s="9"/>
      <c r="D2" s="9"/>
      <c r="E2" s="9"/>
      <c r="F2" s="9"/>
      <c r="G2" s="9"/>
      <c r="H2" s="9"/>
      <c r="J2" s="1" t="s">
        <v>25</v>
      </c>
    </row>
    <row r="3" spans="2:10" x14ac:dyDescent="0.25">
      <c r="B3" t="s">
        <v>66</v>
      </c>
      <c r="J3" t="s">
        <v>55</v>
      </c>
    </row>
    <row r="4" spans="2:10" x14ac:dyDescent="0.25">
      <c r="C4" s="1">
        <v>2016</v>
      </c>
      <c r="D4" s="1">
        <v>2017</v>
      </c>
      <c r="E4" s="1">
        <v>2018</v>
      </c>
      <c r="F4" s="1">
        <v>2019</v>
      </c>
      <c r="G4" s="1"/>
      <c r="H4" s="1" t="s">
        <v>13</v>
      </c>
    </row>
    <row r="5" spans="2:10" x14ac:dyDescent="0.25">
      <c r="B5" t="s">
        <v>1</v>
      </c>
      <c r="C5" s="11">
        <v>244</v>
      </c>
      <c r="D5" s="11">
        <v>200</v>
      </c>
      <c r="E5" s="11">
        <v>0</v>
      </c>
      <c r="F5" s="11">
        <v>151</v>
      </c>
      <c r="G5" s="2"/>
      <c r="J5" t="s">
        <v>84</v>
      </c>
    </row>
    <row r="6" spans="2:10" x14ac:dyDescent="0.25">
      <c r="B6" t="s">
        <v>7</v>
      </c>
      <c r="C6" s="11">
        <v>35377446</v>
      </c>
      <c r="D6" s="11">
        <v>337614438</v>
      </c>
      <c r="E6" s="11">
        <v>620074712</v>
      </c>
      <c r="F6" s="11">
        <v>1000756145</v>
      </c>
      <c r="G6" s="2"/>
    </row>
    <row r="7" spans="2:10" x14ac:dyDescent="0.25">
      <c r="B7" t="s">
        <v>15</v>
      </c>
      <c r="C7" s="4">
        <f>C5/C6</f>
        <v>6.8970496061247611E-6</v>
      </c>
      <c r="D7" s="4">
        <f t="shared" ref="D7:F7" si="0">D5/D6</f>
        <v>5.9239172703864047E-7</v>
      </c>
      <c r="E7" s="4">
        <f t="shared" si="0"/>
        <v>0</v>
      </c>
      <c r="F7" s="4">
        <f t="shared" si="0"/>
        <v>1.5088590837481192E-7</v>
      </c>
      <c r="G7" s="4"/>
      <c r="H7" s="5"/>
      <c r="I7" s="3"/>
    </row>
    <row r="8" spans="2:10" ht="15" customHeight="1" x14ac:dyDescent="0.25">
      <c r="B8" t="s">
        <v>16</v>
      </c>
      <c r="C8" s="4">
        <f>'Northern Trust Master fondsen'!D54</f>
        <v>1.4240200701548999E-4</v>
      </c>
      <c r="D8" s="4">
        <f>'Northern Trust Master fondsen'!E54</f>
        <v>1.8879294676940906E-4</v>
      </c>
      <c r="E8" s="4">
        <f>'Northern Trust Master fondsen'!F54</f>
        <v>5.4497376783190948E-5</v>
      </c>
      <c r="F8" s="4">
        <f>'Northern Trust Master fondsen'!G54</f>
        <v>4.2326604352244424E-5</v>
      </c>
      <c r="G8" s="4"/>
      <c r="H8" s="5"/>
    </row>
    <row r="9" spans="2:10" ht="15" customHeight="1" x14ac:dyDescent="0.25">
      <c r="B9" t="s">
        <v>26</v>
      </c>
      <c r="C9" s="4">
        <f>SUM(C7:C8)</f>
        <v>1.4929905662161474E-4</v>
      </c>
      <c r="D9" s="4">
        <f t="shared" ref="D9:F9" si="1">SUM(D7:D8)</f>
        <v>1.893853384964477E-4</v>
      </c>
      <c r="E9" s="4">
        <f t="shared" si="1"/>
        <v>5.4497376783190948E-5</v>
      </c>
      <c r="F9" s="4">
        <f t="shared" si="1"/>
        <v>4.2477490260619238E-5</v>
      </c>
      <c r="G9" s="4"/>
      <c r="H9" s="6">
        <f>AVERAGE(C9:G9)</f>
        <v>1.0891481554046815E-4</v>
      </c>
    </row>
    <row r="10" spans="2:10" x14ac:dyDescent="0.25">
      <c r="B10" t="s">
        <v>71</v>
      </c>
      <c r="C10" s="3">
        <v>1.4E-3</v>
      </c>
      <c r="D10" s="3">
        <v>2.9999999999999997E-4</v>
      </c>
      <c r="E10" s="3">
        <v>1.1999999999999999E-3</v>
      </c>
      <c r="F10" s="3">
        <v>1.4E-3</v>
      </c>
      <c r="G10" s="4"/>
      <c r="H10" s="6">
        <f t="shared" ref="H10" si="2">AVERAGE(C10:F10)</f>
        <v>1.075E-3</v>
      </c>
    </row>
    <row r="11" spans="2:10" x14ac:dyDescent="0.25">
      <c r="C11" s="3"/>
      <c r="D11" s="3"/>
      <c r="E11" s="3"/>
      <c r="F11" s="3"/>
      <c r="G11" s="4"/>
      <c r="H11" s="6"/>
    </row>
    <row r="12" spans="2:10" x14ac:dyDescent="0.25">
      <c r="B12" t="s">
        <v>67</v>
      </c>
      <c r="C12" s="15">
        <f>49806-C5</f>
        <v>49562</v>
      </c>
      <c r="D12" s="15">
        <f>101119-D5</f>
        <v>100919</v>
      </c>
      <c r="E12" s="15">
        <f>724855-E5</f>
        <v>724855</v>
      </c>
      <c r="F12" s="15">
        <f>1049269-F5</f>
        <v>1049118</v>
      </c>
      <c r="G12" s="4"/>
      <c r="H12" s="6"/>
      <c r="J12" s="1"/>
    </row>
    <row r="13" spans="2:10" x14ac:dyDescent="0.25">
      <c r="B13" t="s">
        <v>72</v>
      </c>
      <c r="C13" s="3">
        <f>C12/C6</f>
        <v>1.4009490679457188E-3</v>
      </c>
      <c r="D13" s="3">
        <f t="shared" ref="D13:F13" si="3">D12/D6</f>
        <v>2.9891790350506276E-4</v>
      </c>
      <c r="E13" s="3">
        <f t="shared" si="3"/>
        <v>1.1689801018687567E-3</v>
      </c>
      <c r="F13" s="3">
        <f t="shared" si="3"/>
        <v>1.0483253140554036E-3</v>
      </c>
      <c r="G13" s="4"/>
      <c r="H13" s="6">
        <f>AVERAGE(C13:F13)</f>
        <v>9.7929309684373551E-4</v>
      </c>
    </row>
    <row r="14" spans="2:10" ht="15" customHeight="1" x14ac:dyDescent="0.25">
      <c r="C14" s="3"/>
      <c r="E14" s="3"/>
      <c r="F14" s="3"/>
      <c r="G14" s="4"/>
      <c r="H14" s="6"/>
    </row>
    <row r="15" spans="2:10" ht="15" customHeight="1" x14ac:dyDescent="0.25">
      <c r="B15" t="s">
        <v>91</v>
      </c>
      <c r="C15" s="24">
        <f>0.03</f>
        <v>0.03</v>
      </c>
      <c r="D15" s="24">
        <f>0.13</f>
        <v>0.13</v>
      </c>
      <c r="E15" s="24">
        <f>0.09</f>
        <v>0.09</v>
      </c>
      <c r="F15" s="24">
        <f>0.18</f>
        <v>0.18</v>
      </c>
      <c r="G15" s="4"/>
      <c r="H15" s="6"/>
    </row>
    <row r="16" spans="2:10" ht="15" customHeight="1" x14ac:dyDescent="0.25">
      <c r="D16" s="4"/>
      <c r="E16" s="4"/>
      <c r="F16" s="4"/>
      <c r="G16" s="4"/>
      <c r="H16" s="5"/>
    </row>
    <row r="17" spans="2:9" x14ac:dyDescent="0.25">
      <c r="B17" t="s">
        <v>82</v>
      </c>
      <c r="C17" s="6">
        <f>H9+H13</f>
        <v>1.0882079123842037E-3</v>
      </c>
      <c r="D17" s="4" t="s">
        <v>52</v>
      </c>
      <c r="E17" s="4"/>
      <c r="F17" s="4"/>
      <c r="G17" s="4"/>
      <c r="H17" s="5"/>
    </row>
    <row r="18" spans="2:9" x14ac:dyDescent="0.25">
      <c r="B18" t="s">
        <v>83</v>
      </c>
      <c r="C18" s="3">
        <f>'Tracking Difference'!N22/100</f>
        <v>3.274999999999998E-3</v>
      </c>
      <c r="D18" s="4" t="s">
        <v>52</v>
      </c>
      <c r="E18" s="4"/>
      <c r="F18" s="4"/>
      <c r="G18" s="4"/>
      <c r="H18" s="5"/>
    </row>
    <row r="19" spans="2:9" x14ac:dyDescent="0.25">
      <c r="B19" t="s">
        <v>48</v>
      </c>
      <c r="C19" s="3">
        <f>C18-C17</f>
        <v>2.1867920876157943E-3</v>
      </c>
      <c r="D19" s="4" t="s">
        <v>52</v>
      </c>
      <c r="E19" s="4"/>
      <c r="F19" s="4"/>
      <c r="G19" s="4"/>
      <c r="H19" s="5"/>
    </row>
    <row r="20" spans="2:9" x14ac:dyDescent="0.25">
      <c r="C20" s="3"/>
      <c r="D20" s="4"/>
      <c r="E20" s="4"/>
      <c r="F20" s="4"/>
      <c r="G20" s="4"/>
      <c r="H20" s="5"/>
    </row>
    <row r="21" spans="2:9" x14ac:dyDescent="0.25">
      <c r="B21" s="1" t="s">
        <v>20</v>
      </c>
      <c r="C21" s="25">
        <f>0.15%+AVERAGE(E9:F9)</f>
        <v>1.5484874335219051E-3</v>
      </c>
      <c r="D21" s="4"/>
      <c r="E21" s="4"/>
      <c r="F21" s="4"/>
      <c r="G21" s="4"/>
      <c r="H21" s="5"/>
      <c r="I21" s="5"/>
    </row>
    <row r="22" spans="2:9" x14ac:dyDescent="0.25">
      <c r="B22" s="1"/>
      <c r="C22" s="25"/>
      <c r="D22" s="4"/>
      <c r="E22" s="4"/>
      <c r="F22" s="4"/>
      <c r="G22" s="4"/>
      <c r="H22" s="5"/>
      <c r="I22" s="5"/>
    </row>
    <row r="23" spans="2:9" x14ac:dyDescent="0.25">
      <c r="B23" t="s">
        <v>89</v>
      </c>
      <c r="C23" s="25">
        <f>C21-C17</f>
        <v>4.6027952113770142E-4</v>
      </c>
      <c r="D23" s="4"/>
      <c r="E23" s="4"/>
      <c r="F23" s="4"/>
      <c r="G23" s="4"/>
      <c r="H23" s="5"/>
      <c r="I23" s="5"/>
    </row>
    <row r="24" spans="2:9" x14ac:dyDescent="0.25">
      <c r="B24" s="1" t="s">
        <v>49</v>
      </c>
      <c r="C24" s="25">
        <f>C23+C18</f>
        <v>3.7352795211376992E-3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2" spans="2:9" x14ac:dyDescent="0.25">
      <c r="E32" s="3"/>
      <c r="F32" s="3"/>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897E0-E1C1-4730-BED2-A508F1C09841}">
  <dimension ref="B2:J40"/>
  <sheetViews>
    <sheetView zoomScaleNormal="100" workbookViewId="0"/>
  </sheetViews>
  <sheetFormatPr defaultRowHeight="15" x14ac:dyDescent="0.25"/>
  <cols>
    <col min="2" max="2" width="35.42578125" customWidth="1"/>
    <col min="3" max="6" width="17.7109375" customWidth="1"/>
    <col min="7" max="7" width="6.140625" customWidth="1"/>
    <col min="8" max="8" width="13.28515625" customWidth="1"/>
    <col min="9" max="9" width="18" customWidth="1"/>
    <col min="10" max="10" width="91.85546875" customWidth="1"/>
  </cols>
  <sheetData>
    <row r="2" spans="2:10" x14ac:dyDescent="0.25">
      <c r="B2" s="10" t="s">
        <v>65</v>
      </c>
      <c r="C2" s="9"/>
      <c r="D2" s="9"/>
      <c r="E2" s="9"/>
      <c r="F2" s="9"/>
      <c r="G2" s="9"/>
      <c r="H2" s="9"/>
      <c r="J2" s="1" t="s">
        <v>25</v>
      </c>
    </row>
    <row r="3" spans="2:10" x14ac:dyDescent="0.25">
      <c r="B3" t="s">
        <v>68</v>
      </c>
      <c r="J3" t="s">
        <v>55</v>
      </c>
    </row>
    <row r="4" spans="2:10" x14ac:dyDescent="0.25">
      <c r="C4" s="1">
        <v>2016</v>
      </c>
      <c r="D4" s="1">
        <v>2017</v>
      </c>
      <c r="E4" s="1">
        <v>2018</v>
      </c>
      <c r="F4" s="1">
        <v>2019</v>
      </c>
      <c r="G4" s="1"/>
      <c r="H4" s="1" t="s">
        <v>13</v>
      </c>
    </row>
    <row r="5" spans="2:10" x14ac:dyDescent="0.25">
      <c r="B5" t="s">
        <v>1</v>
      </c>
      <c r="C5" s="11">
        <v>739</v>
      </c>
      <c r="D5" s="11">
        <v>0</v>
      </c>
      <c r="E5" s="11">
        <v>1729</v>
      </c>
      <c r="F5" s="11">
        <v>331</v>
      </c>
      <c r="G5" s="2"/>
      <c r="J5" t="s">
        <v>75</v>
      </c>
    </row>
    <row r="6" spans="2:10" x14ac:dyDescent="0.25">
      <c r="B6" t="s">
        <v>7</v>
      </c>
      <c r="C6" s="11">
        <v>116633513</v>
      </c>
      <c r="D6" s="11">
        <v>256166911</v>
      </c>
      <c r="E6" s="11">
        <v>421319041</v>
      </c>
      <c r="F6" s="11">
        <v>609141396</v>
      </c>
      <c r="G6" s="2"/>
    </row>
    <row r="7" spans="2:10" x14ac:dyDescent="0.25">
      <c r="B7" t="s">
        <v>15</v>
      </c>
      <c r="C7" s="4">
        <f>C5/C6</f>
        <v>6.3360862670748841E-6</v>
      </c>
      <c r="D7" s="4">
        <f t="shared" ref="D7:F7" si="0">D5/D6</f>
        <v>0</v>
      </c>
      <c r="E7" s="4">
        <f t="shared" si="0"/>
        <v>4.1037784475541898E-6</v>
      </c>
      <c r="F7" s="4">
        <f t="shared" si="0"/>
        <v>5.4338779497428868E-7</v>
      </c>
      <c r="G7" s="4"/>
      <c r="H7" s="5"/>
      <c r="I7" s="3"/>
      <c r="J7" t="s">
        <v>85</v>
      </c>
    </row>
    <row r="8" spans="2:10" ht="15" customHeight="1" x14ac:dyDescent="0.25">
      <c r="B8" t="s">
        <v>16</v>
      </c>
      <c r="C8" s="3">
        <f>'Northern Trust Master fondsen'!D41</f>
        <v>4.0880326741039955E-4</v>
      </c>
      <c r="D8" s="3">
        <f>'Northern Trust Master fondsen'!E41</f>
        <v>3.2333263888189987E-4</v>
      </c>
      <c r="E8" s="3">
        <f>'Northern Trust Master fondsen'!F41</f>
        <v>1.4029800153593462E-4</v>
      </c>
      <c r="F8" s="3">
        <f>'Northern Trust Master fondsen'!G41</f>
        <v>1.0903789686451616E-4</v>
      </c>
      <c r="G8" s="4"/>
      <c r="H8" s="5"/>
    </row>
    <row r="9" spans="2:10" ht="15" customHeight="1" x14ac:dyDescent="0.25">
      <c r="B9" t="s">
        <v>26</v>
      </c>
      <c r="C9" s="3">
        <f>SUM(C7:C8)</f>
        <v>4.1513935367747443E-4</v>
      </c>
      <c r="D9" s="3">
        <f t="shared" ref="D9:F9" si="1">SUM(D7:D8)</f>
        <v>3.2333263888189987E-4</v>
      </c>
      <c r="E9" s="3">
        <f t="shared" si="1"/>
        <v>1.444017799834888E-4</v>
      </c>
      <c r="F9" s="3">
        <f t="shared" si="1"/>
        <v>1.0958128465949044E-4</v>
      </c>
      <c r="G9" s="4"/>
      <c r="H9" s="6">
        <f>AVERAGE(C9:G9)</f>
        <v>2.4811376430058837E-4</v>
      </c>
    </row>
    <row r="10" spans="2:10" x14ac:dyDescent="0.25">
      <c r="B10" t="s">
        <v>71</v>
      </c>
      <c r="C10" s="3">
        <v>6.9999999999999999E-4</v>
      </c>
      <c r="D10" s="3">
        <v>4.0000000000000002E-4</v>
      </c>
      <c r="E10" s="3">
        <v>1.1000000000000001E-3</v>
      </c>
      <c r="F10" s="3">
        <v>1.5E-3</v>
      </c>
      <c r="G10" s="4"/>
      <c r="H10" s="6">
        <f t="shared" ref="H10" si="2">AVERAGE(C10:F10)</f>
        <v>9.2500000000000004E-4</v>
      </c>
    </row>
    <row r="11" spans="2:10" x14ac:dyDescent="0.25">
      <c r="C11" s="3"/>
      <c r="D11" s="3"/>
      <c r="E11" s="3"/>
      <c r="F11" s="3"/>
      <c r="G11" s="4"/>
      <c r="H11" s="6"/>
    </row>
    <row r="12" spans="2:10" x14ac:dyDescent="0.25">
      <c r="B12" t="s">
        <v>67</v>
      </c>
      <c r="C12" s="15">
        <f>73959-C5</f>
        <v>73220</v>
      </c>
      <c r="D12" s="15">
        <f>102247-D5</f>
        <v>102247</v>
      </c>
      <c r="E12" s="15">
        <f>593572-E5</f>
        <v>591843</v>
      </c>
      <c r="F12" s="15">
        <f>737120-F5</f>
        <v>736789</v>
      </c>
      <c r="G12" s="4"/>
      <c r="H12" s="6"/>
      <c r="J12" s="1"/>
    </row>
    <row r="13" spans="2:10" x14ac:dyDescent="0.25">
      <c r="B13" t="s">
        <v>72</v>
      </c>
      <c r="C13" s="3">
        <f>C12/C6</f>
        <v>6.2777839847797431E-4</v>
      </c>
      <c r="D13" s="3">
        <f t="shared" ref="D13:F13" si="3">D12/D6</f>
        <v>3.9914210465691254E-4</v>
      </c>
      <c r="E13" s="3">
        <f t="shared" si="3"/>
        <v>1.4047383156366769E-3</v>
      </c>
      <c r="F13" s="3">
        <f t="shared" si="3"/>
        <v>1.2095533234782816E-3</v>
      </c>
      <c r="G13" s="4"/>
      <c r="H13" s="6">
        <f>AVERAGE(C13:F13)</f>
        <v>9.1030303556246129E-4</v>
      </c>
    </row>
    <row r="14" spans="2:10" ht="15" customHeight="1" x14ac:dyDescent="0.25">
      <c r="C14" s="3"/>
      <c r="D14" s="3"/>
      <c r="E14" s="3"/>
      <c r="F14" s="3"/>
      <c r="G14" s="4"/>
      <c r="H14" s="6"/>
    </row>
    <row r="15" spans="2:10" ht="15" customHeight="1" x14ac:dyDescent="0.25">
      <c r="B15" t="s">
        <v>91</v>
      </c>
      <c r="C15" s="24">
        <f>0.03</f>
        <v>0.03</v>
      </c>
      <c r="D15" s="24">
        <f>0.02</f>
        <v>0.02</v>
      </c>
      <c r="E15" s="24">
        <f>0.04</f>
        <v>0.04</v>
      </c>
      <c r="F15" s="24">
        <f>0.09</f>
        <v>0.09</v>
      </c>
      <c r="G15" s="4"/>
      <c r="H15" s="6"/>
    </row>
    <row r="16" spans="2:10" ht="15" customHeight="1" x14ac:dyDescent="0.25">
      <c r="D16" s="4"/>
      <c r="E16" s="4"/>
      <c r="F16" s="4"/>
      <c r="G16" s="4"/>
      <c r="H16" s="5"/>
    </row>
    <row r="17" spans="2:9" x14ac:dyDescent="0.25">
      <c r="B17" t="s">
        <v>82</v>
      </c>
      <c r="C17" s="6">
        <f>H9+H13</f>
        <v>1.1584167998630497E-3</v>
      </c>
      <c r="D17" s="4" t="s">
        <v>52</v>
      </c>
      <c r="E17" s="4"/>
      <c r="F17" s="4"/>
      <c r="G17" s="4"/>
      <c r="H17" s="5"/>
    </row>
    <row r="18" spans="2:9" x14ac:dyDescent="0.25">
      <c r="B18" t="s">
        <v>83</v>
      </c>
      <c r="C18" s="3">
        <f>'Tracking Difference'!N30/100</f>
        <v>1.6499999999999959E-3</v>
      </c>
      <c r="D18" s="4" t="s">
        <v>52</v>
      </c>
      <c r="E18" s="4"/>
      <c r="F18" s="4"/>
      <c r="G18" s="4"/>
      <c r="H18" s="5"/>
    </row>
    <row r="19" spans="2:9" x14ac:dyDescent="0.25">
      <c r="B19" t="s">
        <v>48</v>
      </c>
      <c r="C19" s="3">
        <f>C18-C17</f>
        <v>4.9158320013694616E-4</v>
      </c>
      <c r="D19" s="4" t="s">
        <v>52</v>
      </c>
      <c r="E19" s="4"/>
      <c r="F19" s="4"/>
      <c r="G19" s="4"/>
      <c r="H19" s="5"/>
    </row>
    <row r="20" spans="2:9" x14ac:dyDescent="0.25">
      <c r="C20" s="3"/>
      <c r="D20" s="4"/>
      <c r="E20" s="4"/>
      <c r="F20" s="4"/>
      <c r="G20" s="4"/>
      <c r="H20" s="5"/>
    </row>
    <row r="21" spans="2:9" x14ac:dyDescent="0.25">
      <c r="B21" s="1" t="s">
        <v>20</v>
      </c>
      <c r="C21" s="25">
        <f>0.15%+AVERAGE(E9:F9)</f>
        <v>1.6269915323214896E-3</v>
      </c>
      <c r="D21" s="4"/>
      <c r="E21" s="4"/>
      <c r="F21" s="4"/>
      <c r="G21" s="4"/>
      <c r="H21" s="5"/>
      <c r="I21" s="5"/>
    </row>
    <row r="22" spans="2:9" x14ac:dyDescent="0.25">
      <c r="B22" s="1"/>
      <c r="C22" s="25"/>
      <c r="D22" s="4"/>
      <c r="E22" s="4"/>
      <c r="F22" s="4"/>
      <c r="G22" s="4"/>
      <c r="H22" s="5"/>
      <c r="I22" s="5"/>
    </row>
    <row r="23" spans="2:9" x14ac:dyDescent="0.25">
      <c r="B23" t="s">
        <v>89</v>
      </c>
      <c r="C23" s="25">
        <f>C21-C17</f>
        <v>4.6857473245843985E-4</v>
      </c>
      <c r="D23" s="4"/>
      <c r="E23" s="4"/>
      <c r="F23" s="4"/>
      <c r="G23" s="4"/>
      <c r="H23" s="5"/>
      <c r="I23" s="5"/>
    </row>
    <row r="24" spans="2:9" x14ac:dyDescent="0.25">
      <c r="B24" s="1" t="s">
        <v>49</v>
      </c>
      <c r="C24" s="25">
        <f>C23+C18</f>
        <v>2.1185747324584357E-3</v>
      </c>
    </row>
    <row r="27" spans="2:9" x14ac:dyDescent="0.25">
      <c r="C27" s="32"/>
      <c r="D27" s="32"/>
      <c r="E27" s="32"/>
      <c r="F27" s="32"/>
    </row>
    <row r="28" spans="2:9" x14ac:dyDescent="0.25">
      <c r="C28" s="32"/>
      <c r="D28" s="32"/>
      <c r="E28" s="32"/>
      <c r="F28" s="32"/>
    </row>
    <row r="29" spans="2:9" x14ac:dyDescent="0.25">
      <c r="C29" s="32"/>
      <c r="D29" s="32"/>
      <c r="E29" s="32"/>
      <c r="F29" s="32"/>
    </row>
    <row r="30" spans="2:9" x14ac:dyDescent="0.25">
      <c r="C30" s="32"/>
      <c r="D30" s="32"/>
      <c r="E30" s="32"/>
      <c r="F30" s="32"/>
    </row>
    <row r="31" spans="2:9" x14ac:dyDescent="0.25">
      <c r="C31" s="23"/>
      <c r="D31" s="23"/>
      <c r="E31" s="23"/>
      <c r="F31" s="23"/>
    </row>
    <row r="32" spans="2:9" x14ac:dyDescent="0.25">
      <c r="C32" s="34"/>
      <c r="D32" s="34"/>
      <c r="E32" s="34"/>
      <c r="F32" s="34"/>
      <c r="G32" s="34"/>
    </row>
    <row r="33" spans="3:6" x14ac:dyDescent="0.25">
      <c r="C33" s="3"/>
      <c r="D33" s="32"/>
      <c r="E33" s="32"/>
      <c r="F33" s="32"/>
    </row>
    <row r="34" spans="3:6" x14ac:dyDescent="0.25">
      <c r="C34" s="32"/>
      <c r="D34" s="32"/>
      <c r="E34" s="32"/>
      <c r="F34" s="32"/>
    </row>
    <row r="35" spans="3:6" x14ac:dyDescent="0.25">
      <c r="C35" s="32"/>
      <c r="D35" s="32"/>
      <c r="E35" s="32"/>
      <c r="F35" s="32"/>
    </row>
    <row r="36" spans="3:6" x14ac:dyDescent="0.25">
      <c r="C36" s="32"/>
      <c r="D36" s="32"/>
      <c r="E36" s="32"/>
      <c r="F36" s="32"/>
    </row>
    <row r="38" spans="3:6" x14ac:dyDescent="0.25">
      <c r="C38" s="35"/>
      <c r="D38" s="35"/>
      <c r="E38" s="35"/>
      <c r="F38" s="35"/>
    </row>
    <row r="40" spans="3:6" x14ac:dyDescent="0.25">
      <c r="C40" s="35"/>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5834D-4F6D-4A3C-9D7B-51919C891EFD}">
  <dimension ref="B2:N64"/>
  <sheetViews>
    <sheetView workbookViewId="0">
      <selection activeCell="H22" sqref="H22:I22"/>
    </sheetView>
  </sheetViews>
  <sheetFormatPr defaultRowHeight="15" x14ac:dyDescent="0.25"/>
  <cols>
    <col min="2" max="2" width="28.140625" customWidth="1"/>
    <col min="3" max="3" width="24.85546875" customWidth="1"/>
    <col min="4" max="9" width="17.7109375" customWidth="1"/>
    <col min="11" max="11" width="10.140625" bestFit="1" customWidth="1"/>
  </cols>
  <sheetData>
    <row r="2" spans="2:11" x14ac:dyDescent="0.25">
      <c r="B2" s="10" t="s">
        <v>10</v>
      </c>
      <c r="C2" s="10"/>
      <c r="D2" s="9"/>
      <c r="E2" s="9"/>
      <c r="F2" s="9"/>
      <c r="G2" s="9"/>
      <c r="H2" s="9"/>
      <c r="I2" s="9"/>
      <c r="K2" s="8" t="s">
        <v>18</v>
      </c>
    </row>
    <row r="3" spans="2:11" x14ac:dyDescent="0.25">
      <c r="C3" s="1">
        <v>2015</v>
      </c>
      <c r="D3" s="1">
        <v>2016</v>
      </c>
      <c r="E3" s="1">
        <v>2017</v>
      </c>
      <c r="F3" s="1">
        <v>2018</v>
      </c>
      <c r="G3" s="1">
        <v>2019</v>
      </c>
      <c r="H3" s="1">
        <v>2020</v>
      </c>
      <c r="I3" s="1">
        <v>2021</v>
      </c>
    </row>
    <row r="4" spans="2:11" x14ac:dyDescent="0.25">
      <c r="B4" s="1" t="s">
        <v>1</v>
      </c>
      <c r="C4" s="1"/>
      <c r="D4" s="11">
        <v>200474</v>
      </c>
      <c r="E4" s="11">
        <v>116789</v>
      </c>
      <c r="F4" s="11">
        <v>159626</v>
      </c>
      <c r="G4" s="11">
        <v>261252</v>
      </c>
      <c r="H4" s="11">
        <v>477059</v>
      </c>
      <c r="I4" s="11">
        <v>168260</v>
      </c>
      <c r="K4" s="1" t="s">
        <v>24</v>
      </c>
    </row>
    <row r="5" spans="2:11" x14ac:dyDescent="0.25">
      <c r="B5" s="1" t="s">
        <v>12</v>
      </c>
      <c r="C5" s="11">
        <v>957946194</v>
      </c>
      <c r="D5" s="11">
        <v>2005749714</v>
      </c>
      <c r="E5" s="11">
        <v>3210042287</v>
      </c>
      <c r="F5" s="11">
        <v>4337266633</v>
      </c>
      <c r="G5" s="11">
        <f>6989496789</f>
        <v>6989496789</v>
      </c>
      <c r="H5" s="11">
        <v>8369579285</v>
      </c>
      <c r="I5" s="11">
        <v>11268311752</v>
      </c>
      <c r="K5" s="8" t="s">
        <v>19</v>
      </c>
    </row>
    <row r="6" spans="2:11" x14ac:dyDescent="0.25">
      <c r="B6" s="1" t="s">
        <v>8</v>
      </c>
      <c r="C6" s="7"/>
      <c r="D6" s="4">
        <f t="shared" ref="D6:F6" si="0">D4/AVERAGE(C5:D5)</f>
        <v>1.3528648432442348E-4</v>
      </c>
      <c r="E6" s="4">
        <f t="shared" si="0"/>
        <v>4.4782844092559127E-5</v>
      </c>
      <c r="F6" s="4">
        <f t="shared" si="0"/>
        <v>4.2300110328596436E-5</v>
      </c>
      <c r="G6" s="4">
        <f>G4/AVERAGE(F5:G5)</f>
        <v>4.6130035609743487E-5</v>
      </c>
      <c r="H6" s="4">
        <f>H4/AVERAGE(G5:H5)</f>
        <v>6.2120793946397634E-5</v>
      </c>
      <c r="I6" s="4">
        <f>I4/AVERAGE(H5:I5)</f>
        <v>1.7136259660773064E-5</v>
      </c>
      <c r="K6" s="8" t="s">
        <v>36</v>
      </c>
    </row>
    <row r="7" spans="2:11" x14ac:dyDescent="0.25">
      <c r="B7" s="1"/>
      <c r="C7" s="7"/>
      <c r="D7" s="4"/>
      <c r="E7" s="4"/>
      <c r="F7" s="4"/>
      <c r="G7" s="4"/>
      <c r="K7" s="8"/>
    </row>
    <row r="8" spans="2:11" x14ac:dyDescent="0.25">
      <c r="B8" s="1"/>
      <c r="C8" s="7"/>
      <c r="D8" s="4"/>
      <c r="E8" s="4"/>
      <c r="F8" s="3">
        <f>2849261/AVERAGE(F5:G5)</f>
        <v>5.0310241219762278E-4</v>
      </c>
      <c r="G8" s="3">
        <f>3430662/AVERAGE(F5:G5)</f>
        <v>6.0576210029011761E-4</v>
      </c>
      <c r="K8" s="8"/>
    </row>
    <row r="9" spans="2:11" x14ac:dyDescent="0.25">
      <c r="B9" s="1"/>
      <c r="C9" s="7"/>
      <c r="D9" s="4"/>
      <c r="E9" s="4"/>
      <c r="F9" s="4"/>
      <c r="G9" s="4"/>
      <c r="K9" s="8"/>
    </row>
    <row r="10" spans="2:11" x14ac:dyDescent="0.25">
      <c r="B10" s="1"/>
      <c r="C10" s="7"/>
      <c r="D10" s="4"/>
      <c r="E10" s="4"/>
      <c r="F10" s="4"/>
      <c r="G10" s="4"/>
      <c r="K10" s="8" t="s">
        <v>17</v>
      </c>
    </row>
    <row r="11" spans="2:11" x14ac:dyDescent="0.25">
      <c r="B11" s="1" t="s">
        <v>77</v>
      </c>
      <c r="C11" s="32">
        <v>9156794</v>
      </c>
      <c r="D11" s="32">
        <v>35680887</v>
      </c>
      <c r="E11" s="32">
        <v>59639049</v>
      </c>
      <c r="F11" s="32">
        <v>98224310</v>
      </c>
      <c r="G11" s="32">
        <v>140316975</v>
      </c>
      <c r="K11" s="8"/>
    </row>
    <row r="12" spans="2:11" x14ac:dyDescent="0.25">
      <c r="B12" s="1" t="s">
        <v>78</v>
      </c>
      <c r="C12" s="32">
        <v>723455</v>
      </c>
      <c r="D12" s="32">
        <v>3677107</v>
      </c>
      <c r="E12" s="32">
        <v>6076660</v>
      </c>
      <c r="F12" s="32">
        <v>10961948</v>
      </c>
      <c r="G12" s="32">
        <v>14258476</v>
      </c>
      <c r="K12" s="13" t="s">
        <v>37</v>
      </c>
    </row>
    <row r="13" spans="2:11" x14ac:dyDescent="0.25">
      <c r="B13" s="1" t="s">
        <v>79</v>
      </c>
      <c r="C13" s="23">
        <f t="shared" ref="C13:F13" si="1">C12/C11</f>
        <v>7.9007456103085863E-2</v>
      </c>
      <c r="D13" s="23">
        <f t="shared" si="1"/>
        <v>0.10305536967172368</v>
      </c>
      <c r="E13" s="23">
        <f t="shared" si="1"/>
        <v>0.10189062538539137</v>
      </c>
      <c r="F13" s="23">
        <f t="shared" si="1"/>
        <v>0.11160117083031686</v>
      </c>
      <c r="G13" s="23">
        <f>G12/G11</f>
        <v>0.10161618720757057</v>
      </c>
      <c r="K13" s="8" t="s">
        <v>35</v>
      </c>
    </row>
    <row r="14" spans="2:11" x14ac:dyDescent="0.25">
      <c r="B14" s="1"/>
      <c r="C14" s="23"/>
      <c r="D14" s="23"/>
      <c r="E14" s="23"/>
      <c r="F14" s="23"/>
      <c r="G14" s="23"/>
      <c r="H14" s="34"/>
      <c r="I14" s="34"/>
    </row>
    <row r="15" spans="2:11" x14ac:dyDescent="0.25">
      <c r="B15" s="1" t="s">
        <v>95</v>
      </c>
      <c r="C15" s="3">
        <v>1E-4</v>
      </c>
      <c r="D15" s="3">
        <v>0</v>
      </c>
      <c r="E15" s="3">
        <v>0</v>
      </c>
      <c r="F15" s="3">
        <v>2.9999999999999997E-4</v>
      </c>
      <c r="G15" s="3">
        <v>1E-4</v>
      </c>
      <c r="K15" s="8" t="s">
        <v>40</v>
      </c>
    </row>
    <row r="16" spans="2:11" x14ac:dyDescent="0.25">
      <c r="K16" s="8" t="s">
        <v>80</v>
      </c>
    </row>
    <row r="17" spans="2:14" x14ac:dyDescent="0.25">
      <c r="E17" s="2"/>
      <c r="F17" s="2"/>
      <c r="G17" s="2"/>
    </row>
    <row r="18" spans="2:14" x14ac:dyDescent="0.25">
      <c r="B18" s="10" t="s">
        <v>11</v>
      </c>
      <c r="C18" s="10"/>
      <c r="D18" s="9"/>
      <c r="E18" s="9"/>
      <c r="F18" s="9"/>
      <c r="G18" s="9"/>
      <c r="H18" s="9"/>
      <c r="I18" s="9"/>
      <c r="K18" s="1" t="s">
        <v>25</v>
      </c>
    </row>
    <row r="19" spans="2:14" x14ac:dyDescent="0.25">
      <c r="C19" s="1">
        <v>2015</v>
      </c>
      <c r="D19" s="1">
        <v>2016</v>
      </c>
      <c r="E19" s="1">
        <v>2017</v>
      </c>
      <c r="F19" s="1">
        <v>2018</v>
      </c>
      <c r="G19" s="1">
        <v>2019</v>
      </c>
      <c r="H19" s="1">
        <v>2020</v>
      </c>
      <c r="I19" s="1">
        <v>2021</v>
      </c>
      <c r="K19" t="s">
        <v>117</v>
      </c>
      <c r="L19" s="5"/>
      <c r="N19" s="5"/>
    </row>
    <row r="20" spans="2:14" x14ac:dyDescent="0.25">
      <c r="B20" s="1" t="s">
        <v>1</v>
      </c>
      <c r="E20" s="2"/>
      <c r="F20" s="2"/>
      <c r="G20" s="2">
        <v>63179</v>
      </c>
      <c r="H20" s="2">
        <v>78222</v>
      </c>
      <c r="I20" s="2">
        <v>88354</v>
      </c>
      <c r="K20" t="s">
        <v>94</v>
      </c>
      <c r="N20" s="3"/>
    </row>
    <row r="21" spans="2:14" x14ac:dyDescent="0.25">
      <c r="B21" s="1" t="s">
        <v>12</v>
      </c>
      <c r="D21" s="2"/>
      <c r="E21" s="2"/>
      <c r="F21" s="2">
        <v>0</v>
      </c>
      <c r="G21" s="2">
        <v>141467154</v>
      </c>
      <c r="H21" s="2">
        <v>333543399</v>
      </c>
      <c r="I21" s="2">
        <v>798324455</v>
      </c>
      <c r="N21" s="5"/>
    </row>
    <row r="22" spans="2:14" x14ac:dyDescent="0.25">
      <c r="B22" s="1" t="s">
        <v>8</v>
      </c>
      <c r="E22" s="30"/>
      <c r="F22" s="30"/>
      <c r="G22" s="31">
        <f>G20/AVERAGE(F21:G21)</f>
        <v>8.9319673455790307E-4</v>
      </c>
      <c r="H22" s="31">
        <f>H20/AVERAGE(G21:H21)</f>
        <v>3.2934847239067549E-4</v>
      </c>
      <c r="I22" s="31">
        <f>I20/AVERAGE(H21:I21)</f>
        <v>1.5612069852104837E-4</v>
      </c>
    </row>
    <row r="23" spans="2:14" x14ac:dyDescent="0.25">
      <c r="B23" s="1"/>
      <c r="E23" s="30"/>
      <c r="F23" s="30"/>
      <c r="G23" s="31"/>
    </row>
    <row r="24" spans="2:14" x14ac:dyDescent="0.25">
      <c r="B24" s="1" t="s">
        <v>77</v>
      </c>
      <c r="C24" s="32"/>
      <c r="D24" s="32"/>
      <c r="E24" s="33"/>
      <c r="F24" s="33"/>
      <c r="G24" s="33">
        <v>1485197</v>
      </c>
    </row>
    <row r="25" spans="2:14" x14ac:dyDescent="0.25">
      <c r="B25" s="1" t="s">
        <v>78</v>
      </c>
      <c r="C25" s="32"/>
      <c r="D25" s="32"/>
      <c r="E25" s="33"/>
      <c r="F25" s="33"/>
      <c r="G25" s="33">
        <v>195155</v>
      </c>
      <c r="K25" s="8"/>
    </row>
    <row r="26" spans="2:14" x14ac:dyDescent="0.25">
      <c r="B26" s="1" t="s">
        <v>79</v>
      </c>
      <c r="E26" s="30"/>
      <c r="F26" s="30"/>
      <c r="G26" s="30">
        <f>G25/G24</f>
        <v>0.13140007689215638</v>
      </c>
      <c r="K26" s="8"/>
    </row>
    <row r="27" spans="2:14" x14ac:dyDescent="0.25">
      <c r="B27" s="1"/>
      <c r="E27" s="30"/>
      <c r="F27" s="30"/>
      <c r="G27" s="31"/>
    </row>
    <row r="28" spans="2:14" x14ac:dyDescent="0.25">
      <c r="B28" s="1" t="s">
        <v>95</v>
      </c>
      <c r="G28" s="3">
        <v>1E-4</v>
      </c>
    </row>
    <row r="29" spans="2:14" x14ac:dyDescent="0.25">
      <c r="B29" s="1"/>
      <c r="G29" s="3"/>
    </row>
    <row r="30" spans="2:14" x14ac:dyDescent="0.25">
      <c r="B30" s="1"/>
      <c r="G30" s="3"/>
    </row>
    <row r="31" spans="2:14" x14ac:dyDescent="0.25">
      <c r="B31" s="1"/>
      <c r="G31" s="3"/>
    </row>
    <row r="32" spans="2:14" x14ac:dyDescent="0.25">
      <c r="B32" s="1"/>
      <c r="G32" s="3"/>
    </row>
    <row r="33" spans="2:12" x14ac:dyDescent="0.25">
      <c r="B33" s="1"/>
      <c r="G33" s="3"/>
    </row>
    <row r="34" spans="2:12" x14ac:dyDescent="0.25">
      <c r="B34" s="1"/>
      <c r="G34" s="3"/>
    </row>
    <row r="35" spans="2:12" x14ac:dyDescent="0.25">
      <c r="B35" s="1"/>
      <c r="G35" s="3"/>
    </row>
    <row r="36" spans="2:12" x14ac:dyDescent="0.25">
      <c r="B36" s="1"/>
    </row>
    <row r="37" spans="2:12" x14ac:dyDescent="0.25">
      <c r="B37" s="10" t="s">
        <v>69</v>
      </c>
      <c r="C37" s="10"/>
      <c r="D37" s="9"/>
      <c r="E37" s="9"/>
      <c r="F37" s="9"/>
      <c r="G37" s="9"/>
      <c r="H37" s="9"/>
      <c r="I37" s="9"/>
    </row>
    <row r="38" spans="2:12" x14ac:dyDescent="0.25">
      <c r="B38" s="1" t="s">
        <v>1</v>
      </c>
      <c r="C38" s="1">
        <v>2015</v>
      </c>
      <c r="D38" s="1">
        <v>2016</v>
      </c>
      <c r="E38" s="1">
        <v>2017</v>
      </c>
      <c r="F38" s="1">
        <v>2018</v>
      </c>
      <c r="G38" s="1">
        <v>2019</v>
      </c>
      <c r="H38" s="1">
        <v>2020</v>
      </c>
      <c r="I38" s="1"/>
      <c r="L38" s="6"/>
    </row>
    <row r="39" spans="2:12" x14ac:dyDescent="0.25">
      <c r="B39" s="1" t="s">
        <v>1</v>
      </c>
      <c r="C39" s="2"/>
      <c r="D39" s="2">
        <v>45547</v>
      </c>
      <c r="E39" s="2">
        <v>119882</v>
      </c>
      <c r="F39" s="2">
        <v>97972</v>
      </c>
      <c r="G39" s="2">
        <v>119750</v>
      </c>
      <c r="K39" s="8"/>
      <c r="L39" s="6"/>
    </row>
    <row r="40" spans="2:12" x14ac:dyDescent="0.25">
      <c r="B40" s="1" t="s">
        <v>12</v>
      </c>
      <c r="C40" s="2">
        <v>25275750</v>
      </c>
      <c r="D40" s="2">
        <v>197555150</v>
      </c>
      <c r="E40" s="2">
        <v>543984587</v>
      </c>
      <c r="F40" s="2">
        <v>852642577</v>
      </c>
      <c r="G40" s="2">
        <v>1343841461</v>
      </c>
    </row>
    <row r="41" spans="2:12" x14ac:dyDescent="0.25">
      <c r="B41" s="1" t="s">
        <v>8</v>
      </c>
      <c r="C41" s="7"/>
      <c r="D41" s="4">
        <f t="shared" ref="D41" si="2">D39/AVERAGE(C40:D40)</f>
        <v>4.0880326741039955E-4</v>
      </c>
      <c r="E41" s="4">
        <f t="shared" ref="E41" si="3">E39/AVERAGE(D40:E40)</f>
        <v>3.2333263888189987E-4</v>
      </c>
      <c r="F41" s="4">
        <f t="shared" ref="F41" si="4">F39/AVERAGE(E40:F40)</f>
        <v>1.4029800153593462E-4</v>
      </c>
      <c r="G41" s="4">
        <f>G39/AVERAGE(F40:G40)</f>
        <v>1.0903789686451616E-4</v>
      </c>
    </row>
    <row r="42" spans="2:12" x14ac:dyDescent="0.25">
      <c r="B42" s="1"/>
      <c r="C42" s="7"/>
      <c r="D42" s="4"/>
      <c r="E42" s="4"/>
      <c r="F42" s="4"/>
      <c r="G42" s="4"/>
    </row>
    <row r="43" spans="2:12" x14ac:dyDescent="0.25">
      <c r="B43" s="1" t="s">
        <v>77</v>
      </c>
      <c r="C43" s="32">
        <v>4178257</v>
      </c>
      <c r="D43" s="32">
        <v>4523050</v>
      </c>
      <c r="E43" s="32">
        <v>11531574</v>
      </c>
      <c r="F43" s="32">
        <v>25060715</v>
      </c>
      <c r="G43" s="32">
        <v>36414801</v>
      </c>
    </row>
    <row r="44" spans="2:12" x14ac:dyDescent="0.25">
      <c r="B44" s="1" t="s">
        <v>78</v>
      </c>
      <c r="C44" s="32">
        <v>460172</v>
      </c>
      <c r="D44" s="32">
        <v>328239</v>
      </c>
      <c r="E44" s="32">
        <v>769172</v>
      </c>
      <c r="F44" s="32">
        <v>1404308</v>
      </c>
      <c r="G44" s="32">
        <v>1974860</v>
      </c>
    </row>
    <row r="45" spans="2:12" x14ac:dyDescent="0.25">
      <c r="B45" s="1" t="s">
        <v>79</v>
      </c>
      <c r="C45" s="23">
        <f t="shared" ref="C45:F45" si="5">C44/C43</f>
        <v>0.11013491989602363</v>
      </c>
      <c r="D45" s="23">
        <f t="shared" si="5"/>
        <v>7.2570278904721369E-2</v>
      </c>
      <c r="E45" s="23">
        <f t="shared" si="5"/>
        <v>6.6701388726291833E-2</v>
      </c>
      <c r="F45" s="23">
        <f t="shared" si="5"/>
        <v>5.603623041082427E-2</v>
      </c>
      <c r="G45" s="23">
        <f>G44/G43</f>
        <v>5.4232343601163711E-2</v>
      </c>
    </row>
    <row r="46" spans="2:12" x14ac:dyDescent="0.25">
      <c r="B46" s="1"/>
      <c r="C46" s="23"/>
      <c r="D46" s="23"/>
      <c r="E46" s="23"/>
      <c r="F46" s="23"/>
      <c r="G46" s="23"/>
    </row>
    <row r="47" spans="2:12" x14ac:dyDescent="0.25">
      <c r="B47" s="1" t="s">
        <v>95</v>
      </c>
      <c r="C47" s="3">
        <v>2.9999999999999997E-4</v>
      </c>
      <c r="D47" s="3">
        <v>1E-4</v>
      </c>
      <c r="E47" s="3">
        <v>0</v>
      </c>
      <c r="F47" s="3">
        <v>2.0000000000000001E-4</v>
      </c>
      <c r="G47" s="3">
        <v>0</v>
      </c>
    </row>
    <row r="48" spans="2:12" x14ac:dyDescent="0.25">
      <c r="B48" s="1"/>
      <c r="C48" s="3"/>
      <c r="D48" s="3"/>
      <c r="E48" s="3"/>
      <c r="F48" s="3"/>
      <c r="G48" s="3"/>
    </row>
    <row r="50" spans="2:9" x14ac:dyDescent="0.25">
      <c r="B50" s="10" t="s">
        <v>70</v>
      </c>
      <c r="C50" s="10"/>
      <c r="D50" s="9"/>
      <c r="E50" s="9"/>
      <c r="F50" s="9"/>
      <c r="G50" s="9"/>
      <c r="H50" s="9"/>
      <c r="I50" s="9"/>
    </row>
    <row r="51" spans="2:9" x14ac:dyDescent="0.25">
      <c r="B51" s="1" t="s">
        <v>1</v>
      </c>
      <c r="C51" s="1">
        <v>2015</v>
      </c>
      <c r="D51" s="1">
        <v>2016</v>
      </c>
      <c r="E51" s="1">
        <v>2017</v>
      </c>
      <c r="F51" s="1">
        <v>2018</v>
      </c>
      <c r="G51" s="1">
        <v>2019</v>
      </c>
      <c r="H51" s="1">
        <v>2020</v>
      </c>
      <c r="I51" s="1"/>
    </row>
    <row r="52" spans="2:9" x14ac:dyDescent="0.25">
      <c r="B52" s="1" t="s">
        <v>1</v>
      </c>
      <c r="C52" s="2"/>
      <c r="D52" s="2">
        <v>10837</v>
      </c>
      <c r="E52" s="2">
        <v>77254</v>
      </c>
      <c r="F52" s="2">
        <v>45684</v>
      </c>
      <c r="G52" s="2">
        <v>55573</v>
      </c>
    </row>
    <row r="53" spans="2:9" x14ac:dyDescent="0.25">
      <c r="B53" s="1" t="s">
        <v>12</v>
      </c>
      <c r="C53" s="2">
        <v>82931512</v>
      </c>
      <c r="D53" s="2">
        <v>69271399</v>
      </c>
      <c r="E53" s="2">
        <v>749127819</v>
      </c>
      <c r="F53" s="2">
        <v>927429942</v>
      </c>
      <c r="G53" s="2">
        <v>1698483516</v>
      </c>
    </row>
    <row r="54" spans="2:9" x14ac:dyDescent="0.25">
      <c r="B54" s="1" t="s">
        <v>8</v>
      </c>
      <c r="C54" s="7"/>
      <c r="D54" s="4">
        <f t="shared" ref="D54" si="6">D52/AVERAGE(C53:D53)</f>
        <v>1.4240200701548999E-4</v>
      </c>
      <c r="E54" s="4">
        <f t="shared" ref="E54" si="7">E52/AVERAGE(D53:E53)</f>
        <v>1.8879294676940906E-4</v>
      </c>
      <c r="F54" s="4">
        <f t="shared" ref="F54" si="8">F52/AVERAGE(E53:F53)</f>
        <v>5.4497376783190948E-5</v>
      </c>
      <c r="G54" s="4">
        <f>G52/AVERAGE(F53:G53)</f>
        <v>4.2326604352244424E-5</v>
      </c>
    </row>
    <row r="56" spans="2:9" x14ac:dyDescent="0.25">
      <c r="B56" s="1" t="s">
        <v>77</v>
      </c>
      <c r="C56" s="32">
        <v>13588</v>
      </c>
      <c r="D56" s="32">
        <v>812657</v>
      </c>
      <c r="E56" s="32">
        <v>9763753</v>
      </c>
      <c r="F56" s="32">
        <v>18127165</v>
      </c>
      <c r="G56" s="32">
        <v>28988001</v>
      </c>
    </row>
    <row r="57" spans="2:9" x14ac:dyDescent="0.25">
      <c r="B57" s="1" t="s">
        <v>78</v>
      </c>
      <c r="C57" s="32">
        <v>1921</v>
      </c>
      <c r="D57" s="32">
        <v>121637</v>
      </c>
      <c r="E57" s="32">
        <v>1181144</v>
      </c>
      <c r="F57" s="32">
        <v>2300880</v>
      </c>
      <c r="G57" s="32">
        <v>3641394</v>
      </c>
    </row>
    <row r="58" spans="2:9" x14ac:dyDescent="0.25">
      <c r="B58" s="1" t="s">
        <v>79</v>
      </c>
      <c r="C58" s="23">
        <f t="shared" ref="C58:F58" si="9">C57/C56</f>
        <v>0.14137474241978215</v>
      </c>
      <c r="D58" s="23">
        <f t="shared" si="9"/>
        <v>0.1496781544981462</v>
      </c>
      <c r="E58" s="23">
        <f t="shared" si="9"/>
        <v>0.12097233512564277</v>
      </c>
      <c r="F58" s="23">
        <f t="shared" si="9"/>
        <v>0.12692994188556236</v>
      </c>
      <c r="G58" s="23">
        <f>G57/G56</f>
        <v>0.1256172855796438</v>
      </c>
    </row>
    <row r="60" spans="2:9" x14ac:dyDescent="0.25">
      <c r="B60" s="1" t="s">
        <v>95</v>
      </c>
      <c r="C60" s="3">
        <v>0</v>
      </c>
      <c r="D60" s="3">
        <v>0</v>
      </c>
      <c r="E60" s="3">
        <v>0</v>
      </c>
      <c r="F60" s="3">
        <v>4.0000000000000002E-4</v>
      </c>
      <c r="G60" s="3">
        <v>1E-4</v>
      </c>
    </row>
    <row r="64" spans="2:9" x14ac:dyDescent="0.25">
      <c r="E64" s="3"/>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8616F-4365-4E03-AA99-F5C2282C78C2}">
  <dimension ref="B2:R63"/>
  <sheetViews>
    <sheetView tabSelected="1" zoomScaleNormal="100" workbookViewId="0">
      <selection activeCell="B6" sqref="B6"/>
    </sheetView>
  </sheetViews>
  <sheetFormatPr defaultRowHeight="15" x14ac:dyDescent="0.25"/>
  <cols>
    <col min="2" max="2" width="73" bestFit="1" customWidth="1"/>
  </cols>
  <sheetData>
    <row r="2" spans="2:18" x14ac:dyDescent="0.25">
      <c r="B2" s="16"/>
      <c r="C2" s="17">
        <v>2014</v>
      </c>
      <c r="D2" s="17">
        <v>2015</v>
      </c>
      <c r="E2" s="17">
        <v>2016</v>
      </c>
      <c r="F2" s="17">
        <v>2017</v>
      </c>
      <c r="G2" s="17">
        <v>2018</v>
      </c>
      <c r="H2" s="17">
        <v>2019</v>
      </c>
      <c r="I2" s="17">
        <v>2020</v>
      </c>
      <c r="J2" s="17">
        <v>2021</v>
      </c>
      <c r="K2" s="17">
        <v>2022</v>
      </c>
      <c r="L2" s="17">
        <v>2023</v>
      </c>
      <c r="M2" s="16"/>
      <c r="N2" s="18" t="s">
        <v>41</v>
      </c>
      <c r="O2" s="18" t="s">
        <v>42</v>
      </c>
      <c r="R2" t="s">
        <v>90</v>
      </c>
    </row>
    <row r="3" spans="2:18" x14ac:dyDescent="0.25">
      <c r="B3" s="18" t="s">
        <v>61</v>
      </c>
      <c r="C3" s="19"/>
      <c r="D3" s="19"/>
      <c r="E3" s="19">
        <v>10.55</v>
      </c>
      <c r="F3" s="19">
        <v>8.32</v>
      </c>
      <c r="G3" s="19">
        <v>-3.3</v>
      </c>
      <c r="H3" s="19">
        <v>30.93</v>
      </c>
      <c r="I3" s="19">
        <v>8.2200000000000006</v>
      </c>
      <c r="J3" s="19">
        <v>31.74</v>
      </c>
      <c r="K3" s="19">
        <v>-13.71</v>
      </c>
      <c r="L3" s="19">
        <v>20.51</v>
      </c>
      <c r="M3" s="16"/>
      <c r="N3" s="16"/>
      <c r="O3" s="19"/>
      <c r="R3" s="8" t="s">
        <v>92</v>
      </c>
    </row>
    <row r="4" spans="2:18" x14ac:dyDescent="0.25">
      <c r="B4" s="18" t="s">
        <v>43</v>
      </c>
      <c r="C4" s="19">
        <v>20.76</v>
      </c>
      <c r="D4" s="19">
        <v>11.13</v>
      </c>
      <c r="E4" s="19">
        <v>10.72</v>
      </c>
      <c r="F4" s="19">
        <v>8.5399999999999991</v>
      </c>
      <c r="G4" s="19">
        <v>-3.12</v>
      </c>
      <c r="H4" s="19">
        <v>31.17</v>
      </c>
      <c r="I4" s="19">
        <v>8.5299999999999994</v>
      </c>
      <c r="J4" s="19">
        <v>31.99</v>
      </c>
      <c r="K4" s="19">
        <v>-13.59</v>
      </c>
      <c r="L4" s="19">
        <v>20.86</v>
      </c>
      <c r="M4" s="16"/>
      <c r="N4" s="16"/>
      <c r="O4" s="16"/>
      <c r="R4" s="8" t="s">
        <v>93</v>
      </c>
    </row>
    <row r="5" spans="2:18" x14ac:dyDescent="0.25">
      <c r="B5" s="18" t="s">
        <v>44</v>
      </c>
      <c r="C5" s="19"/>
      <c r="D5" s="19"/>
      <c r="E5" s="19">
        <v>10.07</v>
      </c>
      <c r="F5" s="19">
        <v>7.95</v>
      </c>
      <c r="G5" s="19">
        <v>-3.65</v>
      </c>
      <c r="H5" s="19">
        <v>30.44</v>
      </c>
      <c r="I5" s="19">
        <v>7.98</v>
      </c>
      <c r="J5" s="19">
        <v>31.42</v>
      </c>
      <c r="K5" s="19">
        <v>-14.01</v>
      </c>
      <c r="L5" s="19">
        <v>20.260000000000002</v>
      </c>
      <c r="M5" s="16"/>
      <c r="N5" s="16"/>
      <c r="O5" s="19"/>
    </row>
    <row r="6" spans="2:18" x14ac:dyDescent="0.25">
      <c r="B6" s="18" t="s">
        <v>46</v>
      </c>
      <c r="C6" s="19"/>
      <c r="D6" s="19"/>
      <c r="E6" s="19">
        <f t="shared" ref="E6:L6" si="0">E3-E5</f>
        <v>0.48000000000000043</v>
      </c>
      <c r="F6" s="19">
        <f t="shared" si="0"/>
        <v>0.37000000000000011</v>
      </c>
      <c r="G6" s="19">
        <f t="shared" si="0"/>
        <v>0.35000000000000009</v>
      </c>
      <c r="H6" s="19">
        <f t="shared" si="0"/>
        <v>0.48999999999999844</v>
      </c>
      <c r="I6" s="19">
        <f t="shared" si="0"/>
        <v>0.24000000000000021</v>
      </c>
      <c r="J6" s="19">
        <f t="shared" si="0"/>
        <v>0.31999999999999673</v>
      </c>
      <c r="K6" s="19">
        <f t="shared" si="0"/>
        <v>0.29999999999999893</v>
      </c>
      <c r="L6" s="19">
        <f t="shared" si="0"/>
        <v>0.25</v>
      </c>
      <c r="M6" s="16"/>
      <c r="N6" s="16"/>
      <c r="O6" s="19">
        <f>AVERAGE(E6:L6)</f>
        <v>0.34999999999999937</v>
      </c>
    </row>
    <row r="7" spans="2:18" x14ac:dyDescent="0.25">
      <c r="B7" s="18" t="s">
        <v>45</v>
      </c>
      <c r="C7" s="19"/>
      <c r="D7" s="19"/>
      <c r="E7" s="19">
        <f t="shared" ref="E7:L7" si="1">E4-E3</f>
        <v>0.16999999999999993</v>
      </c>
      <c r="F7" s="19">
        <f t="shared" si="1"/>
        <v>0.21999999999999886</v>
      </c>
      <c r="G7" s="19">
        <f t="shared" si="1"/>
        <v>0.17999999999999972</v>
      </c>
      <c r="H7" s="19">
        <f t="shared" si="1"/>
        <v>0.24000000000000199</v>
      </c>
      <c r="I7" s="19">
        <f t="shared" si="1"/>
        <v>0.30999999999999872</v>
      </c>
      <c r="J7" s="19">
        <f t="shared" si="1"/>
        <v>0.25</v>
      </c>
      <c r="K7" s="19">
        <f t="shared" si="1"/>
        <v>0.12000000000000099</v>
      </c>
      <c r="L7" s="19">
        <f t="shared" si="1"/>
        <v>0.34999999999999787</v>
      </c>
      <c r="M7" s="16"/>
      <c r="N7" s="29">
        <f>AVERAGE(E7:L7)</f>
        <v>0.22999999999999976</v>
      </c>
      <c r="O7" s="19"/>
    </row>
    <row r="10" spans="2:18" x14ac:dyDescent="0.25">
      <c r="B10" s="21" t="s">
        <v>60</v>
      </c>
      <c r="C10" s="22"/>
      <c r="D10" s="22"/>
      <c r="E10" s="22">
        <v>12.94</v>
      </c>
      <c r="F10" s="22">
        <v>21.63</v>
      </c>
      <c r="G10" s="22">
        <v>-10.75</v>
      </c>
      <c r="H10" s="22">
        <v>20.82</v>
      </c>
      <c r="I10" s="22">
        <v>10.26</v>
      </c>
      <c r="J10" s="22">
        <v>3.81</v>
      </c>
      <c r="K10" s="22"/>
      <c r="L10" s="22"/>
      <c r="M10" s="22"/>
      <c r="N10" s="20"/>
      <c r="O10" s="22"/>
    </row>
    <row r="11" spans="2:18" x14ac:dyDescent="0.25">
      <c r="B11" s="21" t="s">
        <v>43</v>
      </c>
      <c r="C11" s="22">
        <v>12.03</v>
      </c>
      <c r="D11" s="22">
        <v>-3.64</v>
      </c>
      <c r="E11" s="22">
        <v>13.57</v>
      </c>
      <c r="F11" s="22">
        <v>21.71</v>
      </c>
      <c r="G11" s="22">
        <v>-10.25</v>
      </c>
      <c r="H11" s="22">
        <v>21.08</v>
      </c>
      <c r="I11" s="22">
        <v>10.72</v>
      </c>
      <c r="J11" s="22">
        <v>4.07</v>
      </c>
      <c r="K11" s="22"/>
      <c r="L11" s="22"/>
      <c r="M11" s="22"/>
      <c r="N11" s="20"/>
      <c r="O11" s="22"/>
    </row>
    <row r="12" spans="2:18" x14ac:dyDescent="0.25">
      <c r="B12" s="21" t="s">
        <v>44</v>
      </c>
      <c r="C12" s="22"/>
      <c r="D12" s="22"/>
      <c r="E12" s="22">
        <v>13.14</v>
      </c>
      <c r="F12" s="22">
        <v>21.3</v>
      </c>
      <c r="G12" s="22">
        <v>-10.6</v>
      </c>
      <c r="H12" s="22">
        <v>20.61</v>
      </c>
      <c r="I12" s="22">
        <v>10.37</v>
      </c>
      <c r="J12" s="22">
        <v>3.74</v>
      </c>
      <c r="K12" s="22"/>
      <c r="L12" s="22"/>
      <c r="M12" s="22"/>
      <c r="N12" s="20"/>
      <c r="O12" s="22"/>
    </row>
    <row r="13" spans="2:18" x14ac:dyDescent="0.25">
      <c r="B13" s="21" t="s">
        <v>46</v>
      </c>
      <c r="C13" s="22"/>
      <c r="D13" s="22"/>
      <c r="E13" s="22">
        <f t="shared" ref="E13:J13" si="2">E10-E12</f>
        <v>-0.20000000000000107</v>
      </c>
      <c r="F13" s="22">
        <f t="shared" si="2"/>
        <v>0.32999999999999829</v>
      </c>
      <c r="G13" s="22">
        <f t="shared" si="2"/>
        <v>-0.15000000000000036</v>
      </c>
      <c r="H13" s="22">
        <f t="shared" si="2"/>
        <v>0.21000000000000085</v>
      </c>
      <c r="I13" s="22">
        <f t="shared" si="2"/>
        <v>-0.10999999999999943</v>
      </c>
      <c r="J13" s="22">
        <f t="shared" si="2"/>
        <v>6.999999999999984E-2</v>
      </c>
      <c r="K13" s="22"/>
      <c r="L13" s="22"/>
      <c r="M13" s="22"/>
      <c r="N13" s="22"/>
      <c r="O13" s="22">
        <f>AVERAGE(E13:J13)</f>
        <v>2.4999999999999689E-2</v>
      </c>
    </row>
    <row r="14" spans="2:18" x14ac:dyDescent="0.25">
      <c r="B14" s="21" t="s">
        <v>45</v>
      </c>
      <c r="C14" s="22"/>
      <c r="D14" s="22"/>
      <c r="E14" s="22">
        <f t="shared" ref="E14:J14" si="3">E11-E10</f>
        <v>0.63000000000000078</v>
      </c>
      <c r="F14" s="22">
        <f t="shared" si="3"/>
        <v>8.0000000000001847E-2</v>
      </c>
      <c r="G14" s="22">
        <f t="shared" si="3"/>
        <v>0.5</v>
      </c>
      <c r="H14" s="22">
        <f t="shared" si="3"/>
        <v>0.25999999999999801</v>
      </c>
      <c r="I14" s="22">
        <f t="shared" si="3"/>
        <v>0.46000000000000085</v>
      </c>
      <c r="J14" s="22">
        <f t="shared" si="3"/>
        <v>0.26000000000000023</v>
      </c>
      <c r="K14" s="22"/>
      <c r="L14" s="22"/>
      <c r="M14" s="22"/>
      <c r="N14" s="27">
        <f>AVERAGE(E14:J14)</f>
        <v>0.36500000000000027</v>
      </c>
      <c r="O14" s="22"/>
    </row>
    <row r="17" spans="2:15" x14ac:dyDescent="0.25">
      <c r="B17" s="21" t="s">
        <v>59</v>
      </c>
      <c r="E17">
        <v>14.75</v>
      </c>
      <c r="F17">
        <v>7.07</v>
      </c>
      <c r="G17">
        <v>0.35</v>
      </c>
      <c r="H17">
        <v>34.049999999999997</v>
      </c>
    </row>
    <row r="18" spans="2:15" x14ac:dyDescent="0.25">
      <c r="B18" s="21" t="s">
        <v>56</v>
      </c>
      <c r="E18">
        <v>14.47</v>
      </c>
      <c r="F18">
        <v>6.77</v>
      </c>
      <c r="G18">
        <v>0.02</v>
      </c>
      <c r="H18">
        <v>33.590000000000003</v>
      </c>
    </row>
    <row r="19" spans="2:15" x14ac:dyDescent="0.25">
      <c r="B19" s="21" t="s">
        <v>57</v>
      </c>
      <c r="E19">
        <v>15.19</v>
      </c>
      <c r="F19">
        <v>7.39</v>
      </c>
      <c r="G19">
        <v>0.57999999999999996</v>
      </c>
      <c r="H19">
        <v>34.369999999999997</v>
      </c>
    </row>
    <row r="20" spans="2:15" x14ac:dyDescent="0.25">
      <c r="B20" s="21" t="s">
        <v>76</v>
      </c>
      <c r="E20">
        <f>E19-E18</f>
        <v>0.71999999999999886</v>
      </c>
      <c r="F20">
        <f t="shared" ref="F20:H20" si="4">F19-F18</f>
        <v>0.62000000000000011</v>
      </c>
      <c r="G20">
        <f t="shared" si="4"/>
        <v>0.55999999999999994</v>
      </c>
      <c r="H20">
        <f t="shared" si="4"/>
        <v>0.77999999999999403</v>
      </c>
      <c r="M20">
        <f>AVERAGE(E20:H20)</f>
        <v>0.66999999999999826</v>
      </c>
    </row>
    <row r="21" spans="2:15" x14ac:dyDescent="0.25">
      <c r="B21" s="21" t="s">
        <v>46</v>
      </c>
      <c r="E21">
        <f>E17-E18</f>
        <v>0.27999999999999936</v>
      </c>
      <c r="F21">
        <f t="shared" ref="F21:H21" si="5">F17-F18</f>
        <v>0.30000000000000071</v>
      </c>
      <c r="G21">
        <f t="shared" si="5"/>
        <v>0.32999999999999996</v>
      </c>
      <c r="H21">
        <f t="shared" si="5"/>
        <v>0.45999999999999375</v>
      </c>
      <c r="O21" s="26">
        <f>AVERAGE(E21:H21)</f>
        <v>0.34249999999999847</v>
      </c>
    </row>
    <row r="22" spans="2:15" x14ac:dyDescent="0.25">
      <c r="B22" s="21" t="s">
        <v>45</v>
      </c>
      <c r="E22">
        <f>E19-E17</f>
        <v>0.4399999999999995</v>
      </c>
      <c r="F22">
        <f t="shared" ref="F22:H22" si="6">F19-F17</f>
        <v>0.3199999999999994</v>
      </c>
      <c r="G22">
        <f t="shared" si="6"/>
        <v>0.22999999999999998</v>
      </c>
      <c r="H22">
        <f t="shared" si="6"/>
        <v>0.32000000000000028</v>
      </c>
      <c r="N22" s="28">
        <f>AVERAGE(E22:H22)</f>
        <v>0.32749999999999979</v>
      </c>
    </row>
    <row r="25" spans="2:15" x14ac:dyDescent="0.25">
      <c r="B25" s="21" t="s">
        <v>62</v>
      </c>
      <c r="E25">
        <v>1.81</v>
      </c>
      <c r="F25">
        <v>10.79</v>
      </c>
      <c r="G25">
        <v>-10.47</v>
      </c>
      <c r="H25">
        <v>26.76</v>
      </c>
    </row>
    <row r="26" spans="2:15" x14ac:dyDescent="0.25">
      <c r="B26" s="21" t="s">
        <v>63</v>
      </c>
      <c r="E26">
        <v>1.24</v>
      </c>
      <c r="F26">
        <v>10.3</v>
      </c>
      <c r="G26">
        <v>-10.89</v>
      </c>
      <c r="H26">
        <v>26.14</v>
      </c>
    </row>
    <row r="27" spans="2:15" x14ac:dyDescent="0.25">
      <c r="B27" s="21" t="s">
        <v>64</v>
      </c>
      <c r="E27">
        <v>1.9</v>
      </c>
      <c r="F27">
        <v>10.96</v>
      </c>
      <c r="G27">
        <v>-10.3</v>
      </c>
      <c r="H27">
        <v>26.99</v>
      </c>
    </row>
    <row r="28" spans="2:15" x14ac:dyDescent="0.25">
      <c r="B28" s="21" t="s">
        <v>76</v>
      </c>
      <c r="E28">
        <f>E27-E26</f>
        <v>0.65999999999999992</v>
      </c>
      <c r="F28">
        <f t="shared" ref="F28:H28" si="7">F27-F26</f>
        <v>0.66000000000000014</v>
      </c>
      <c r="G28">
        <f t="shared" si="7"/>
        <v>0.58999999999999986</v>
      </c>
      <c r="H28">
        <f t="shared" si="7"/>
        <v>0.84999999999999787</v>
      </c>
      <c r="M28">
        <f>AVERAGE(E28:H28)</f>
        <v>0.6899999999999995</v>
      </c>
    </row>
    <row r="29" spans="2:15" x14ac:dyDescent="0.25">
      <c r="B29" s="21" t="s">
        <v>46</v>
      </c>
      <c r="E29">
        <f>E25-E26</f>
        <v>0.57000000000000006</v>
      </c>
      <c r="F29">
        <f t="shared" ref="F29:H29" si="8">F25-F26</f>
        <v>0.48999999999999844</v>
      </c>
      <c r="G29">
        <f t="shared" si="8"/>
        <v>0.41999999999999993</v>
      </c>
      <c r="H29">
        <f t="shared" si="8"/>
        <v>0.62000000000000099</v>
      </c>
      <c r="O29" s="26">
        <f>AVERAGE(E29:H29)</f>
        <v>0.52499999999999991</v>
      </c>
    </row>
    <row r="30" spans="2:15" x14ac:dyDescent="0.25">
      <c r="B30" s="21" t="s">
        <v>45</v>
      </c>
      <c r="E30">
        <f>E27-E25</f>
        <v>8.9999999999999858E-2</v>
      </c>
      <c r="F30">
        <f t="shared" ref="F30:H30" si="9">F27-F25</f>
        <v>0.17000000000000171</v>
      </c>
      <c r="G30">
        <f t="shared" si="9"/>
        <v>0.16999999999999993</v>
      </c>
      <c r="H30">
        <f t="shared" si="9"/>
        <v>0.22999999999999687</v>
      </c>
      <c r="N30" s="28">
        <f>AVERAGE(E30:H30)</f>
        <v>0.16499999999999959</v>
      </c>
    </row>
    <row r="33" spans="2:15" x14ac:dyDescent="0.25">
      <c r="B33" s="21" t="s">
        <v>99</v>
      </c>
      <c r="I33">
        <v>8.14</v>
      </c>
      <c r="J33">
        <v>23.91</v>
      </c>
    </row>
    <row r="34" spans="2:15" x14ac:dyDescent="0.25">
      <c r="B34" s="21" t="s">
        <v>100</v>
      </c>
      <c r="I34">
        <v>8.43</v>
      </c>
      <c r="J34">
        <v>24.35</v>
      </c>
    </row>
    <row r="35" spans="2:15" ht="15.75" customHeight="1" x14ac:dyDescent="0.25">
      <c r="B35" s="21" t="s">
        <v>101</v>
      </c>
      <c r="I35">
        <v>7.98</v>
      </c>
      <c r="J35">
        <v>23.9</v>
      </c>
    </row>
    <row r="36" spans="2:15" x14ac:dyDescent="0.25">
      <c r="B36" s="21" t="s">
        <v>46</v>
      </c>
      <c r="I36">
        <f>I33-I35</f>
        <v>0.16000000000000014</v>
      </c>
      <c r="J36">
        <f>J33-J35</f>
        <v>1.0000000000001563E-2</v>
      </c>
      <c r="O36" s="26">
        <f>AVERAGE(I36:J36)</f>
        <v>8.5000000000000853E-2</v>
      </c>
    </row>
    <row r="37" spans="2:15" x14ac:dyDescent="0.25">
      <c r="B37" s="21" t="s">
        <v>45</v>
      </c>
      <c r="I37">
        <f>I34-I33</f>
        <v>0.28999999999999915</v>
      </c>
      <c r="J37">
        <f>J34-J33</f>
        <v>0.44000000000000128</v>
      </c>
      <c r="N37" s="29">
        <f>AVERAGE(I37:J37)</f>
        <v>0.36500000000000021</v>
      </c>
    </row>
    <row r="42" spans="2:15" x14ac:dyDescent="0.25">
      <c r="B42" s="1"/>
      <c r="C42" s="1"/>
      <c r="D42" s="1"/>
      <c r="E42" s="1"/>
      <c r="F42" s="1"/>
      <c r="G42" s="1"/>
    </row>
    <row r="43" spans="2:15" x14ac:dyDescent="0.25">
      <c r="B43" s="1"/>
      <c r="C43" s="6"/>
      <c r="D43" s="6"/>
      <c r="E43" s="6"/>
      <c r="F43" s="6"/>
      <c r="G43" s="6"/>
    </row>
    <row r="44" spans="2:15" x14ac:dyDescent="0.25">
      <c r="B44" s="1"/>
      <c r="C44" s="6"/>
      <c r="D44" s="6"/>
    </row>
    <row r="49" spans="2:16" x14ac:dyDescent="0.25">
      <c r="B49" s="1"/>
      <c r="C49" s="6"/>
      <c r="D49" s="6"/>
      <c r="E49" s="6"/>
      <c r="F49" s="6"/>
      <c r="G49" s="6"/>
    </row>
    <row r="50" spans="2:16" x14ac:dyDescent="0.25">
      <c r="B50" s="1"/>
      <c r="C50" s="6"/>
      <c r="D50" s="6"/>
      <c r="E50" s="6"/>
      <c r="F50" s="6"/>
      <c r="G50" s="6"/>
    </row>
    <row r="55" spans="2:16" x14ac:dyDescent="0.25">
      <c r="B55" s="1"/>
      <c r="C55" s="1"/>
      <c r="D55" s="1"/>
      <c r="E55" s="1"/>
      <c r="F55" s="1"/>
      <c r="G55" s="1"/>
    </row>
    <row r="56" spans="2:16" x14ac:dyDescent="0.25">
      <c r="B56" s="1"/>
      <c r="C56" s="6"/>
      <c r="D56" s="6"/>
      <c r="E56" s="6"/>
      <c r="F56" s="6"/>
      <c r="G56" s="6"/>
    </row>
    <row r="57" spans="2:16" x14ac:dyDescent="0.25">
      <c r="B57" s="1"/>
      <c r="C57" s="6"/>
      <c r="D57" s="6"/>
      <c r="E57" s="6"/>
      <c r="F57" s="6"/>
    </row>
    <row r="60" spans="2:16" x14ac:dyDescent="0.25">
      <c r="C60" s="1"/>
      <c r="D60" s="1"/>
      <c r="E60" s="1"/>
      <c r="F60" s="1"/>
      <c r="G60" s="1"/>
      <c r="H60" s="1"/>
      <c r="I60" s="1"/>
      <c r="J60" s="1"/>
      <c r="K60" s="1"/>
      <c r="L60" s="1"/>
      <c r="M60" s="1"/>
      <c r="N60" s="1"/>
      <c r="O60" s="1"/>
      <c r="P60" s="1"/>
    </row>
    <row r="61" spans="2:16" x14ac:dyDescent="0.25">
      <c r="B61" s="1"/>
    </row>
    <row r="62" spans="2:16" x14ac:dyDescent="0.25">
      <c r="B62" s="1"/>
      <c r="P62" s="26"/>
    </row>
    <row r="63" spans="2:16" x14ac:dyDescent="0.25">
      <c r="B63" s="1"/>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Aannames</vt:lpstr>
      <vt:lpstr>World</vt:lpstr>
      <vt:lpstr>Emerging</vt:lpstr>
      <vt:lpstr>SmallCaps</vt:lpstr>
      <vt:lpstr>NA</vt:lpstr>
      <vt:lpstr>Europe</vt:lpstr>
      <vt:lpstr>Northern Trust Master fondsen</vt:lpstr>
      <vt:lpstr>Tracking Difference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Gerben</dc:creator>
  <cp:lastModifiedBy>Gerben van Loon</cp:lastModifiedBy>
  <dcterms:created xsi:type="dcterms:W3CDTF">2015-06-05T18:19:34Z</dcterms:created>
  <dcterms:modified xsi:type="dcterms:W3CDTF">2024-01-28T20:09:42Z</dcterms:modified>
</cp:coreProperties>
</file>