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https://d.docs.live.net/7c741cee80ec8cf3/Financieel/IndexFondsenOnderzoek/KeuzeWelkIndexFonds/OnderzoekPerFonds/Avantis/"/>
    </mc:Choice>
  </mc:AlternateContent>
  <xr:revisionPtr revIDLastSave="1179" documentId="13_ncr:1_{1145E7EB-B52A-4035-9DB0-6756A4D32375}" xr6:coauthVersionLast="47" xr6:coauthVersionMax="47" xr10:uidLastSave="{546C8275-1507-4436-B59A-1CFE6D1D9B2A}"/>
  <bookViews>
    <workbookView xWindow="-120" yWindow="-120" windowWidth="51840" windowHeight="21240" xr2:uid="{00000000-000D-0000-FFFF-FFFF00000000}"/>
  </bookViews>
  <sheets>
    <sheet name="AVUS" sheetId="19" r:id="rId1"/>
    <sheet name="AVDE" sheetId="20" r:id="rId2"/>
    <sheet name="AVEM" sheetId="21" r:id="rId3"/>
    <sheet name="AVUV" sheetId="17" r:id="rId4"/>
    <sheet name="AVDV" sheetId="18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6" i="19" l="1"/>
  <c r="B26" i="20"/>
  <c r="B26" i="21"/>
  <c r="B25" i="17"/>
  <c r="B14" i="19"/>
  <c r="C19" i="17"/>
  <c r="B19" i="17"/>
  <c r="C19" i="19"/>
  <c r="B19" i="19"/>
  <c r="F4" i="21" l="1"/>
  <c r="B6" i="21" s="1"/>
  <c r="B7" i="21" s="1"/>
  <c r="F4" i="19"/>
  <c r="F4" i="20"/>
  <c r="B6" i="20" s="1"/>
  <c r="F8" i="17"/>
  <c r="B6" i="17" s="1"/>
  <c r="D6" i="17" s="1"/>
  <c r="F8" i="18"/>
  <c r="B6" i="18" s="1"/>
  <c r="D6" i="18" s="1"/>
  <c r="C14" i="21"/>
  <c r="B14" i="21"/>
  <c r="C7" i="21"/>
  <c r="C14" i="20"/>
  <c r="B14" i="20"/>
  <c r="C7" i="20"/>
  <c r="C14" i="19"/>
  <c r="C7" i="19"/>
  <c r="C13" i="18"/>
  <c r="D18" i="17"/>
  <c r="D18" i="18"/>
  <c r="C7" i="18"/>
  <c r="C7" i="17"/>
  <c r="C15" i="17" s="1"/>
  <c r="C14" i="17"/>
  <c r="C14" i="18"/>
  <c r="B14" i="18"/>
  <c r="B14" i="17"/>
  <c r="C15" i="21" l="1"/>
  <c r="C20" i="21"/>
  <c r="B15" i="21"/>
  <c r="B10" i="21"/>
  <c r="B20" i="21"/>
  <c r="D20" i="21" s="1"/>
  <c r="B16" i="21"/>
  <c r="B6" i="19"/>
  <c r="B7" i="19" s="1"/>
  <c r="C16" i="17"/>
  <c r="C10" i="17"/>
  <c r="C20" i="17"/>
  <c r="C16" i="19"/>
  <c r="C20" i="19"/>
  <c r="C15" i="18"/>
  <c r="C20" i="18"/>
  <c r="C10" i="18"/>
  <c r="C16" i="18"/>
  <c r="C15" i="20"/>
  <c r="C20" i="20"/>
  <c r="D6" i="19"/>
  <c r="B7" i="20"/>
  <c r="D6" i="20"/>
  <c r="D6" i="21"/>
  <c r="B7" i="17"/>
  <c r="B7" i="18"/>
  <c r="C10" i="19"/>
  <c r="C15" i="19"/>
  <c r="C10" i="20"/>
  <c r="C16" i="21"/>
  <c r="D16" i="21" s="1"/>
  <c r="C10" i="21"/>
  <c r="C16" i="20"/>
  <c r="B15" i="17" l="1"/>
  <c r="B16" i="17"/>
  <c r="B10" i="17"/>
  <c r="B20" i="17"/>
  <c r="D20" i="17" s="1"/>
  <c r="B15" i="18"/>
  <c r="B10" i="18"/>
  <c r="B20" i="18"/>
  <c r="B16" i="18"/>
  <c r="D16" i="18" s="1"/>
  <c r="B20" i="20"/>
  <c r="D20" i="20" s="1"/>
  <c r="B10" i="20"/>
  <c r="B15" i="20"/>
  <c r="B16" i="20"/>
  <c r="B10" i="19"/>
  <c r="D10" i="19" s="1"/>
  <c r="B16" i="19"/>
  <c r="D16" i="19" s="1"/>
  <c r="B15" i="19"/>
  <c r="B20" i="19"/>
  <c r="D20" i="19" s="1"/>
  <c r="D16" i="17"/>
  <c r="D20" i="18"/>
  <c r="D16" i="20"/>
  <c r="D10" i="20"/>
  <c r="D10" i="17"/>
  <c r="D10" i="18"/>
  <c r="D10" i="21"/>
  <c r="B24" i="21" l="1"/>
  <c r="B23" i="21"/>
  <c r="B23" i="17"/>
  <c r="B22" i="17"/>
  <c r="B25" i="18"/>
  <c r="B22" i="18"/>
  <c r="B23" i="18"/>
  <c r="B23" i="20"/>
  <c r="B24" i="20" s="1"/>
  <c r="B23" i="19"/>
  <c r="B24" i="19" s="1"/>
</calcChain>
</file>

<file path=xl/sharedStrings.xml><?xml version="1.0" encoding="utf-8"?>
<sst xmlns="http://schemas.openxmlformats.org/spreadsheetml/2006/main" count="116" uniqueCount="29">
  <si>
    <t>Dividend income (net)</t>
  </si>
  <si>
    <t>Net asset value end of year</t>
  </si>
  <si>
    <t>TER</t>
  </si>
  <si>
    <t>Average NAV</t>
  </si>
  <si>
    <t>Remarks</t>
  </si>
  <si>
    <t>Transaction costs can't be found</t>
  </si>
  <si>
    <t>Foreign withholding taxes</t>
  </si>
  <si>
    <t>% tax leakage</t>
  </si>
  <si>
    <t>Average</t>
  </si>
  <si>
    <t>Avantis U.S. Small Cap Value ETF (AVUV)</t>
  </si>
  <si>
    <t>Avantis International Small Cap Value ETF (AVDV)</t>
  </si>
  <si>
    <t>Bookyear != calender year: august</t>
  </si>
  <si>
    <t>Turnover</t>
  </si>
  <si>
    <t>Lending income</t>
  </si>
  <si>
    <t>Fees</t>
  </si>
  <si>
    <t>Lending income %</t>
  </si>
  <si>
    <t>Dividend (gross)</t>
  </si>
  <si>
    <t>Leakage costs</t>
  </si>
  <si>
    <t>Total average costs</t>
  </si>
  <si>
    <t>Avantis U.S. Equity ETF (AVUS)</t>
  </si>
  <si>
    <t>Avantis International Equity ETF (AVDE)</t>
  </si>
  <si>
    <t>Avantis Emerging Markets Equity ETF (AVEM)</t>
  </si>
  <si>
    <t>First year</t>
  </si>
  <si>
    <t>9/24/2019 - 8/31/2020</t>
  </si>
  <si>
    <t>years</t>
  </si>
  <si>
    <t>Total average costs (withouth div leak)</t>
  </si>
  <si>
    <t>Estimated future costs  (withouth div leak)</t>
  </si>
  <si>
    <t>Brokerage commissions</t>
  </si>
  <si>
    <t>Brokerage commissions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</si>
</sst>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 * #,##0.00_ ;_ * \-#,##0.00_ ;_ * &quot;-&quot;??_ ;_ @_ "/>
    <numFmt numFmtId="164" formatCode="0.000%"/>
    <numFmt numFmtId="165" formatCode="_ * #,##0_ ;_ * \-#,##0_ ;_ * &quot;-&quot;??_ ;_ @_ "/>
    <numFmt numFmtId="166" formatCode="0.0000%"/>
    <numFmt numFmtId="167" formatCode="0.0000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21">
    <xf numFmtId="0" fontId="0" fillId="0" borderId="0" xfId="0"/>
    <xf numFmtId="0" fontId="2" fillId="0" borderId="0" xfId="0" applyFont="1"/>
    <xf numFmtId="10" fontId="0" fillId="0" borderId="0" xfId="1" applyNumberFormat="1" applyFont="1"/>
    <xf numFmtId="164" fontId="0" fillId="0" borderId="0" xfId="0" applyNumberFormat="1"/>
    <xf numFmtId="10" fontId="0" fillId="0" borderId="0" xfId="0" applyNumberFormat="1"/>
    <xf numFmtId="165" fontId="0" fillId="0" borderId="0" xfId="2" applyNumberFormat="1" applyFont="1"/>
    <xf numFmtId="0" fontId="2" fillId="2" borderId="0" xfId="0" applyFont="1" applyFill="1"/>
    <xf numFmtId="0" fontId="0" fillId="2" borderId="0" xfId="0" applyFill="1"/>
    <xf numFmtId="10" fontId="2" fillId="0" borderId="0" xfId="0" applyNumberFormat="1" applyFont="1"/>
    <xf numFmtId="10" fontId="0" fillId="0" borderId="0" xfId="1" applyNumberFormat="1" applyFont="1" applyFill="1"/>
    <xf numFmtId="164" fontId="0" fillId="0" borderId="0" xfId="1" applyNumberFormat="1" applyFont="1" applyFill="1"/>
    <xf numFmtId="0" fontId="3" fillId="0" borderId="0" xfId="3"/>
    <xf numFmtId="0" fontId="0" fillId="0" borderId="0" xfId="0" applyAlignment="1">
      <alignment horizontal="left"/>
    </xf>
    <xf numFmtId="0" fontId="3" fillId="0" borderId="0" xfId="3" applyAlignment="1">
      <alignment horizontal="left"/>
    </xf>
    <xf numFmtId="9" fontId="0" fillId="0" borderId="0" xfId="0" applyNumberFormat="1"/>
    <xf numFmtId="9" fontId="0" fillId="0" borderId="0" xfId="1" applyFont="1"/>
    <xf numFmtId="164" fontId="0" fillId="0" borderId="0" xfId="1" applyNumberFormat="1" applyFont="1"/>
    <xf numFmtId="2" fontId="0" fillId="0" borderId="0" xfId="0" applyNumberFormat="1" applyAlignment="1">
      <alignment horizontal="left"/>
    </xf>
    <xf numFmtId="166" fontId="0" fillId="0" borderId="0" xfId="0" applyNumberFormat="1"/>
    <xf numFmtId="167" fontId="0" fillId="0" borderId="0" xfId="0" applyNumberFormat="1"/>
    <xf numFmtId="166" fontId="0" fillId="0" borderId="0" xfId="1" applyNumberFormat="1" applyFont="1"/>
  </cellXfs>
  <cellStyles count="4">
    <cellStyle name="Hyperlink" xfId="3" builtinId="8"/>
    <cellStyle name="Komma" xfId="2" builtinId="3"/>
    <cellStyle name="Procent" xfId="1" builtinId="5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D78A3-B1EB-43A6-B192-86B446B193C1}">
  <dimension ref="A1:G49"/>
  <sheetViews>
    <sheetView tabSelected="1" zoomScale="145" zoomScaleNormal="145" workbookViewId="0"/>
  </sheetViews>
  <sheetFormatPr defaultRowHeight="15" x14ac:dyDescent="0.25"/>
  <cols>
    <col min="1" max="1" width="38.42578125" customWidth="1"/>
    <col min="2" max="2" width="13.7109375" customWidth="1"/>
    <col min="3" max="3" width="15" customWidth="1"/>
    <col min="4" max="4" width="13.7109375" customWidth="1"/>
    <col min="6" max="6" width="34.42578125" customWidth="1"/>
  </cols>
  <sheetData>
    <row r="1" spans="1:7" x14ac:dyDescent="0.25">
      <c r="A1" s="6" t="s">
        <v>19</v>
      </c>
      <c r="B1" s="6"/>
      <c r="C1" s="6"/>
      <c r="D1" s="7"/>
    </row>
    <row r="2" spans="1:7" x14ac:dyDescent="0.25">
      <c r="F2" s="1" t="s">
        <v>22</v>
      </c>
    </row>
    <row r="3" spans="1:7" x14ac:dyDescent="0.25">
      <c r="B3" s="1">
        <v>2020</v>
      </c>
      <c r="C3" s="1">
        <v>2021</v>
      </c>
      <c r="D3" s="1" t="s">
        <v>8</v>
      </c>
      <c r="F3" t="s">
        <v>23</v>
      </c>
    </row>
    <row r="4" spans="1:7" x14ac:dyDescent="0.25">
      <c r="A4" t="s">
        <v>1</v>
      </c>
      <c r="B4" s="5">
        <v>436098997</v>
      </c>
      <c r="C4" s="5">
        <v>1486457587</v>
      </c>
      <c r="D4" s="1"/>
      <c r="F4" s="17">
        <f>342/366</f>
        <v>0.93442622950819676</v>
      </c>
      <c r="G4" t="s">
        <v>24</v>
      </c>
    </row>
    <row r="5" spans="1:7" x14ac:dyDescent="0.25">
      <c r="A5" t="s">
        <v>14</v>
      </c>
      <c r="B5" s="5">
        <v>329876</v>
      </c>
      <c r="C5" s="5">
        <v>1316876</v>
      </c>
      <c r="D5" s="1"/>
    </row>
    <row r="6" spans="1:7" x14ac:dyDescent="0.25">
      <c r="A6" t="s">
        <v>2</v>
      </c>
      <c r="B6" s="4">
        <f>0.15%*F4</f>
        <v>1.4016393442622952E-3</v>
      </c>
      <c r="C6" s="4">
        <v>1.5E-3</v>
      </c>
      <c r="D6" s="4">
        <f>AVERAGE(B6:C6)</f>
        <v>1.4508196721311475E-3</v>
      </c>
    </row>
    <row r="7" spans="1:7" x14ac:dyDescent="0.25">
      <c r="A7" t="s">
        <v>3</v>
      </c>
      <c r="B7" s="5">
        <f>B5/B6</f>
        <v>235350128.65497074</v>
      </c>
      <c r="C7" s="5">
        <f>C5/C6</f>
        <v>877917333.33333337</v>
      </c>
      <c r="D7" s="4"/>
    </row>
    <row r="8" spans="1:7" x14ac:dyDescent="0.25">
      <c r="B8" s="5"/>
      <c r="C8" s="5"/>
      <c r="D8" s="4"/>
    </row>
    <row r="9" spans="1:7" x14ac:dyDescent="0.25">
      <c r="A9" t="s">
        <v>13</v>
      </c>
      <c r="B9" s="5">
        <v>3003</v>
      </c>
      <c r="C9" s="5">
        <v>25260</v>
      </c>
      <c r="D9" s="4"/>
    </row>
    <row r="10" spans="1:7" x14ac:dyDescent="0.25">
      <c r="A10" t="s">
        <v>15</v>
      </c>
      <c r="B10" s="20">
        <f>(B9/B7)/F4</f>
        <v>1.3655131018928326E-5</v>
      </c>
      <c r="C10" s="16">
        <f>C9/C7</f>
        <v>2.8772640704212088E-5</v>
      </c>
      <c r="D10" s="18">
        <f>AVERAGE(B10:C10)</f>
        <v>2.1213885861570207E-5</v>
      </c>
    </row>
    <row r="11" spans="1:7" x14ac:dyDescent="0.25">
      <c r="D11" s="4"/>
    </row>
    <row r="12" spans="1:7" x14ac:dyDescent="0.25">
      <c r="A12" t="s">
        <v>0</v>
      </c>
      <c r="B12" s="5">
        <v>4187944</v>
      </c>
      <c r="C12" s="5">
        <v>13232521</v>
      </c>
      <c r="D12" s="4"/>
    </row>
    <row r="13" spans="1:7" x14ac:dyDescent="0.25">
      <c r="A13" t="s">
        <v>6</v>
      </c>
      <c r="B13" s="5">
        <v>883</v>
      </c>
      <c r="C13" s="5">
        <v>2311</v>
      </c>
      <c r="D13" s="4"/>
    </row>
    <row r="14" spans="1:7" x14ac:dyDescent="0.25">
      <c r="A14" t="s">
        <v>7</v>
      </c>
      <c r="B14" s="9">
        <f>B13/(B12+B13)</f>
        <v>2.1079887042362933E-4</v>
      </c>
      <c r="C14" s="9">
        <f t="shared" ref="C14" si="0">C13/(C12+C13)</f>
        <v>1.7461498566812182E-4</v>
      </c>
      <c r="D14" s="4"/>
    </row>
    <row r="15" spans="1:7" x14ac:dyDescent="0.25">
      <c r="A15" t="s">
        <v>16</v>
      </c>
      <c r="B15" s="9">
        <f>((B12+B13)/B7)/F4</f>
        <v>1.9047279886987838E-2</v>
      </c>
      <c r="C15" s="9">
        <f>(C12+C13)/C7</f>
        <v>1.507525993335743E-2</v>
      </c>
      <c r="D15" s="4"/>
    </row>
    <row r="16" spans="1:7" x14ac:dyDescent="0.25">
      <c r="A16" t="s">
        <v>17</v>
      </c>
      <c r="B16" s="10">
        <f>(B13/B7)/F4</f>
        <v>4.0151450848197504E-6</v>
      </c>
      <c r="C16" s="10">
        <f>C13/C7</f>
        <v>2.6323662972064186E-6</v>
      </c>
      <c r="D16" s="19">
        <f>AVERAGE(B16:C16)</f>
        <v>3.3237556910130847E-6</v>
      </c>
    </row>
    <row r="17" spans="1:4" x14ac:dyDescent="0.25">
      <c r="B17" s="9"/>
      <c r="C17" s="9"/>
      <c r="D17" s="4"/>
    </row>
    <row r="18" spans="1:4" x14ac:dyDescent="0.25">
      <c r="A18" s="12" t="s">
        <v>12</v>
      </c>
      <c r="B18" s="14">
        <v>0.03</v>
      </c>
      <c r="C18" s="14">
        <v>0.04</v>
      </c>
      <c r="D18" s="14"/>
    </row>
    <row r="19" spans="1:4" x14ac:dyDescent="0.25">
      <c r="A19" s="12" t="s">
        <v>27</v>
      </c>
      <c r="B19" s="5">
        <f>6363</f>
        <v>6363</v>
      </c>
      <c r="C19" s="5">
        <f>14472</f>
        <v>14472</v>
      </c>
      <c r="D19" s="14"/>
    </row>
    <row r="20" spans="1:4" x14ac:dyDescent="0.25">
      <c r="A20" s="12" t="s">
        <v>28</v>
      </c>
      <c r="B20" s="4">
        <f>(B19/B7)/F4</f>
        <v>2.893359929185512E-5</v>
      </c>
      <c r="C20" s="4">
        <f>C19/C7</f>
        <v>1.648446778588113E-5</v>
      </c>
      <c r="D20" s="4">
        <f>AVERAGE(B20:C20)</f>
        <v>2.2709033538868123E-5</v>
      </c>
    </row>
    <row r="21" spans="1:4" x14ac:dyDescent="0.25">
      <c r="A21" s="12"/>
      <c r="B21" s="4"/>
      <c r="C21" s="4"/>
      <c r="D21" s="4"/>
    </row>
    <row r="22" spans="1:4" x14ac:dyDescent="0.25">
      <c r="D22" s="4"/>
    </row>
    <row r="23" spans="1:4" x14ac:dyDescent="0.25">
      <c r="A23" s="1" t="s">
        <v>18</v>
      </c>
      <c r="B23" s="2">
        <f>C6-D10+D16+D20</f>
        <v>1.5048189033683111E-3</v>
      </c>
      <c r="C23" s="5"/>
      <c r="D23" s="4"/>
    </row>
    <row r="24" spans="1:4" x14ac:dyDescent="0.25">
      <c r="A24" s="1" t="s">
        <v>25</v>
      </c>
      <c r="B24" s="4">
        <f>B23-D16</f>
        <v>1.501495147677298E-3</v>
      </c>
      <c r="D24" s="3"/>
    </row>
    <row r="25" spans="1:4" x14ac:dyDescent="0.25">
      <c r="A25" s="1"/>
      <c r="B25" s="4"/>
      <c r="D25" s="3"/>
    </row>
    <row r="26" spans="1:4" x14ac:dyDescent="0.25">
      <c r="A26" s="1" t="s">
        <v>26</v>
      </c>
      <c r="B26" s="4">
        <f>C6-D10+D20</f>
        <v>1.501495147677298E-3</v>
      </c>
      <c r="D26" s="4"/>
    </row>
    <row r="27" spans="1:4" x14ac:dyDescent="0.25">
      <c r="D27" s="4"/>
    </row>
    <row r="28" spans="1:4" x14ac:dyDescent="0.25">
      <c r="D28" s="10"/>
    </row>
    <row r="29" spans="1:4" x14ac:dyDescent="0.25">
      <c r="B29" s="3"/>
      <c r="C29" s="3"/>
      <c r="D29" s="10"/>
    </row>
    <row r="30" spans="1:4" x14ac:dyDescent="0.25">
      <c r="B30" s="3"/>
      <c r="C30" s="3"/>
    </row>
    <row r="31" spans="1:4" x14ac:dyDescent="0.25">
      <c r="B31" s="3"/>
      <c r="C31" s="3"/>
    </row>
    <row r="33" spans="1:3" x14ac:dyDescent="0.25">
      <c r="B33" s="4"/>
      <c r="C33" s="4"/>
    </row>
    <row r="34" spans="1:3" x14ac:dyDescent="0.25">
      <c r="A34" s="1"/>
      <c r="B34" s="8"/>
      <c r="C34" s="8"/>
    </row>
    <row r="35" spans="1:3" x14ac:dyDescent="0.25">
      <c r="B35" s="4"/>
      <c r="C35" s="4"/>
    </row>
    <row r="37" spans="1:3" x14ac:dyDescent="0.25">
      <c r="A37" s="1"/>
    </row>
    <row r="38" spans="1:3" x14ac:dyDescent="0.25">
      <c r="A38" s="13"/>
      <c r="B38" s="11"/>
      <c r="C38" s="11"/>
    </row>
    <row r="39" spans="1:3" x14ac:dyDescent="0.25">
      <c r="A39" s="12"/>
      <c r="B39" s="11"/>
      <c r="C39" s="11"/>
    </row>
    <row r="40" spans="1:3" x14ac:dyDescent="0.25">
      <c r="A40" s="12"/>
      <c r="B40" s="11"/>
      <c r="C40" s="11"/>
    </row>
    <row r="41" spans="1:3" x14ac:dyDescent="0.25">
      <c r="A41" s="12"/>
      <c r="B41" s="11"/>
      <c r="C41" s="11"/>
    </row>
    <row r="42" spans="1:3" x14ac:dyDescent="0.25">
      <c r="A42" s="12"/>
      <c r="B42" s="11"/>
      <c r="C42" s="11"/>
    </row>
    <row r="43" spans="1:3" x14ac:dyDescent="0.25">
      <c r="A43" s="12"/>
      <c r="B43" s="11"/>
      <c r="C43" s="11"/>
    </row>
    <row r="49" spans="2:3" x14ac:dyDescent="0.25">
      <c r="B49" s="2"/>
      <c r="C49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FF730-CD7B-4BE0-818C-4803132121D8}">
  <dimension ref="A1:G49"/>
  <sheetViews>
    <sheetView zoomScale="145" zoomScaleNormal="145" workbookViewId="0"/>
  </sheetViews>
  <sheetFormatPr defaultRowHeight="15" x14ac:dyDescent="0.25"/>
  <cols>
    <col min="1" max="1" width="38.42578125" customWidth="1"/>
    <col min="2" max="4" width="13.7109375" customWidth="1"/>
    <col min="6" max="6" width="34.42578125" customWidth="1"/>
  </cols>
  <sheetData>
    <row r="1" spans="1:7" x14ac:dyDescent="0.25">
      <c r="A1" s="6" t="s">
        <v>20</v>
      </c>
      <c r="B1" s="6"/>
      <c r="C1" s="6"/>
      <c r="D1" s="7"/>
    </row>
    <row r="2" spans="1:7" x14ac:dyDescent="0.25">
      <c r="F2" s="1" t="s">
        <v>22</v>
      </c>
    </row>
    <row r="3" spans="1:7" x14ac:dyDescent="0.25">
      <c r="B3" s="1">
        <v>2020</v>
      </c>
      <c r="C3" s="1">
        <v>2021</v>
      </c>
      <c r="D3" s="1" t="s">
        <v>8</v>
      </c>
      <c r="F3" t="s">
        <v>23</v>
      </c>
    </row>
    <row r="4" spans="1:7" x14ac:dyDescent="0.25">
      <c r="A4" t="s">
        <v>1</v>
      </c>
      <c r="B4" s="5">
        <v>341344095</v>
      </c>
      <c r="C4" s="5">
        <v>997543705</v>
      </c>
      <c r="D4" s="1"/>
      <c r="F4" s="17">
        <f>342/366</f>
        <v>0.93442622950819676</v>
      </c>
      <c r="G4" t="s">
        <v>24</v>
      </c>
    </row>
    <row r="5" spans="1:7" x14ac:dyDescent="0.25">
      <c r="A5" t="s">
        <v>14</v>
      </c>
      <c r="B5" s="5">
        <v>379637</v>
      </c>
      <c r="C5" s="5">
        <v>1451556</v>
      </c>
      <c r="D5" s="1"/>
    </row>
    <row r="6" spans="1:7" x14ac:dyDescent="0.25">
      <c r="A6" t="s">
        <v>2</v>
      </c>
      <c r="B6" s="4">
        <f>0.23%*F4</f>
        <v>2.1491803278688524E-3</v>
      </c>
      <c r="C6" s="4">
        <v>2.3E-3</v>
      </c>
      <c r="D6" s="4">
        <f>AVERAGE(B6:C6)</f>
        <v>2.2245901639344262E-3</v>
      </c>
    </row>
    <row r="7" spans="1:7" x14ac:dyDescent="0.25">
      <c r="A7" t="s">
        <v>3</v>
      </c>
      <c r="B7" s="5">
        <f>B5/B6</f>
        <v>176642692.6010679</v>
      </c>
      <c r="C7" s="5">
        <f>C5/C6</f>
        <v>631111304.34782612</v>
      </c>
      <c r="D7" s="4"/>
    </row>
    <row r="8" spans="1:7" x14ac:dyDescent="0.25">
      <c r="B8" s="5"/>
      <c r="C8" s="5"/>
      <c r="D8" s="4"/>
    </row>
    <row r="9" spans="1:7" x14ac:dyDescent="0.25">
      <c r="A9" t="s">
        <v>13</v>
      </c>
      <c r="B9" s="5">
        <v>32657</v>
      </c>
      <c r="C9" s="5">
        <v>263805</v>
      </c>
      <c r="D9" s="4"/>
    </row>
    <row r="10" spans="1:7" x14ac:dyDescent="0.25">
      <c r="A10" t="s">
        <v>15</v>
      </c>
      <c r="B10" s="16">
        <f>(B9/B7)/F4</f>
        <v>1.9784978808704102E-4</v>
      </c>
      <c r="C10" s="16">
        <f>C9/C7</f>
        <v>4.1800075229615665E-4</v>
      </c>
      <c r="D10" s="3">
        <f>AVERAGE(B10:C10)</f>
        <v>3.0792527019159882E-4</v>
      </c>
    </row>
    <row r="11" spans="1:7" x14ac:dyDescent="0.25">
      <c r="D11" s="4"/>
    </row>
    <row r="12" spans="1:7" x14ac:dyDescent="0.25">
      <c r="A12" t="s">
        <v>0</v>
      </c>
      <c r="B12" s="5">
        <v>4582772</v>
      </c>
      <c r="C12" s="5">
        <v>17013346</v>
      </c>
      <c r="D12" s="4"/>
    </row>
    <row r="13" spans="1:7" x14ac:dyDescent="0.25">
      <c r="A13" t="s">
        <v>6</v>
      </c>
      <c r="B13" s="5">
        <v>488017</v>
      </c>
      <c r="C13" s="5">
        <v>1642168</v>
      </c>
      <c r="D13" s="4"/>
    </row>
    <row r="14" spans="1:7" x14ac:dyDescent="0.25">
      <c r="A14" t="s">
        <v>7</v>
      </c>
      <c r="B14" s="9">
        <f t="shared" ref="B14:C14" si="0">B13/(B12+B13)</f>
        <v>9.6240841415408923E-2</v>
      </c>
      <c r="C14" s="9">
        <f t="shared" si="0"/>
        <v>8.8025878032628846E-2</v>
      </c>
      <c r="D14" s="4"/>
    </row>
    <row r="15" spans="1:7" x14ac:dyDescent="0.25">
      <c r="A15" t="s">
        <v>16</v>
      </c>
      <c r="B15" s="9">
        <f>((B12+B13)/B7)/F4</f>
        <v>3.0720964236889445E-2</v>
      </c>
      <c r="C15" s="9">
        <f>(C12+C13)/C7</f>
        <v>2.9559784259098512E-2</v>
      </c>
      <c r="D15" s="4"/>
    </row>
    <row r="16" spans="1:7" x14ac:dyDescent="0.25">
      <c r="A16" t="s">
        <v>17</v>
      </c>
      <c r="B16" s="10">
        <f>(B13/B7)/F4</f>
        <v>2.9566114472509264E-3</v>
      </c>
      <c r="C16" s="10">
        <f>C13/C7</f>
        <v>2.6020259638622279E-3</v>
      </c>
      <c r="D16" s="4">
        <f>AVERAGE(B16:C16)</f>
        <v>2.7793187055565769E-3</v>
      </c>
    </row>
    <row r="17" spans="1:4" x14ac:dyDescent="0.25">
      <c r="B17" s="9"/>
      <c r="C17" s="9"/>
      <c r="D17" s="4"/>
    </row>
    <row r="18" spans="1:4" x14ac:dyDescent="0.25">
      <c r="A18" s="12" t="s">
        <v>12</v>
      </c>
      <c r="B18" s="14">
        <v>0.08</v>
      </c>
      <c r="C18" s="14">
        <v>7.0000000000000007E-2</v>
      </c>
      <c r="D18" s="14"/>
    </row>
    <row r="19" spans="1:4" x14ac:dyDescent="0.25">
      <c r="A19" s="12" t="s">
        <v>27</v>
      </c>
      <c r="B19" s="5">
        <v>35826</v>
      </c>
      <c r="C19" s="5">
        <v>165487</v>
      </c>
      <c r="D19" s="14"/>
    </row>
    <row r="20" spans="1:4" x14ac:dyDescent="0.25">
      <c r="A20" s="12" t="s">
        <v>28</v>
      </c>
      <c r="B20" s="4">
        <f>(B19/B7)/F4</f>
        <v>2.1704891778198646E-4</v>
      </c>
      <c r="C20" s="4">
        <f>C19/C7</f>
        <v>2.6221523661505307E-4</v>
      </c>
      <c r="D20" s="4">
        <f>AVERAGE(B20:C20)</f>
        <v>2.3963207719851975E-4</v>
      </c>
    </row>
    <row r="21" spans="1:4" x14ac:dyDescent="0.25">
      <c r="A21" s="12"/>
      <c r="B21" s="4"/>
      <c r="C21" s="4"/>
      <c r="D21" s="4"/>
    </row>
    <row r="22" spans="1:4" x14ac:dyDescent="0.25">
      <c r="D22" s="4"/>
    </row>
    <row r="23" spans="1:4" x14ac:dyDescent="0.25">
      <c r="A23" s="1" t="s">
        <v>18</v>
      </c>
      <c r="B23" s="2">
        <f>C6-D10+D16+D20</f>
        <v>5.0110255125634974E-3</v>
      </c>
      <c r="C23" s="5"/>
      <c r="D23" s="4"/>
    </row>
    <row r="24" spans="1:4" x14ac:dyDescent="0.25">
      <c r="A24" s="1" t="s">
        <v>25</v>
      </c>
      <c r="B24" s="4">
        <f>B23-D16</f>
        <v>2.2317068070069205E-3</v>
      </c>
      <c r="D24" s="3"/>
    </row>
    <row r="25" spans="1:4" x14ac:dyDescent="0.25">
      <c r="A25" s="1"/>
      <c r="B25" s="4"/>
      <c r="D25" s="3"/>
    </row>
    <row r="26" spans="1:4" x14ac:dyDescent="0.25">
      <c r="A26" s="1" t="s">
        <v>26</v>
      </c>
      <c r="B26" s="4">
        <f>C6-D10+D20</f>
        <v>2.2317068070069209E-3</v>
      </c>
      <c r="D26" s="4"/>
    </row>
    <row r="27" spans="1:4" x14ac:dyDescent="0.25">
      <c r="D27" s="4"/>
    </row>
    <row r="28" spans="1:4" x14ac:dyDescent="0.25">
      <c r="D28" s="10"/>
    </row>
    <row r="29" spans="1:4" x14ac:dyDescent="0.25">
      <c r="B29" s="3"/>
      <c r="C29" s="3"/>
      <c r="D29" s="10"/>
    </row>
    <row r="30" spans="1:4" x14ac:dyDescent="0.25">
      <c r="B30" s="3"/>
      <c r="C30" s="3"/>
    </row>
    <row r="31" spans="1:4" x14ac:dyDescent="0.25">
      <c r="B31" s="3"/>
      <c r="C31" s="3"/>
    </row>
    <row r="33" spans="1:3" x14ac:dyDescent="0.25">
      <c r="B33" s="4"/>
      <c r="C33" s="4"/>
    </row>
    <row r="34" spans="1:3" x14ac:dyDescent="0.25">
      <c r="A34" s="1"/>
      <c r="B34" s="8"/>
      <c r="C34" s="8"/>
    </row>
    <row r="35" spans="1:3" x14ac:dyDescent="0.25">
      <c r="B35" s="4"/>
      <c r="C35" s="4"/>
    </row>
    <row r="37" spans="1:3" x14ac:dyDescent="0.25">
      <c r="A37" s="1"/>
    </row>
    <row r="38" spans="1:3" x14ac:dyDescent="0.25">
      <c r="A38" s="13"/>
      <c r="B38" s="11"/>
      <c r="C38" s="11"/>
    </row>
    <row r="39" spans="1:3" x14ac:dyDescent="0.25">
      <c r="A39" s="12"/>
      <c r="B39" s="11"/>
      <c r="C39" s="11"/>
    </row>
    <row r="40" spans="1:3" x14ac:dyDescent="0.25">
      <c r="A40" s="12"/>
      <c r="B40" s="11"/>
      <c r="C40" s="11"/>
    </row>
    <row r="41" spans="1:3" x14ac:dyDescent="0.25">
      <c r="A41" s="12"/>
      <c r="B41" s="11"/>
      <c r="C41" s="11"/>
    </row>
    <row r="42" spans="1:3" x14ac:dyDescent="0.25">
      <c r="A42" s="12"/>
      <c r="B42" s="11"/>
      <c r="C42" s="11"/>
    </row>
    <row r="43" spans="1:3" x14ac:dyDescent="0.25">
      <c r="A43" s="12"/>
      <c r="B43" s="11"/>
      <c r="C43" s="11"/>
    </row>
    <row r="49" spans="2:3" x14ac:dyDescent="0.25">
      <c r="B49" s="2"/>
      <c r="C49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483D2-7A4A-4EFD-A0BB-DCD393B7C72C}">
  <dimension ref="A1:G49"/>
  <sheetViews>
    <sheetView zoomScale="145" zoomScaleNormal="145" workbookViewId="0"/>
  </sheetViews>
  <sheetFormatPr defaultRowHeight="15" x14ac:dyDescent="0.25"/>
  <cols>
    <col min="1" max="1" width="38.42578125" customWidth="1"/>
    <col min="2" max="4" width="13.7109375" customWidth="1"/>
    <col min="6" max="6" width="34.42578125" customWidth="1"/>
  </cols>
  <sheetData>
    <row r="1" spans="1:7" x14ac:dyDescent="0.25">
      <c r="A1" s="6" t="s">
        <v>21</v>
      </c>
      <c r="B1" s="6"/>
      <c r="C1" s="6"/>
      <c r="D1" s="7"/>
      <c r="F1" s="1"/>
    </row>
    <row r="2" spans="1:7" x14ac:dyDescent="0.25">
      <c r="F2" s="1" t="s">
        <v>22</v>
      </c>
    </row>
    <row r="3" spans="1:7" x14ac:dyDescent="0.25">
      <c r="B3" s="1">
        <v>2020</v>
      </c>
      <c r="C3" s="1">
        <v>2021</v>
      </c>
      <c r="D3" s="1" t="s">
        <v>8</v>
      </c>
      <c r="F3" t="s">
        <v>23</v>
      </c>
    </row>
    <row r="4" spans="1:7" x14ac:dyDescent="0.25">
      <c r="A4" t="s">
        <v>1</v>
      </c>
      <c r="B4" s="5">
        <v>245445738</v>
      </c>
      <c r="C4" s="5">
        <v>864826515</v>
      </c>
      <c r="D4" s="1"/>
      <c r="F4" s="17">
        <f>349/366</f>
        <v>0.95355191256830596</v>
      </c>
      <c r="G4" t="s">
        <v>24</v>
      </c>
    </row>
    <row r="5" spans="1:7" x14ac:dyDescent="0.25">
      <c r="A5" t="s">
        <v>14</v>
      </c>
      <c r="B5" s="5">
        <v>422970</v>
      </c>
      <c r="C5" s="5">
        <v>1890706</v>
      </c>
      <c r="D5" s="1"/>
    </row>
    <row r="6" spans="1:7" x14ac:dyDescent="0.25">
      <c r="A6" t="s">
        <v>2</v>
      </c>
      <c r="B6" s="4">
        <f>0.33%*F4</f>
        <v>3.1467213114754096E-3</v>
      </c>
      <c r="C6" s="4">
        <v>3.3E-3</v>
      </c>
      <c r="D6" s="4">
        <f>AVERAGE(B6:C6)</f>
        <v>3.2233606557377048E-3</v>
      </c>
    </row>
    <row r="7" spans="1:7" x14ac:dyDescent="0.25">
      <c r="A7" t="s">
        <v>3</v>
      </c>
      <c r="B7" s="5">
        <f>B5/B6</f>
        <v>134416097.94217244</v>
      </c>
      <c r="C7" s="5">
        <f>C5/C6</f>
        <v>572941212.12121212</v>
      </c>
      <c r="D7" s="4"/>
    </row>
    <row r="8" spans="1:7" x14ac:dyDescent="0.25">
      <c r="B8" s="5"/>
      <c r="C8" s="5"/>
      <c r="D8" s="4"/>
    </row>
    <row r="9" spans="1:7" x14ac:dyDescent="0.25">
      <c r="A9" t="s">
        <v>13</v>
      </c>
      <c r="B9" s="5">
        <v>21611</v>
      </c>
      <c r="C9" s="5">
        <v>227531</v>
      </c>
      <c r="D9" s="4"/>
    </row>
    <row r="10" spans="1:7" x14ac:dyDescent="0.25">
      <c r="A10" t="s">
        <v>15</v>
      </c>
      <c r="B10" s="16">
        <f>(B9/B7)/F4</f>
        <v>1.6860841194410952E-4</v>
      </c>
      <c r="C10" s="16">
        <f>C9/C7</f>
        <v>3.9712800403658737E-4</v>
      </c>
      <c r="D10" s="3">
        <f>AVERAGE(B10:C10)</f>
        <v>2.8286820799034844E-4</v>
      </c>
    </row>
    <row r="11" spans="1:7" x14ac:dyDescent="0.25">
      <c r="D11" s="4"/>
    </row>
    <row r="12" spans="1:7" x14ac:dyDescent="0.25">
      <c r="A12" t="s">
        <v>0</v>
      </c>
      <c r="B12" s="5">
        <v>4176992</v>
      </c>
      <c r="C12" s="5">
        <v>15104729</v>
      </c>
      <c r="D12" s="4"/>
    </row>
    <row r="13" spans="1:7" x14ac:dyDescent="0.25">
      <c r="A13" t="s">
        <v>6</v>
      </c>
      <c r="B13" s="5">
        <v>560827</v>
      </c>
      <c r="C13" s="5">
        <v>2031372</v>
      </c>
      <c r="D13" s="4"/>
    </row>
    <row r="14" spans="1:7" x14ac:dyDescent="0.25">
      <c r="A14" t="s">
        <v>7</v>
      </c>
      <c r="B14" s="9">
        <f t="shared" ref="B14:C14" si="0">B13/(B12+B13)</f>
        <v>0.11837239877673672</v>
      </c>
      <c r="C14" s="9">
        <f t="shared" si="0"/>
        <v>0.11854341894926973</v>
      </c>
      <c r="D14" s="4"/>
    </row>
    <row r="15" spans="1:7" x14ac:dyDescent="0.25">
      <c r="A15" t="s">
        <v>16</v>
      </c>
      <c r="B15" s="9">
        <f>((B12+B13)/B7)/F4</f>
        <v>3.6964330094332934E-2</v>
      </c>
      <c r="C15" s="9">
        <f>(C12+C13)/C7</f>
        <v>2.9909003991101735E-2</v>
      </c>
      <c r="D15" s="4"/>
    </row>
    <row r="16" spans="1:7" x14ac:dyDescent="0.25">
      <c r="A16" t="s">
        <v>17</v>
      </c>
      <c r="B16" s="10">
        <f>(B13/B7)/F4</f>
        <v>4.3755564224413086E-3</v>
      </c>
      <c r="C16" s="10">
        <f>C13/C7</f>
        <v>3.5455155904725536E-3</v>
      </c>
      <c r="D16" s="4">
        <f>AVERAGE(B16:C16)</f>
        <v>3.9605360064569311E-3</v>
      </c>
    </row>
    <row r="17" spans="1:4" x14ac:dyDescent="0.25">
      <c r="B17" s="9"/>
      <c r="C17" s="9"/>
      <c r="D17" s="4"/>
    </row>
    <row r="18" spans="1:4" x14ac:dyDescent="0.25">
      <c r="A18" s="12" t="s">
        <v>12</v>
      </c>
      <c r="B18" s="14">
        <v>0.08</v>
      </c>
      <c r="C18" s="14">
        <v>0.05</v>
      </c>
      <c r="D18" s="14"/>
    </row>
    <row r="19" spans="1:4" x14ac:dyDescent="0.25">
      <c r="A19" s="12" t="s">
        <v>27</v>
      </c>
      <c r="B19" s="5">
        <v>67576</v>
      </c>
      <c r="C19" s="5">
        <v>168698</v>
      </c>
      <c r="D19" s="14"/>
    </row>
    <row r="20" spans="1:4" x14ac:dyDescent="0.25">
      <c r="A20" s="12" t="s">
        <v>28</v>
      </c>
      <c r="B20" s="3">
        <f>(B19/B7)/F4</f>
        <v>5.2722604440031209E-4</v>
      </c>
      <c r="C20" s="3">
        <f>C19/C7</f>
        <v>2.9444207613452328E-4</v>
      </c>
      <c r="D20" s="3">
        <f>AVERAGE(B20:C20)</f>
        <v>4.1083406026741769E-4</v>
      </c>
    </row>
    <row r="21" spans="1:4" x14ac:dyDescent="0.25">
      <c r="A21" s="12"/>
      <c r="B21" s="14"/>
      <c r="C21" s="14"/>
      <c r="D21" s="14"/>
    </row>
    <row r="22" spans="1:4" x14ac:dyDescent="0.25">
      <c r="D22" s="4"/>
    </row>
    <row r="23" spans="1:4" x14ac:dyDescent="0.25">
      <c r="A23" s="1" t="s">
        <v>18</v>
      </c>
      <c r="B23" s="2">
        <f>C6-D10+D16+D20</f>
        <v>7.3885018587340002E-3</v>
      </c>
      <c r="C23" s="5"/>
      <c r="D23" s="4"/>
    </row>
    <row r="24" spans="1:4" x14ac:dyDescent="0.25">
      <c r="A24" s="1" t="s">
        <v>25</v>
      </c>
      <c r="B24" s="4">
        <f>B23-D16</f>
        <v>3.4279658522770691E-3</v>
      </c>
      <c r="D24" s="3"/>
    </row>
    <row r="25" spans="1:4" x14ac:dyDescent="0.25">
      <c r="A25" s="1"/>
      <c r="B25" s="4"/>
      <c r="D25" s="3"/>
    </row>
    <row r="26" spans="1:4" x14ac:dyDescent="0.25">
      <c r="A26" s="1" t="s">
        <v>26</v>
      </c>
      <c r="B26" s="4">
        <f>C6-D10+D20</f>
        <v>3.4279658522770691E-3</v>
      </c>
      <c r="D26" s="4"/>
    </row>
    <row r="27" spans="1:4" x14ac:dyDescent="0.25">
      <c r="D27" s="4"/>
    </row>
    <row r="28" spans="1:4" x14ac:dyDescent="0.25">
      <c r="B28" s="4"/>
      <c r="D28" s="10"/>
    </row>
    <row r="29" spans="1:4" x14ac:dyDescent="0.25">
      <c r="B29" s="3"/>
      <c r="C29" s="3"/>
      <c r="D29" s="10"/>
    </row>
    <row r="30" spans="1:4" x14ac:dyDescent="0.25">
      <c r="B30" s="3"/>
      <c r="C30" s="3"/>
    </row>
    <row r="31" spans="1:4" x14ac:dyDescent="0.25">
      <c r="B31" s="3"/>
      <c r="C31" s="3"/>
    </row>
    <row r="33" spans="1:3" x14ac:dyDescent="0.25">
      <c r="B33" s="4"/>
      <c r="C33" s="4"/>
    </row>
    <row r="34" spans="1:3" x14ac:dyDescent="0.25">
      <c r="A34" s="1"/>
      <c r="B34" s="8"/>
      <c r="C34" s="8"/>
    </row>
    <row r="35" spans="1:3" x14ac:dyDescent="0.25">
      <c r="B35" s="4"/>
      <c r="C35" s="4"/>
    </row>
    <row r="37" spans="1:3" x14ac:dyDescent="0.25">
      <c r="A37" s="1"/>
    </row>
    <row r="38" spans="1:3" x14ac:dyDescent="0.25">
      <c r="A38" s="13"/>
      <c r="B38" s="11"/>
      <c r="C38" s="11"/>
    </row>
    <row r="39" spans="1:3" x14ac:dyDescent="0.25">
      <c r="A39" s="12"/>
      <c r="B39" s="11"/>
      <c r="C39" s="11"/>
    </row>
    <row r="40" spans="1:3" x14ac:dyDescent="0.25">
      <c r="A40" s="12"/>
      <c r="B40" s="11"/>
      <c r="C40" s="11"/>
    </row>
    <row r="41" spans="1:3" x14ac:dyDescent="0.25">
      <c r="A41" s="12"/>
      <c r="B41" s="11"/>
      <c r="C41" s="11"/>
    </row>
    <row r="42" spans="1:3" x14ac:dyDescent="0.25">
      <c r="A42" s="12"/>
      <c r="B42" s="11"/>
      <c r="C42" s="11"/>
    </row>
    <row r="43" spans="1:3" x14ac:dyDescent="0.25">
      <c r="A43" s="12"/>
      <c r="B43" s="11"/>
      <c r="C43" s="11"/>
    </row>
    <row r="49" spans="2:3" x14ac:dyDescent="0.25">
      <c r="B49" s="2"/>
      <c r="C49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0C80A-B9F0-42B2-B14F-324E5B39F7D5}">
  <dimension ref="A1:G48"/>
  <sheetViews>
    <sheetView zoomScale="145" zoomScaleNormal="145" workbookViewId="0"/>
  </sheetViews>
  <sheetFormatPr defaultRowHeight="15" x14ac:dyDescent="0.25"/>
  <cols>
    <col min="1" max="1" width="38.42578125" customWidth="1"/>
    <col min="2" max="2" width="13.7109375" customWidth="1"/>
    <col min="3" max="3" width="16.85546875" customWidth="1"/>
    <col min="4" max="4" width="13.7109375" customWidth="1"/>
    <col min="6" max="6" width="34.42578125" customWidth="1"/>
  </cols>
  <sheetData>
    <row r="1" spans="1:7" x14ac:dyDescent="0.25">
      <c r="A1" s="6" t="s">
        <v>9</v>
      </c>
      <c r="B1" s="6"/>
      <c r="C1" s="6"/>
      <c r="D1" s="7"/>
      <c r="F1" s="1" t="s">
        <v>4</v>
      </c>
    </row>
    <row r="3" spans="1:7" x14ac:dyDescent="0.25">
      <c r="B3" s="1">
        <v>2020</v>
      </c>
      <c r="C3" s="1">
        <v>2021</v>
      </c>
      <c r="D3" s="1" t="s">
        <v>8</v>
      </c>
      <c r="F3" t="s">
        <v>5</v>
      </c>
    </row>
    <row r="4" spans="1:7" x14ac:dyDescent="0.25">
      <c r="A4" t="s">
        <v>1</v>
      </c>
      <c r="B4" s="5">
        <v>355298485</v>
      </c>
      <c r="C4" s="5">
        <v>1570143136</v>
      </c>
      <c r="D4" s="1"/>
      <c r="F4" t="s">
        <v>11</v>
      </c>
    </row>
    <row r="5" spans="1:7" x14ac:dyDescent="0.25">
      <c r="A5" t="s">
        <v>14</v>
      </c>
      <c r="B5" s="5">
        <v>317911</v>
      </c>
      <c r="C5" s="5">
        <v>2181290</v>
      </c>
      <c r="D5" s="1"/>
    </row>
    <row r="6" spans="1:7" x14ac:dyDescent="0.25">
      <c r="A6" t="s">
        <v>2</v>
      </c>
      <c r="B6" s="4">
        <f>0.25%*F8</f>
        <v>2.3360655737704921E-3</v>
      </c>
      <c r="C6" s="4">
        <v>2.5000000000000001E-3</v>
      </c>
      <c r="D6" s="4">
        <f>AVERAGE(B6:C6)</f>
        <v>2.4180327868852458E-3</v>
      </c>
      <c r="F6" s="1" t="s">
        <v>22</v>
      </c>
    </row>
    <row r="7" spans="1:7" x14ac:dyDescent="0.25">
      <c r="A7" t="s">
        <v>3</v>
      </c>
      <c r="B7" s="5">
        <f>B5/B6</f>
        <v>136088217.54385963</v>
      </c>
      <c r="C7" s="5">
        <f>C5/C6</f>
        <v>872516000</v>
      </c>
      <c r="D7" s="4"/>
      <c r="F7" t="s">
        <v>23</v>
      </c>
    </row>
    <row r="8" spans="1:7" x14ac:dyDescent="0.25">
      <c r="B8" s="5"/>
      <c r="C8" s="5"/>
      <c r="D8" s="4"/>
      <c r="F8" s="17">
        <f>342/366</f>
        <v>0.93442622950819676</v>
      </c>
      <c r="G8" t="s">
        <v>24</v>
      </c>
    </row>
    <row r="9" spans="1:7" x14ac:dyDescent="0.25">
      <c r="A9" t="s">
        <v>13</v>
      </c>
      <c r="B9" s="5">
        <v>7410</v>
      </c>
      <c r="C9" s="5">
        <v>92091</v>
      </c>
      <c r="D9" s="4"/>
    </row>
    <row r="10" spans="1:7" x14ac:dyDescent="0.25">
      <c r="A10" t="s">
        <v>15</v>
      </c>
      <c r="B10" s="2">
        <f>(B9/B7)/F8</f>
        <v>5.8271025538594139E-5</v>
      </c>
      <c r="C10" s="2">
        <f>C9/C7</f>
        <v>1.0554648854576879E-4</v>
      </c>
      <c r="D10" s="18">
        <f>AVERAGE(B10:C10)</f>
        <v>8.1908757042181468E-5</v>
      </c>
    </row>
    <row r="11" spans="1:7" x14ac:dyDescent="0.25">
      <c r="D11" s="4"/>
    </row>
    <row r="12" spans="1:7" x14ac:dyDescent="0.25">
      <c r="A12" t="s">
        <v>0</v>
      </c>
      <c r="B12" s="5">
        <v>2685568</v>
      </c>
      <c r="C12" s="5">
        <v>17083897</v>
      </c>
      <c r="D12" s="4"/>
    </row>
    <row r="13" spans="1:7" x14ac:dyDescent="0.25">
      <c r="A13" t="s">
        <v>6</v>
      </c>
      <c r="B13" s="5">
        <v>4931</v>
      </c>
      <c r="C13" s="5">
        <v>21826</v>
      </c>
      <c r="D13" s="4"/>
    </row>
    <row r="14" spans="1:7" x14ac:dyDescent="0.25">
      <c r="A14" t="s">
        <v>7</v>
      </c>
      <c r="B14" s="9">
        <f t="shared" ref="B14:C14" si="0">B13/(B12+B13)</f>
        <v>1.8327455241574147E-3</v>
      </c>
      <c r="C14" s="9">
        <f t="shared" si="0"/>
        <v>1.2759472370738145E-3</v>
      </c>
      <c r="D14" s="4"/>
    </row>
    <row r="15" spans="1:7" x14ac:dyDescent="0.25">
      <c r="A15" t="s">
        <v>16</v>
      </c>
      <c r="B15" s="9">
        <f>((B12+B13)/B7)/F8</f>
        <v>2.1157643176863965E-2</v>
      </c>
      <c r="C15" s="9">
        <f>(C12+C13)/C7</f>
        <v>1.9605053660907076E-2</v>
      </c>
      <c r="D15" s="4"/>
    </row>
    <row r="16" spans="1:7" x14ac:dyDescent="0.25">
      <c r="A16" t="s">
        <v>17</v>
      </c>
      <c r="B16" s="9">
        <f>(B13/B7)/F8</f>
        <v>3.87765758341171E-5</v>
      </c>
      <c r="C16" s="9">
        <f>C13/C7</f>
        <v>2.5015014051318255E-5</v>
      </c>
      <c r="D16" s="18">
        <f>AVERAGE(B16:C16)</f>
        <v>3.1895794942717676E-5</v>
      </c>
    </row>
    <row r="17" spans="1:4" x14ac:dyDescent="0.25">
      <c r="B17" s="9"/>
      <c r="C17" s="9"/>
      <c r="D17" s="4"/>
    </row>
    <row r="18" spans="1:4" x14ac:dyDescent="0.25">
      <c r="A18" s="12" t="s">
        <v>12</v>
      </c>
      <c r="B18" s="14">
        <v>0.2</v>
      </c>
      <c r="C18" s="14">
        <v>0.22</v>
      </c>
      <c r="D18" s="14">
        <f>AVERAGE(B18:C18)</f>
        <v>0.21000000000000002</v>
      </c>
    </row>
    <row r="19" spans="1:4" x14ac:dyDescent="0.25">
      <c r="A19" s="12" t="s">
        <v>27</v>
      </c>
      <c r="B19" s="5">
        <f>28342</f>
        <v>28342</v>
      </c>
      <c r="C19" s="5">
        <f>146918</f>
        <v>146918</v>
      </c>
      <c r="D19" s="4"/>
    </row>
    <row r="20" spans="1:4" x14ac:dyDescent="0.25">
      <c r="A20" s="12" t="s">
        <v>28</v>
      </c>
      <c r="B20" s="4">
        <f>(B19/B7)/F8</f>
        <v>2.2287684288999123E-4</v>
      </c>
      <c r="C20" s="3">
        <f>C19/C7</f>
        <v>1.6838430470042957E-4</v>
      </c>
      <c r="D20" s="3">
        <f>AVERAGE(B20:C20)</f>
        <v>1.956305737952104E-4</v>
      </c>
    </row>
    <row r="21" spans="1:4" x14ac:dyDescent="0.25">
      <c r="D21" s="3"/>
    </row>
    <row r="22" spans="1:4" x14ac:dyDescent="0.25">
      <c r="A22" s="1" t="s">
        <v>18</v>
      </c>
      <c r="B22" s="2">
        <f>C6-D10+D16+D20</f>
        <v>2.6456176116957469E-3</v>
      </c>
      <c r="C22" s="5"/>
      <c r="D22" s="4"/>
    </row>
    <row r="23" spans="1:4" x14ac:dyDescent="0.25">
      <c r="A23" s="1" t="s">
        <v>25</v>
      </c>
      <c r="B23" s="4">
        <f>B22-D16</f>
        <v>2.6137218167530292E-3</v>
      </c>
      <c r="D23" s="4"/>
    </row>
    <row r="24" spans="1:4" x14ac:dyDescent="0.25">
      <c r="A24" s="1"/>
      <c r="B24" s="4"/>
      <c r="D24" s="4"/>
    </row>
    <row r="25" spans="1:4" x14ac:dyDescent="0.25">
      <c r="A25" s="1" t="s">
        <v>26</v>
      </c>
      <c r="B25" s="3">
        <f>C6-D10+D20</f>
        <v>2.6137218167530292E-3</v>
      </c>
      <c r="D25" s="10"/>
    </row>
    <row r="26" spans="1:4" x14ac:dyDescent="0.25">
      <c r="D26" s="10"/>
    </row>
    <row r="28" spans="1:4" x14ac:dyDescent="0.25">
      <c r="B28" s="3"/>
      <c r="C28" s="3"/>
    </row>
    <row r="29" spans="1:4" x14ac:dyDescent="0.25">
      <c r="B29" s="3"/>
      <c r="C29" s="3"/>
    </row>
    <row r="30" spans="1:4" x14ac:dyDescent="0.25">
      <c r="B30" s="3"/>
      <c r="C30" s="3"/>
    </row>
    <row r="32" spans="1:4" x14ac:dyDescent="0.25">
      <c r="B32" s="4"/>
      <c r="C32" s="4"/>
    </row>
    <row r="33" spans="1:3" x14ac:dyDescent="0.25">
      <c r="A33" s="1"/>
      <c r="B33" s="8"/>
      <c r="C33" s="8"/>
    </row>
    <row r="34" spans="1:3" x14ac:dyDescent="0.25">
      <c r="B34" s="4"/>
      <c r="C34" s="4"/>
    </row>
    <row r="36" spans="1:3" x14ac:dyDescent="0.25">
      <c r="A36" s="1"/>
    </row>
    <row r="37" spans="1:3" x14ac:dyDescent="0.25">
      <c r="A37" s="13"/>
      <c r="B37" s="11"/>
      <c r="C37" s="11"/>
    </row>
    <row r="38" spans="1:3" x14ac:dyDescent="0.25">
      <c r="A38" s="12"/>
      <c r="B38" s="11"/>
      <c r="C38" s="11"/>
    </row>
    <row r="39" spans="1:3" x14ac:dyDescent="0.25">
      <c r="A39" s="12"/>
      <c r="B39" s="11"/>
      <c r="C39" s="11"/>
    </row>
    <row r="40" spans="1:3" x14ac:dyDescent="0.25">
      <c r="A40" s="12"/>
      <c r="B40" s="11"/>
      <c r="C40" s="11"/>
    </row>
    <row r="41" spans="1:3" x14ac:dyDescent="0.25">
      <c r="A41" s="12"/>
      <c r="B41" s="11"/>
      <c r="C41" s="11"/>
    </row>
    <row r="42" spans="1:3" x14ac:dyDescent="0.25">
      <c r="A42" s="12"/>
      <c r="B42" s="11"/>
      <c r="C42" s="11"/>
    </row>
    <row r="48" spans="1:3" x14ac:dyDescent="0.25">
      <c r="B48" s="2"/>
      <c r="C48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8ED46-EEA8-4CD3-B87C-CF32F0FABA87}">
  <dimension ref="A1:G28"/>
  <sheetViews>
    <sheetView zoomScale="145" zoomScaleNormal="145" workbookViewId="0">
      <selection activeCell="A32" sqref="A32"/>
    </sheetView>
  </sheetViews>
  <sheetFormatPr defaultRowHeight="15" x14ac:dyDescent="0.25"/>
  <cols>
    <col min="1" max="1" width="38.42578125" customWidth="1"/>
    <col min="2" max="2" width="13.7109375" customWidth="1"/>
    <col min="3" max="3" width="16.7109375" customWidth="1"/>
    <col min="4" max="4" width="13.7109375" customWidth="1"/>
    <col min="6" max="6" width="34.42578125" customWidth="1"/>
  </cols>
  <sheetData>
    <row r="1" spans="1:7" x14ac:dyDescent="0.25">
      <c r="A1" s="6" t="s">
        <v>10</v>
      </c>
      <c r="B1" s="6"/>
      <c r="C1" s="6"/>
      <c r="D1" s="7"/>
      <c r="F1" s="1" t="s">
        <v>4</v>
      </c>
    </row>
    <row r="3" spans="1:7" x14ac:dyDescent="0.25">
      <c r="B3" s="1">
        <v>2020</v>
      </c>
      <c r="C3" s="1">
        <v>2021</v>
      </c>
      <c r="D3" s="1" t="s">
        <v>8</v>
      </c>
      <c r="F3" t="s">
        <v>5</v>
      </c>
    </row>
    <row r="4" spans="1:7" x14ac:dyDescent="0.25">
      <c r="A4" t="s">
        <v>1</v>
      </c>
      <c r="B4" s="5">
        <v>274824683</v>
      </c>
      <c r="C4" s="5">
        <v>1056702827</v>
      </c>
      <c r="D4" s="1"/>
      <c r="F4" t="s">
        <v>11</v>
      </c>
    </row>
    <row r="5" spans="1:7" x14ac:dyDescent="0.25">
      <c r="A5" t="s">
        <v>14</v>
      </c>
      <c r="B5" s="5">
        <v>292899</v>
      </c>
      <c r="C5" s="5">
        <v>2087838</v>
      </c>
      <c r="D5" s="1"/>
    </row>
    <row r="6" spans="1:7" x14ac:dyDescent="0.25">
      <c r="A6" t="s">
        <v>2</v>
      </c>
      <c r="B6" s="4">
        <f>0.36%*F8</f>
        <v>3.3639344262295081E-3</v>
      </c>
      <c r="C6" s="4">
        <v>3.5999999999999999E-3</v>
      </c>
      <c r="D6" s="4">
        <f>AVERAGE(B6:C6)</f>
        <v>3.481967213114754E-3</v>
      </c>
      <c r="F6" s="1" t="s">
        <v>22</v>
      </c>
    </row>
    <row r="7" spans="1:7" x14ac:dyDescent="0.25">
      <c r="A7" t="s">
        <v>3</v>
      </c>
      <c r="B7" s="5">
        <f>B5/B6</f>
        <v>87070365.49707602</v>
      </c>
      <c r="C7" s="5">
        <f>C5/C6</f>
        <v>579955000</v>
      </c>
      <c r="D7" s="4"/>
      <c r="F7" t="s">
        <v>23</v>
      </c>
    </row>
    <row r="8" spans="1:7" x14ac:dyDescent="0.25">
      <c r="B8" s="5"/>
      <c r="C8" s="5"/>
      <c r="D8" s="4"/>
      <c r="F8" s="17">
        <f>342/366</f>
        <v>0.93442622950819676</v>
      </c>
      <c r="G8" t="s">
        <v>24</v>
      </c>
    </row>
    <row r="9" spans="1:7" x14ac:dyDescent="0.25">
      <c r="A9" t="s">
        <v>13</v>
      </c>
      <c r="B9" s="5">
        <v>25648</v>
      </c>
      <c r="C9" s="5">
        <v>349475</v>
      </c>
      <c r="D9" s="4"/>
    </row>
    <row r="10" spans="1:7" x14ac:dyDescent="0.25">
      <c r="A10" t="s">
        <v>15</v>
      </c>
      <c r="B10" s="16">
        <f>(B9/B7)/F8</f>
        <v>3.1523767578585111E-4</v>
      </c>
      <c r="C10" s="16">
        <f>C9/C7</f>
        <v>6.0258985610952577E-4</v>
      </c>
      <c r="D10" s="3">
        <f>AVERAGE(B10:C10)</f>
        <v>4.5891376594768844E-4</v>
      </c>
    </row>
    <row r="11" spans="1:7" x14ac:dyDescent="0.25">
      <c r="D11" s="4"/>
    </row>
    <row r="12" spans="1:7" x14ac:dyDescent="0.25">
      <c r="A12" t="s">
        <v>0</v>
      </c>
      <c r="B12" s="5">
        <v>2054134</v>
      </c>
      <c r="C12" s="5">
        <v>15495150</v>
      </c>
      <c r="D12" s="4"/>
    </row>
    <row r="13" spans="1:7" x14ac:dyDescent="0.25">
      <c r="A13" t="s">
        <v>6</v>
      </c>
      <c r="B13" s="5">
        <v>213731</v>
      </c>
      <c r="C13" s="5">
        <f>1431156</f>
        <v>1431156</v>
      </c>
      <c r="D13" s="4"/>
    </row>
    <row r="14" spans="1:7" x14ac:dyDescent="0.25">
      <c r="A14" t="s">
        <v>7</v>
      </c>
      <c r="B14" s="9">
        <f t="shared" ref="B14:C14" si="0">B13/(B12+B13)</f>
        <v>9.4243264039085214E-2</v>
      </c>
      <c r="C14" s="9">
        <f t="shared" si="0"/>
        <v>8.4552175767116586E-2</v>
      </c>
      <c r="D14" s="4"/>
    </row>
    <row r="15" spans="1:7" x14ac:dyDescent="0.25">
      <c r="A15" t="s">
        <v>16</v>
      </c>
      <c r="B15" s="9">
        <f>((B12+B13)/B7)/F8</f>
        <v>2.7874161400346192E-2</v>
      </c>
      <c r="C15" s="9">
        <f>(C12+C13)/C7</f>
        <v>2.918555060306403E-2</v>
      </c>
      <c r="D15" s="4"/>
    </row>
    <row r="16" spans="1:7" x14ac:dyDescent="0.25">
      <c r="A16" t="s">
        <v>17</v>
      </c>
      <c r="B16" s="10">
        <f>(B13/B7)/F8</f>
        <v>2.6269519527209037E-3</v>
      </c>
      <c r="C16" s="10">
        <f>C13/C7</f>
        <v>2.4677018044503454E-3</v>
      </c>
      <c r="D16" s="4">
        <f>AVERAGE(B16:C16)</f>
        <v>2.5473268785856243E-3</v>
      </c>
    </row>
    <row r="17" spans="1:4" x14ac:dyDescent="0.25">
      <c r="A17" s="12"/>
      <c r="B17" s="11"/>
      <c r="C17" s="11"/>
    </row>
    <row r="18" spans="1:4" x14ac:dyDescent="0.25">
      <c r="A18" s="12" t="s">
        <v>12</v>
      </c>
      <c r="B18" s="14">
        <v>0.32</v>
      </c>
      <c r="C18" s="15">
        <v>0.21</v>
      </c>
      <c r="D18" s="14">
        <f>AVERAGE(B18:C18)</f>
        <v>0.26500000000000001</v>
      </c>
    </row>
    <row r="19" spans="1:4" x14ac:dyDescent="0.25">
      <c r="A19" s="12" t="s">
        <v>27</v>
      </c>
      <c r="B19" s="5">
        <v>28160</v>
      </c>
      <c r="C19" s="5">
        <v>119063</v>
      </c>
      <c r="D19" s="14"/>
    </row>
    <row r="20" spans="1:4" x14ac:dyDescent="0.25">
      <c r="A20" s="12" t="s">
        <v>28</v>
      </c>
      <c r="B20" s="3">
        <f>(B19/B7)/F8</f>
        <v>3.4611248245982403E-4</v>
      </c>
      <c r="C20" s="3">
        <f>C19/C7</f>
        <v>2.0529696269538155E-4</v>
      </c>
      <c r="D20" s="3">
        <f>AVERAGE(B20:C20)</f>
        <v>2.7570472257760277E-4</v>
      </c>
    </row>
    <row r="21" spans="1:4" x14ac:dyDescent="0.25">
      <c r="A21" s="12"/>
      <c r="B21" s="11"/>
      <c r="C21" s="11"/>
    </row>
    <row r="22" spans="1:4" x14ac:dyDescent="0.25">
      <c r="A22" s="1" t="s">
        <v>18</v>
      </c>
      <c r="B22" s="3">
        <f>C6-D10+D16+D20</f>
        <v>5.9641178352155379E-3</v>
      </c>
    </row>
    <row r="23" spans="1:4" x14ac:dyDescent="0.25">
      <c r="A23" s="1" t="s">
        <v>25</v>
      </c>
      <c r="B23" s="4">
        <f>B22-D16</f>
        <v>3.4167909566299136E-3</v>
      </c>
    </row>
    <row r="24" spans="1:4" x14ac:dyDescent="0.25">
      <c r="A24" s="1"/>
      <c r="B24" s="4"/>
    </row>
    <row r="25" spans="1:4" x14ac:dyDescent="0.25">
      <c r="A25" s="1" t="s">
        <v>26</v>
      </c>
      <c r="B25" s="4">
        <f>C6-D10+D20</f>
        <v>3.416790956629914E-3</v>
      </c>
    </row>
    <row r="28" spans="1:4" x14ac:dyDescent="0.25">
      <c r="B28" s="2"/>
      <c r="C28" s="2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5</vt:i4>
      </vt:variant>
    </vt:vector>
  </HeadingPairs>
  <TitlesOfParts>
    <vt:vector size="5" baseType="lpstr">
      <vt:lpstr>AVUS</vt:lpstr>
      <vt:lpstr>AVDE</vt:lpstr>
      <vt:lpstr>AVEM</vt:lpstr>
      <vt:lpstr>AVUV</vt:lpstr>
      <vt:lpstr>AVDV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Gerben</dc:creator>
  <cp:lastModifiedBy>Gerben van Loon</cp:lastModifiedBy>
  <dcterms:created xsi:type="dcterms:W3CDTF">2015-06-05T18:19:34Z</dcterms:created>
  <dcterms:modified xsi:type="dcterms:W3CDTF">2022-06-09T07:29:01Z</dcterms:modified>
</cp:coreProperties>
</file>