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995" windowHeight="7935" firstSheet="2" activeTab="3"/>
  </bookViews>
  <sheets>
    <sheet name="P31P1200000 16.8.12" sheetId="16" r:id="rId1"/>
    <sheet name="P31P1200000 20.8.12tela cruda" sheetId="17" r:id="rId2"/>
    <sheet name="P31P1200000 12.10.12 x rev cons" sheetId="18" r:id="rId3"/>
    <sheet name="P31P1200000 16.10.12xlav de tel" sheetId="19" r:id="rId4"/>
    <sheet name="P31P1200000 22.10.12 ACT DE RUT" sheetId="20" r:id="rId5"/>
  </sheets>
  <calcPr calcId="144525"/>
</workbook>
</file>

<file path=xl/calcChain.xml><?xml version="1.0" encoding="utf-8"?>
<calcChain xmlns="http://schemas.openxmlformats.org/spreadsheetml/2006/main">
  <c r="G132" i="19" l="1"/>
  <c r="G131" i="19"/>
  <c r="C131" i="19"/>
  <c r="C130" i="19"/>
  <c r="C125" i="19"/>
  <c r="C124" i="19"/>
  <c r="C122" i="19"/>
  <c r="C120" i="19"/>
  <c r="C123" i="19"/>
  <c r="C81" i="20"/>
  <c r="C82" i="20"/>
  <c r="C83" i="20"/>
  <c r="C84" i="20"/>
  <c r="C85" i="20"/>
  <c r="C86" i="20"/>
  <c r="C87" i="20"/>
  <c r="C88" i="20"/>
  <c r="C89" i="20"/>
  <c r="C90" i="20"/>
  <c r="C91" i="20"/>
  <c r="C80" i="20"/>
  <c r="C82" i="19"/>
  <c r="C83" i="19"/>
  <c r="C84" i="19"/>
  <c r="C85" i="19"/>
  <c r="C86" i="19"/>
  <c r="C87" i="19"/>
  <c r="C88" i="19"/>
  <c r="C89" i="19"/>
  <c r="C90" i="19"/>
  <c r="C91" i="19"/>
  <c r="C92" i="19"/>
  <c r="C81" i="19"/>
  <c r="A62" i="20" l="1"/>
  <c r="A61" i="20"/>
  <c r="A60" i="20"/>
  <c r="A63" i="20"/>
  <c r="B60" i="20"/>
  <c r="L85" i="19"/>
  <c r="L84" i="20"/>
  <c r="H41" i="20"/>
  <c r="E42" i="20"/>
  <c r="C127" i="20"/>
  <c r="I126" i="20"/>
  <c r="C125" i="20"/>
  <c r="C114" i="20"/>
  <c r="H111" i="20"/>
  <c r="H110" i="20"/>
  <c r="E109" i="20"/>
  <c r="H109" i="20" s="1"/>
  <c r="H108" i="20"/>
  <c r="H107" i="20"/>
  <c r="E104" i="20"/>
  <c r="H104" i="20" s="1"/>
  <c r="H103" i="20"/>
  <c r="E102" i="20"/>
  <c r="H102" i="20" s="1"/>
  <c r="H97" i="20"/>
  <c r="H96" i="20"/>
  <c r="H98" i="20" s="1"/>
  <c r="I91" i="20"/>
  <c r="J91" i="20" s="1"/>
  <c r="G90" i="20"/>
  <c r="G87" i="20"/>
  <c r="J87" i="20" s="1"/>
  <c r="J86" i="20"/>
  <c r="G85" i="20"/>
  <c r="J85" i="20" s="1"/>
  <c r="J84" i="20"/>
  <c r="M84" i="20" s="1"/>
  <c r="G83" i="20"/>
  <c r="J83" i="20" s="1"/>
  <c r="G82" i="20"/>
  <c r="J82" i="20" s="1"/>
  <c r="G81" i="20"/>
  <c r="J81" i="20" s="1"/>
  <c r="J80" i="20"/>
  <c r="B59" i="20"/>
  <c r="A59" i="20"/>
  <c r="A52" i="20"/>
  <c r="J51" i="20"/>
  <c r="H51" i="20"/>
  <c r="A51" i="20"/>
  <c r="A50" i="20"/>
  <c r="E45" i="20"/>
  <c r="H49" i="20" s="1"/>
  <c r="G44" i="20"/>
  <c r="J44" i="20" s="1"/>
  <c r="C44" i="20"/>
  <c r="G105" i="20" s="1"/>
  <c r="H105" i="20" s="1"/>
  <c r="E44" i="20"/>
  <c r="B38" i="20"/>
  <c r="B37" i="20"/>
  <c r="B36" i="20"/>
  <c r="B35" i="20"/>
  <c r="B34" i="20"/>
  <c r="A33" i="20"/>
  <c r="B33" i="20"/>
  <c r="H33" i="20" s="1"/>
  <c r="C33" i="20" s="1"/>
  <c r="B32" i="20"/>
  <c r="H32" i="20"/>
  <c r="C32" i="20" s="1"/>
  <c r="A31" i="20"/>
  <c r="B31" i="20" s="1"/>
  <c r="H31" i="20" s="1"/>
  <c r="C31" i="20" s="1"/>
  <c r="A30" i="20"/>
  <c r="B30" i="20" s="1"/>
  <c r="A29" i="20"/>
  <c r="B29" i="20" s="1"/>
  <c r="L28" i="20"/>
  <c r="K28" i="20"/>
  <c r="J28" i="20"/>
  <c r="I28" i="20"/>
  <c r="H28" i="20"/>
  <c r="G28" i="20"/>
  <c r="F28" i="20"/>
  <c r="E28" i="20"/>
  <c r="B25" i="20"/>
  <c r="B24" i="20"/>
  <c r="B23" i="20"/>
  <c r="B22" i="20"/>
  <c r="B21" i="20"/>
  <c r="C20" i="20"/>
  <c r="B20" i="20"/>
  <c r="C19" i="20"/>
  <c r="B19" i="20"/>
  <c r="C18" i="20"/>
  <c r="B18" i="20"/>
  <c r="B17" i="20"/>
  <c r="H16" i="20"/>
  <c r="C16" i="20" s="1"/>
  <c r="B16" i="20"/>
  <c r="F11" i="20"/>
  <c r="I90" i="20" s="1"/>
  <c r="J90" i="20" s="1"/>
  <c r="B60" i="19"/>
  <c r="B59" i="19"/>
  <c r="B59" i="17"/>
  <c r="E42" i="19"/>
  <c r="I124" i="19"/>
  <c r="C113" i="19"/>
  <c r="H110" i="19"/>
  <c r="H109" i="19"/>
  <c r="E108" i="19"/>
  <c r="H108" i="19" s="1"/>
  <c r="H107" i="19"/>
  <c r="H106" i="19"/>
  <c r="E103" i="19"/>
  <c r="H103" i="19"/>
  <c r="H102" i="19"/>
  <c r="H101" i="19"/>
  <c r="E101" i="19"/>
  <c r="H97" i="19"/>
  <c r="H96" i="19"/>
  <c r="H98" i="19"/>
  <c r="I92" i="19"/>
  <c r="J92" i="19"/>
  <c r="G91" i="19"/>
  <c r="J88" i="19"/>
  <c r="G88" i="19"/>
  <c r="J87" i="19"/>
  <c r="G86" i="19"/>
  <c r="J86" i="19"/>
  <c r="J85" i="19"/>
  <c r="M85" i="19"/>
  <c r="G84" i="19"/>
  <c r="J84" i="19"/>
  <c r="G83" i="19"/>
  <c r="J83" i="19" s="1"/>
  <c r="G82" i="19"/>
  <c r="J82" i="19"/>
  <c r="J81" i="19"/>
  <c r="A63" i="19"/>
  <c r="A62" i="19"/>
  <c r="A61" i="19"/>
  <c r="A60" i="19"/>
  <c r="A59" i="19"/>
  <c r="A52" i="19"/>
  <c r="J51" i="19"/>
  <c r="H51" i="19"/>
  <c r="A51" i="19"/>
  <c r="A50" i="19"/>
  <c r="E45" i="19"/>
  <c r="H49" i="19" s="1"/>
  <c r="G44" i="19"/>
  <c r="J44" i="19" s="1"/>
  <c r="C44" i="19"/>
  <c r="G104" i="19" s="1"/>
  <c r="H104" i="19" s="1"/>
  <c r="E44" i="19"/>
  <c r="H41" i="19"/>
  <c r="B38" i="19"/>
  <c r="B37" i="19"/>
  <c r="B36" i="19"/>
  <c r="B35" i="19"/>
  <c r="B34" i="19"/>
  <c r="A33" i="19"/>
  <c r="B33" i="19" s="1"/>
  <c r="H33" i="19" s="1"/>
  <c r="C33" i="19" s="1"/>
  <c r="B32" i="19"/>
  <c r="H32" i="19" s="1"/>
  <c r="C32" i="19" s="1"/>
  <c r="A31" i="19"/>
  <c r="B31" i="19" s="1"/>
  <c r="H31" i="19" s="1"/>
  <c r="C31" i="19" s="1"/>
  <c r="A30" i="19"/>
  <c r="B30" i="19"/>
  <c r="A29" i="19"/>
  <c r="B29" i="19" s="1"/>
  <c r="H29" i="19" s="1"/>
  <c r="L28" i="19"/>
  <c r="K28" i="19"/>
  <c r="J28" i="19"/>
  <c r="I28" i="19"/>
  <c r="H28" i="19"/>
  <c r="G28" i="19"/>
  <c r="F28" i="19"/>
  <c r="E28" i="19"/>
  <c r="B25" i="19"/>
  <c r="B24" i="19"/>
  <c r="B23" i="19"/>
  <c r="B22" i="19"/>
  <c r="B21" i="19"/>
  <c r="C20" i="19"/>
  <c r="B20" i="19"/>
  <c r="C19" i="19"/>
  <c r="B19" i="19"/>
  <c r="C18" i="19"/>
  <c r="B18" i="19"/>
  <c r="B17" i="19"/>
  <c r="H16" i="19"/>
  <c r="C16" i="19"/>
  <c r="B16" i="19"/>
  <c r="F11" i="19"/>
  <c r="I91" i="19"/>
  <c r="J91" i="19" s="1"/>
  <c r="H41" i="18"/>
  <c r="E42" i="18"/>
  <c r="C125" i="18"/>
  <c r="I124" i="18"/>
  <c r="C123" i="18"/>
  <c r="C113" i="18"/>
  <c r="H110" i="18"/>
  <c r="H109" i="18"/>
  <c r="E108" i="18"/>
  <c r="H108" i="18" s="1"/>
  <c r="H107" i="18"/>
  <c r="H106" i="18"/>
  <c r="E103" i="18"/>
  <c r="H103" i="18"/>
  <c r="H102" i="18"/>
  <c r="H101" i="18"/>
  <c r="E101" i="18"/>
  <c r="H97" i="18"/>
  <c r="H96" i="18"/>
  <c r="H98" i="18"/>
  <c r="I92" i="18"/>
  <c r="J92" i="18"/>
  <c r="G91" i="18"/>
  <c r="J88" i="18"/>
  <c r="G88" i="18"/>
  <c r="J87" i="18"/>
  <c r="G86" i="18"/>
  <c r="J86" i="18"/>
  <c r="J85" i="18"/>
  <c r="M85" i="18" s="1"/>
  <c r="G84" i="18"/>
  <c r="J84" i="18" s="1"/>
  <c r="J83" i="18"/>
  <c r="G83" i="18"/>
  <c r="G82" i="18"/>
  <c r="J82" i="18" s="1"/>
  <c r="J81" i="18"/>
  <c r="A63" i="18"/>
  <c r="A62" i="18"/>
  <c r="A61" i="18"/>
  <c r="B60" i="18"/>
  <c r="A60" i="18"/>
  <c r="B59" i="18"/>
  <c r="A59" i="18"/>
  <c r="A52" i="18"/>
  <c r="H51" i="18"/>
  <c r="J51" i="18"/>
  <c r="A51" i="18"/>
  <c r="A50" i="18"/>
  <c r="E45" i="18"/>
  <c r="H49" i="18"/>
  <c r="E44" i="18"/>
  <c r="B38" i="18"/>
  <c r="B37" i="18"/>
  <c r="B36" i="18"/>
  <c r="B35" i="18"/>
  <c r="B34" i="18"/>
  <c r="A33" i="18"/>
  <c r="B33" i="18" s="1"/>
  <c r="H33" i="18" s="1"/>
  <c r="C33" i="18" s="1"/>
  <c r="B32" i="18"/>
  <c r="H32" i="18" s="1"/>
  <c r="C32" i="18" s="1"/>
  <c r="A31" i="18"/>
  <c r="B31" i="18" s="1"/>
  <c r="H31" i="18" s="1"/>
  <c r="C31" i="18" s="1"/>
  <c r="B30" i="18"/>
  <c r="A30" i="18"/>
  <c r="A29" i="18"/>
  <c r="B29" i="18" s="1"/>
  <c r="L28" i="18"/>
  <c r="K28" i="18"/>
  <c r="J28" i="18"/>
  <c r="I28" i="18"/>
  <c r="H28" i="18"/>
  <c r="G28" i="18"/>
  <c r="F28" i="18"/>
  <c r="E28" i="18"/>
  <c r="B25" i="18"/>
  <c r="B24" i="18"/>
  <c r="B23" i="18"/>
  <c r="B22" i="18"/>
  <c r="B21" i="18"/>
  <c r="C20" i="18"/>
  <c r="B20" i="18"/>
  <c r="C19" i="18"/>
  <c r="B19" i="18"/>
  <c r="C18" i="18"/>
  <c r="B18" i="18"/>
  <c r="B17" i="18"/>
  <c r="H16" i="18"/>
  <c r="H29" i="18" s="1"/>
  <c r="C16" i="18"/>
  <c r="B16" i="18"/>
  <c r="F11" i="18"/>
  <c r="I91" i="18" s="1"/>
  <c r="J91" i="18" s="1"/>
  <c r="B60" i="17"/>
  <c r="C125" i="17"/>
  <c r="I124" i="17"/>
  <c r="C123" i="17"/>
  <c r="C113" i="17"/>
  <c r="H110" i="17"/>
  <c r="H109" i="17"/>
  <c r="H108" i="17"/>
  <c r="E108" i="17"/>
  <c r="H107" i="17"/>
  <c r="H106" i="17"/>
  <c r="E103" i="17"/>
  <c r="H103" i="17" s="1"/>
  <c r="H102" i="17"/>
  <c r="E101" i="17"/>
  <c r="H101" i="17" s="1"/>
  <c r="H97" i="17"/>
  <c r="H96" i="17"/>
  <c r="H98" i="17" s="1"/>
  <c r="I92" i="17"/>
  <c r="J92" i="17" s="1"/>
  <c r="G91" i="17"/>
  <c r="G88" i="17"/>
  <c r="J88" i="17" s="1"/>
  <c r="J87" i="17"/>
  <c r="G86" i="17"/>
  <c r="J86" i="17"/>
  <c r="J85" i="17"/>
  <c r="M85" i="17" s="1"/>
  <c r="J84" i="17"/>
  <c r="G84" i="17"/>
  <c r="G83" i="17"/>
  <c r="J83" i="17" s="1"/>
  <c r="J82" i="17"/>
  <c r="G82" i="17"/>
  <c r="J81" i="17"/>
  <c r="A63" i="17"/>
  <c r="A62" i="17"/>
  <c r="A61" i="17"/>
  <c r="A60" i="17"/>
  <c r="A59" i="17"/>
  <c r="A52" i="17"/>
  <c r="H51" i="17"/>
  <c r="J51" i="17" s="1"/>
  <c r="A51" i="17"/>
  <c r="A50" i="17"/>
  <c r="E45" i="17"/>
  <c r="H49" i="17"/>
  <c r="E42" i="17"/>
  <c r="G44" i="17"/>
  <c r="J44" i="17" s="1"/>
  <c r="H41" i="17"/>
  <c r="B38" i="17"/>
  <c r="B37" i="17"/>
  <c r="B36" i="17"/>
  <c r="B35" i="17"/>
  <c r="B34" i="17"/>
  <c r="A33" i="17"/>
  <c r="B33" i="17" s="1"/>
  <c r="H33" i="17" s="1"/>
  <c r="C33" i="17" s="1"/>
  <c r="B32" i="17"/>
  <c r="H32" i="17" s="1"/>
  <c r="C32" i="17" s="1"/>
  <c r="A31" i="17"/>
  <c r="B31" i="17" s="1"/>
  <c r="H31" i="17" s="1"/>
  <c r="C31" i="17" s="1"/>
  <c r="B30" i="17"/>
  <c r="A30" i="17"/>
  <c r="A29" i="17"/>
  <c r="B29" i="17" s="1"/>
  <c r="H29" i="17" s="1"/>
  <c r="L28" i="17"/>
  <c r="K28" i="17"/>
  <c r="J28" i="17"/>
  <c r="I28" i="17"/>
  <c r="H28" i="17"/>
  <c r="G28" i="17"/>
  <c r="F28" i="17"/>
  <c r="E28" i="17"/>
  <c r="B25" i="17"/>
  <c r="B24" i="17"/>
  <c r="B23" i="17"/>
  <c r="B22" i="17"/>
  <c r="B21" i="17"/>
  <c r="C20" i="17"/>
  <c r="B20" i="17"/>
  <c r="C19" i="17"/>
  <c r="B19" i="17"/>
  <c r="C18" i="17"/>
  <c r="B18" i="17"/>
  <c r="B17" i="17"/>
  <c r="H16" i="17"/>
  <c r="C16" i="17" s="1"/>
  <c r="B16" i="17"/>
  <c r="F11" i="17"/>
  <c r="I91" i="17"/>
  <c r="J91" i="17" s="1"/>
  <c r="H17" i="16"/>
  <c r="H16" i="16"/>
  <c r="H26" i="16"/>
  <c r="E108" i="16"/>
  <c r="E103" i="16"/>
  <c r="G88" i="16"/>
  <c r="G84" i="16"/>
  <c r="G83" i="16"/>
  <c r="G82" i="16"/>
  <c r="B60" i="16"/>
  <c r="B59" i="16"/>
  <c r="H41" i="16"/>
  <c r="E42" i="16"/>
  <c r="E101" i="16"/>
  <c r="J85" i="16"/>
  <c r="E44" i="16"/>
  <c r="H101" i="16"/>
  <c r="G44" i="16"/>
  <c r="J44" i="16" s="1"/>
  <c r="C125" i="16"/>
  <c r="I124" i="16"/>
  <c r="C123" i="16"/>
  <c r="C113" i="16"/>
  <c r="H110" i="16"/>
  <c r="H109" i="16"/>
  <c r="H108" i="16"/>
  <c r="H107" i="16"/>
  <c r="H106" i="16"/>
  <c r="H103" i="16"/>
  <c r="H102" i="16"/>
  <c r="H97" i="16"/>
  <c r="H96" i="16"/>
  <c r="H98" i="16" s="1"/>
  <c r="I92" i="16"/>
  <c r="J92" i="16" s="1"/>
  <c r="G91" i="16"/>
  <c r="J88" i="16"/>
  <c r="J87" i="16"/>
  <c r="G86" i="16"/>
  <c r="J86" i="16"/>
  <c r="J84" i="16"/>
  <c r="J83" i="16"/>
  <c r="J82" i="16"/>
  <c r="J81" i="16"/>
  <c r="A63" i="16"/>
  <c r="A62" i="16"/>
  <c r="A61" i="16"/>
  <c r="A60" i="16"/>
  <c r="A59" i="16"/>
  <c r="A52" i="16"/>
  <c r="H51" i="16"/>
  <c r="J51" i="16"/>
  <c r="A51" i="16"/>
  <c r="A50" i="16"/>
  <c r="E45" i="16"/>
  <c r="H49" i="16"/>
  <c r="B38" i="16"/>
  <c r="B37" i="16"/>
  <c r="B36" i="16"/>
  <c r="B35" i="16"/>
  <c r="B34" i="16"/>
  <c r="A33" i="16"/>
  <c r="B33" i="16" s="1"/>
  <c r="H33" i="16" s="1"/>
  <c r="C33" i="16" s="1"/>
  <c r="B32" i="16"/>
  <c r="H32" i="16" s="1"/>
  <c r="C32" i="16" s="1"/>
  <c r="A31" i="16"/>
  <c r="B31" i="16"/>
  <c r="H31" i="16" s="1"/>
  <c r="C31" i="16" s="1"/>
  <c r="A30" i="16"/>
  <c r="B30" i="16"/>
  <c r="H30" i="16" s="1"/>
  <c r="C30" i="16" s="1"/>
  <c r="A29" i="16"/>
  <c r="B29" i="16"/>
  <c r="H29" i="16" s="1"/>
  <c r="L28" i="16"/>
  <c r="K28" i="16"/>
  <c r="J28" i="16"/>
  <c r="I28" i="16"/>
  <c r="H28" i="16"/>
  <c r="G28" i="16"/>
  <c r="F28" i="16"/>
  <c r="E28" i="16"/>
  <c r="B25" i="16"/>
  <c r="B24" i="16"/>
  <c r="B23" i="16"/>
  <c r="B22" i="16"/>
  <c r="B21" i="16"/>
  <c r="C20" i="16"/>
  <c r="B20" i="16"/>
  <c r="C19" i="16"/>
  <c r="B19" i="16"/>
  <c r="C18" i="16"/>
  <c r="B18" i="16"/>
  <c r="C17" i="16"/>
  <c r="B17" i="16"/>
  <c r="B16" i="16"/>
  <c r="F11" i="16"/>
  <c r="I91" i="16"/>
  <c r="J91" i="16" s="1"/>
  <c r="I89" i="16"/>
  <c r="J89" i="16" s="1"/>
  <c r="I90" i="16"/>
  <c r="J90" i="16" s="1"/>
  <c r="C44" i="16"/>
  <c r="G104" i="16" s="1"/>
  <c r="H104" i="16" s="1"/>
  <c r="G105" i="16"/>
  <c r="H105" i="16" s="1"/>
  <c r="C16" i="16"/>
  <c r="C26" i="16"/>
  <c r="D19" i="16" s="1"/>
  <c r="D26" i="16" s="1"/>
  <c r="D16" i="16"/>
  <c r="H17" i="17"/>
  <c r="E44" i="17"/>
  <c r="I89" i="17"/>
  <c r="J89" i="17" s="1"/>
  <c r="C44" i="17"/>
  <c r="G104" i="17" s="1"/>
  <c r="H104" i="17" s="1"/>
  <c r="I90" i="17"/>
  <c r="J90" i="17"/>
  <c r="D18" i="16"/>
  <c r="D17" i="16"/>
  <c r="D20" i="16"/>
  <c r="C122" i="16"/>
  <c r="H30" i="17"/>
  <c r="C30" i="17"/>
  <c r="C17" i="17"/>
  <c r="H26" i="17"/>
  <c r="C26" i="17"/>
  <c r="C130" i="17"/>
  <c r="C131" i="17" s="1"/>
  <c r="C132" i="17" s="1"/>
  <c r="C122" i="17"/>
  <c r="C120" i="17"/>
  <c r="D19" i="17"/>
  <c r="D18" i="17"/>
  <c r="D16" i="17"/>
  <c r="D20" i="17"/>
  <c r="D17" i="17"/>
  <c r="D26" i="17"/>
  <c r="C29" i="18"/>
  <c r="C44" i="18"/>
  <c r="G44" i="18"/>
  <c r="J44" i="18"/>
  <c r="I89" i="18"/>
  <c r="J89" i="18"/>
  <c r="H17" i="18"/>
  <c r="I90" i="18"/>
  <c r="J90" i="18" s="1"/>
  <c r="C17" i="18"/>
  <c r="C26" i="18" s="1"/>
  <c r="H30" i="18"/>
  <c r="G104" i="18"/>
  <c r="H104" i="18" s="1"/>
  <c r="G105" i="18"/>
  <c r="H105" i="18" s="1"/>
  <c r="J93" i="18"/>
  <c r="H26" i="18"/>
  <c r="C30" i="18"/>
  <c r="D30" i="18" s="1"/>
  <c r="H39" i="18"/>
  <c r="H111" i="18"/>
  <c r="C130" i="18"/>
  <c r="D19" i="18"/>
  <c r="D18" i="18"/>
  <c r="D16" i="18"/>
  <c r="C39" i="18"/>
  <c r="I106" i="18" s="1"/>
  <c r="D17" i="18"/>
  <c r="I107" i="18"/>
  <c r="I97" i="18"/>
  <c r="K85" i="18"/>
  <c r="D33" i="18"/>
  <c r="K92" i="18"/>
  <c r="I110" i="18"/>
  <c r="K84" i="18"/>
  <c r="K81" i="18"/>
  <c r="K88" i="18"/>
  <c r="I101" i="18"/>
  <c r="I108" i="18"/>
  <c r="D31" i="18"/>
  <c r="K86" i="18"/>
  <c r="I109" i="18"/>
  <c r="B51" i="18"/>
  <c r="C51" i="18" s="1"/>
  <c r="B50" i="18"/>
  <c r="D29" i="18"/>
  <c r="K89" i="18"/>
  <c r="B52" i="18"/>
  <c r="C52" i="18" s="1"/>
  <c r="E52" i="18" s="1"/>
  <c r="K90" i="18"/>
  <c r="I104" i="18"/>
  <c r="I105" i="18"/>
  <c r="C132" i="18"/>
  <c r="C131" i="18"/>
  <c r="B137" i="18"/>
  <c r="C50" i="18"/>
  <c r="E50" i="18" s="1"/>
  <c r="C29" i="19"/>
  <c r="I89" i="19"/>
  <c r="J89" i="19"/>
  <c r="G105" i="19"/>
  <c r="H105" i="19" s="1"/>
  <c r="H17" i="19"/>
  <c r="I90" i="19"/>
  <c r="J90" i="19" s="1"/>
  <c r="K90" i="19" s="1"/>
  <c r="C17" i="19"/>
  <c r="C26" i="19" s="1"/>
  <c r="H30" i="19"/>
  <c r="H26" i="19"/>
  <c r="C30" i="19"/>
  <c r="H39" i="19"/>
  <c r="C39" i="19"/>
  <c r="D30" i="19" s="1"/>
  <c r="I106" i="19"/>
  <c r="I96" i="19"/>
  <c r="K87" i="19"/>
  <c r="D33" i="19"/>
  <c r="K82" i="19"/>
  <c r="K88" i="19"/>
  <c r="I101" i="19"/>
  <c r="I108" i="19"/>
  <c r="D32" i="19"/>
  <c r="K84" i="19"/>
  <c r="I102" i="19"/>
  <c r="B51" i="19"/>
  <c r="C51" i="19" s="1"/>
  <c r="K81" i="19"/>
  <c r="K91" i="19"/>
  <c r="D31" i="19"/>
  <c r="I104" i="19"/>
  <c r="K83" i="19"/>
  <c r="K92" i="19"/>
  <c r="I103" i="19"/>
  <c r="I110" i="19"/>
  <c r="K86" i="19"/>
  <c r="I109" i="19"/>
  <c r="B50" i="19"/>
  <c r="B52" i="19"/>
  <c r="C52" i="19" s="1"/>
  <c r="E52" i="19" s="1"/>
  <c r="D29" i="19"/>
  <c r="K89" i="19"/>
  <c r="C50" i="19"/>
  <c r="E50" i="19" s="1"/>
  <c r="B53" i="19"/>
  <c r="H17" i="20"/>
  <c r="I88" i="20"/>
  <c r="J88" i="20" s="1"/>
  <c r="G106" i="20"/>
  <c r="H106" i="20" s="1"/>
  <c r="I89" i="20"/>
  <c r="J89" i="20" s="1"/>
  <c r="H30" i="20"/>
  <c r="C30" i="20" s="1"/>
  <c r="H26" i="20"/>
  <c r="C17" i="20"/>
  <c r="C26" i="20" l="1"/>
  <c r="D20" i="20" s="1"/>
  <c r="H29" i="20"/>
  <c r="J92" i="20"/>
  <c r="D17" i="19"/>
  <c r="D20" i="19"/>
  <c r="D16" i="19"/>
  <c r="D19" i="19"/>
  <c r="D18" i="19"/>
  <c r="J93" i="19"/>
  <c r="E51" i="18"/>
  <c r="C53" i="18"/>
  <c r="C132" i="20"/>
  <c r="D16" i="20"/>
  <c r="D19" i="20"/>
  <c r="C124" i="20"/>
  <c r="D18" i="20"/>
  <c r="C122" i="20"/>
  <c r="D17" i="20"/>
  <c r="H112" i="20"/>
  <c r="E51" i="19"/>
  <c r="E53" i="19" s="1"/>
  <c r="B73" i="19" s="1"/>
  <c r="C53" i="19"/>
  <c r="C60" i="19"/>
  <c r="D60" i="19" s="1"/>
  <c r="H111" i="19"/>
  <c r="I105" i="19"/>
  <c r="E53" i="18"/>
  <c r="B73" i="18" s="1"/>
  <c r="C60" i="18"/>
  <c r="D60" i="18" s="1"/>
  <c r="K85" i="19"/>
  <c r="K93" i="19" s="1"/>
  <c r="I97" i="19"/>
  <c r="I98" i="19" s="1"/>
  <c r="I107" i="19"/>
  <c r="B53" i="18"/>
  <c r="K82" i="18"/>
  <c r="I102" i="18"/>
  <c r="D32" i="18"/>
  <c r="C62" i="18" s="1"/>
  <c r="D62" i="18" s="1"/>
  <c r="I103" i="18"/>
  <c r="K83" i="18"/>
  <c r="K91" i="18"/>
  <c r="K87" i="18"/>
  <c r="I96" i="18"/>
  <c r="I98" i="18" s="1"/>
  <c r="C122" i="18"/>
  <c r="C120" i="18"/>
  <c r="D20" i="18"/>
  <c r="D26" i="18" s="1"/>
  <c r="B137" i="17"/>
  <c r="H111" i="16"/>
  <c r="J93" i="16"/>
  <c r="C29" i="16"/>
  <c r="H39" i="16"/>
  <c r="C29" i="17"/>
  <c r="H39" i="17"/>
  <c r="J93" i="17"/>
  <c r="G105" i="17"/>
  <c r="H105" i="17" s="1"/>
  <c r="C120" i="16"/>
  <c r="C130" i="16"/>
  <c r="H39" i="20" l="1"/>
  <c r="C29" i="20"/>
  <c r="C39" i="17"/>
  <c r="D29" i="17" s="1"/>
  <c r="K93" i="18"/>
  <c r="G131" i="18" s="1"/>
  <c r="D26" i="20"/>
  <c r="C133" i="20"/>
  <c r="C134" i="20" s="1"/>
  <c r="B139" i="20"/>
  <c r="C132" i="19"/>
  <c r="B137" i="19"/>
  <c r="D26" i="19"/>
  <c r="C131" i="16"/>
  <c r="B137" i="16"/>
  <c r="C132" i="16"/>
  <c r="H111" i="17"/>
  <c r="C39" i="16"/>
  <c r="I111" i="18"/>
  <c r="G132" i="18" s="1"/>
  <c r="I111" i="19"/>
  <c r="B74" i="19"/>
  <c r="C61" i="19"/>
  <c r="D61" i="19" s="1"/>
  <c r="C62" i="19"/>
  <c r="D62" i="19" s="1"/>
  <c r="C63" i="19"/>
  <c r="D63" i="19" s="1"/>
  <c r="C59" i="19"/>
  <c r="B74" i="18"/>
  <c r="C61" i="18"/>
  <c r="D61" i="18" s="1"/>
  <c r="C63" i="18"/>
  <c r="D63" i="18" s="1"/>
  <c r="C59" i="18"/>
  <c r="C39" i="20" l="1"/>
  <c r="C69" i="19"/>
  <c r="D59" i="19"/>
  <c r="D69" i="19" s="1"/>
  <c r="B75" i="19" s="1"/>
  <c r="B76" i="19" s="1"/>
  <c r="K85" i="16"/>
  <c r="I106" i="16"/>
  <c r="I101" i="16"/>
  <c r="K82" i="16"/>
  <c r="I109" i="16"/>
  <c r="I97" i="16"/>
  <c r="K84" i="16"/>
  <c r="I110" i="16"/>
  <c r="B51" i="16"/>
  <c r="C51" i="16" s="1"/>
  <c r="E51" i="16" s="1"/>
  <c r="B50" i="16"/>
  <c r="K92" i="16"/>
  <c r="K86" i="16"/>
  <c r="B52" i="16"/>
  <c r="C52" i="16" s="1"/>
  <c r="E52" i="16" s="1"/>
  <c r="K87" i="16"/>
  <c r="I96" i="16"/>
  <c r="I98" i="16" s="1"/>
  <c r="I102" i="16"/>
  <c r="D33" i="16"/>
  <c r="I103" i="16"/>
  <c r="K89" i="16"/>
  <c r="I108" i="16"/>
  <c r="K88" i="16"/>
  <c r="K81" i="16"/>
  <c r="K83" i="16"/>
  <c r="I107" i="16"/>
  <c r="D31" i="16"/>
  <c r="D30" i="16"/>
  <c r="I104" i="16"/>
  <c r="K90" i="16"/>
  <c r="D32" i="16"/>
  <c r="I105" i="16"/>
  <c r="K91" i="16"/>
  <c r="C69" i="18"/>
  <c r="D59" i="18"/>
  <c r="D69" i="18" s="1"/>
  <c r="B75" i="18" s="1"/>
  <c r="B76" i="18" s="1"/>
  <c r="D29" i="16"/>
  <c r="I105" i="17"/>
  <c r="I104" i="17"/>
  <c r="D30" i="17"/>
  <c r="I106" i="17"/>
  <c r="I96" i="17"/>
  <c r="K87" i="17"/>
  <c r="K91" i="17"/>
  <c r="D31" i="17"/>
  <c r="K92" i="17"/>
  <c r="I110" i="17"/>
  <c r="I102" i="17"/>
  <c r="K82" i="17"/>
  <c r="I101" i="17"/>
  <c r="K83" i="17"/>
  <c r="I109" i="17"/>
  <c r="K90" i="17"/>
  <c r="B52" i="17"/>
  <c r="C52" i="17" s="1"/>
  <c r="E52" i="17" s="1"/>
  <c r="I107" i="17"/>
  <c r="I97" i="17"/>
  <c r="K81" i="17"/>
  <c r="D33" i="17"/>
  <c r="K85" i="17"/>
  <c r="I103" i="17"/>
  <c r="K84" i="17"/>
  <c r="D32" i="17"/>
  <c r="K88" i="17"/>
  <c r="I108" i="17"/>
  <c r="K86" i="17"/>
  <c r="B51" i="17"/>
  <c r="C51" i="17" s="1"/>
  <c r="E51" i="17" s="1"/>
  <c r="B50" i="17"/>
  <c r="K89" i="17"/>
  <c r="D30" i="20" l="1"/>
  <c r="I108" i="20"/>
  <c r="I97" i="20"/>
  <c r="K86" i="20"/>
  <c r="D33" i="20"/>
  <c r="K87" i="20"/>
  <c r="K81" i="20"/>
  <c r="B51" i="20"/>
  <c r="C51" i="20" s="1"/>
  <c r="E51" i="20" s="1"/>
  <c r="I104" i="20"/>
  <c r="B52" i="20"/>
  <c r="C52" i="20" s="1"/>
  <c r="E52" i="20" s="1"/>
  <c r="K90" i="20"/>
  <c r="K91" i="20"/>
  <c r="I110" i="20"/>
  <c r="I107" i="20"/>
  <c r="I96" i="20"/>
  <c r="I98" i="20" s="1"/>
  <c r="K80" i="20"/>
  <c r="I102" i="20"/>
  <c r="D32" i="20"/>
  <c r="I103" i="20"/>
  <c r="K84" i="20"/>
  <c r="K83" i="20"/>
  <c r="I111" i="20"/>
  <c r="B50" i="20"/>
  <c r="I105" i="20"/>
  <c r="K85" i="20"/>
  <c r="D31" i="20"/>
  <c r="I109" i="20"/>
  <c r="K82" i="20"/>
  <c r="K89" i="20"/>
  <c r="K88" i="20"/>
  <c r="I106" i="20"/>
  <c r="I112" i="20" s="1"/>
  <c r="G134" i="20" s="1"/>
  <c r="D29" i="20"/>
  <c r="C76" i="18"/>
  <c r="B78" i="18"/>
  <c r="C114" i="18" s="1"/>
  <c r="C115" i="18" s="1"/>
  <c r="C116" i="18" s="1"/>
  <c r="G130" i="18"/>
  <c r="C76" i="19"/>
  <c r="B78" i="19"/>
  <c r="C114" i="19" s="1"/>
  <c r="C115" i="19" s="1"/>
  <c r="C116" i="19" s="1"/>
  <c r="G130" i="19"/>
  <c r="I111" i="17"/>
  <c r="G132" i="17" s="1"/>
  <c r="I98" i="17"/>
  <c r="K93" i="16"/>
  <c r="G131" i="16" s="1"/>
  <c r="B53" i="16"/>
  <c r="C50" i="16"/>
  <c r="C50" i="17"/>
  <c r="B53" i="17"/>
  <c r="K93" i="17"/>
  <c r="I111" i="16"/>
  <c r="G132" i="16" s="1"/>
  <c r="K92" i="20" l="1"/>
  <c r="G133" i="20" s="1"/>
  <c r="B53" i="20"/>
  <c r="C50" i="20"/>
  <c r="C53" i="16"/>
  <c r="E50" i="16"/>
  <c r="E53" i="16" s="1"/>
  <c r="B73" i="16" s="1"/>
  <c r="G131" i="17"/>
  <c r="C53" i="17"/>
  <c r="E50" i="17"/>
  <c r="E53" i="17" s="1"/>
  <c r="B73" i="17" s="1"/>
  <c r="G134" i="19"/>
  <c r="B136" i="19" s="1"/>
  <c r="B138" i="19" s="1"/>
  <c r="C138" i="19" s="1"/>
  <c r="H48" i="19"/>
  <c r="H50" i="19" s="1"/>
  <c r="J50" i="19" s="1"/>
  <c r="K50" i="19" s="1"/>
  <c r="G46" i="19"/>
  <c r="I46" i="19" s="1"/>
  <c r="C127" i="19"/>
  <c r="G133" i="19" s="1"/>
  <c r="H48" i="18"/>
  <c r="H50" i="18" s="1"/>
  <c r="J50" i="18" s="1"/>
  <c r="K50" i="18" s="1"/>
  <c r="G46" i="18"/>
  <c r="I46" i="18" s="1"/>
  <c r="C124" i="18"/>
  <c r="C127" i="18" s="1"/>
  <c r="G133" i="18" s="1"/>
  <c r="G134" i="18" s="1"/>
  <c r="B136" i="18" s="1"/>
  <c r="B138" i="18" s="1"/>
  <c r="C138" i="18" s="1"/>
  <c r="E50" i="20" l="1"/>
  <c r="E53" i="20" s="1"/>
  <c r="B73" i="20" s="1"/>
  <c r="C53" i="20"/>
  <c r="C62" i="20" s="1"/>
  <c r="D62" i="20" s="1"/>
  <c r="B74" i="17"/>
  <c r="C59" i="17"/>
  <c r="C62" i="17"/>
  <c r="D62" i="17" s="1"/>
  <c r="C60" i="17"/>
  <c r="D60" i="17" s="1"/>
  <c r="C63" i="17"/>
  <c r="D63" i="17" s="1"/>
  <c r="C61" i="17"/>
  <c r="D61" i="17" s="1"/>
  <c r="B74" i="16"/>
  <c r="C61" i="16"/>
  <c r="D61" i="16" s="1"/>
  <c r="C60" i="16"/>
  <c r="D60" i="16" s="1"/>
  <c r="C62" i="16"/>
  <c r="D62" i="16" s="1"/>
  <c r="C63" i="16"/>
  <c r="D63" i="16" s="1"/>
  <c r="C59" i="16"/>
  <c r="C60" i="20" l="1"/>
  <c r="D60" i="20" s="1"/>
  <c r="B74" i="20"/>
  <c r="C59" i="20"/>
  <c r="C61" i="20"/>
  <c r="C63" i="20"/>
  <c r="D63" i="20" s="1"/>
  <c r="D59" i="16"/>
  <c r="D69" i="16" s="1"/>
  <c r="B75" i="16" s="1"/>
  <c r="B76" i="16" s="1"/>
  <c r="C69" i="16"/>
  <c r="C69" i="17"/>
  <c r="D59" i="17"/>
  <c r="D69" i="17" s="1"/>
  <c r="B75" i="17" s="1"/>
  <c r="B76" i="17" s="1"/>
  <c r="D59" i="20" l="1"/>
  <c r="D69" i="20" s="1"/>
  <c r="B75" i="20" s="1"/>
  <c r="B76" i="20" s="1"/>
  <c r="C69" i="20"/>
  <c r="G130" i="16"/>
  <c r="B78" i="16"/>
  <c r="C114" i="16" s="1"/>
  <c r="C115" i="16" s="1"/>
  <c r="C116" i="16" s="1"/>
  <c r="C76" i="16"/>
  <c r="G130" i="17"/>
  <c r="B78" i="17"/>
  <c r="C114" i="17" s="1"/>
  <c r="C115" i="17" s="1"/>
  <c r="C116" i="17" s="1"/>
  <c r="C76" i="17"/>
  <c r="G132" i="20" l="1"/>
  <c r="B78" i="20"/>
  <c r="C115" i="20" s="1"/>
  <c r="C116" i="20" s="1"/>
  <c r="C117" i="20" s="1"/>
  <c r="C76" i="20"/>
  <c r="H48" i="16"/>
  <c r="H50" i="16" s="1"/>
  <c r="J50" i="16" s="1"/>
  <c r="K50" i="16" s="1"/>
  <c r="G46" i="16"/>
  <c r="I46" i="16" s="1"/>
  <c r="C124" i="16"/>
  <c r="C127" i="16" s="1"/>
  <c r="G133" i="16" s="1"/>
  <c r="G134" i="16" s="1"/>
  <c r="B136" i="16" s="1"/>
  <c r="B138" i="16" s="1"/>
  <c r="C138" i="16" s="1"/>
  <c r="H48" i="17"/>
  <c r="H50" i="17" s="1"/>
  <c r="J50" i="17" s="1"/>
  <c r="K50" i="17" s="1"/>
  <c r="G46" i="17"/>
  <c r="I46" i="17" s="1"/>
  <c r="C124" i="17"/>
  <c r="C127" i="17" s="1"/>
  <c r="G133" i="17" s="1"/>
  <c r="G134" i="17" s="1"/>
  <c r="B136" i="17" s="1"/>
  <c r="B138" i="17" s="1"/>
  <c r="C138" i="17" s="1"/>
  <c r="H48" i="20" l="1"/>
  <c r="H50" i="20" s="1"/>
  <c r="J50" i="20" s="1"/>
  <c r="M50" i="20" s="1"/>
  <c r="G46" i="20"/>
  <c r="I46" i="20" s="1"/>
  <c r="C126" i="20"/>
  <c r="C129" i="20" s="1"/>
  <c r="G135" i="20" s="1"/>
  <c r="G136" i="20" s="1"/>
  <c r="B138" i="20" s="1"/>
  <c r="B140" i="20" s="1"/>
  <c r="C140" i="20" s="1"/>
</calcChain>
</file>

<file path=xl/comments1.xml><?xml version="1.0" encoding="utf-8"?>
<comments xmlns="http://schemas.openxmlformats.org/spreadsheetml/2006/main">
  <authors>
    <author>lavellaneda</author>
  </authors>
  <commentList>
    <comment ref="G85" authorId="0">
      <text>
        <r>
          <rPr>
            <b/>
            <sz val="8"/>
            <color indexed="81"/>
            <rFont val="Tahoma"/>
            <family val="2"/>
          </rPr>
          <t>lavellaneda:</t>
        </r>
        <r>
          <rPr>
            <sz val="8"/>
            <color indexed="81"/>
            <rFont val="Tahoma"/>
            <family val="2"/>
          </rPr>
          <t xml:space="preserve">
450 soles millar / $2,65 =169,81
</t>
        </r>
      </text>
    </comment>
    <comment ref="G88" authorId="0">
      <text>
        <r>
          <rPr>
            <b/>
            <sz val="8"/>
            <color indexed="81"/>
            <rFont val="Tahoma"/>
            <family val="2"/>
          </rPr>
          <t>lavellaneda:</t>
        </r>
        <r>
          <rPr>
            <sz val="8"/>
            <color indexed="81"/>
            <rFont val="Tahoma"/>
            <family val="2"/>
          </rPr>
          <t xml:space="preserve">
FOB HK 
</t>
        </r>
      </text>
    </comment>
  </commentList>
</comments>
</file>

<file path=xl/comments2.xml><?xml version="1.0" encoding="utf-8"?>
<comments xmlns="http://schemas.openxmlformats.org/spreadsheetml/2006/main">
  <authors>
    <author>lavellaneda</author>
  </authors>
  <commentList>
    <comment ref="G85" authorId="0">
      <text>
        <r>
          <rPr>
            <b/>
            <sz val="8"/>
            <color indexed="81"/>
            <rFont val="Tahoma"/>
            <family val="2"/>
          </rPr>
          <t>lavellaneda:</t>
        </r>
        <r>
          <rPr>
            <sz val="8"/>
            <color indexed="81"/>
            <rFont val="Tahoma"/>
            <family val="2"/>
          </rPr>
          <t xml:space="preserve">
450 soles millar / $2,65 =169,81
</t>
        </r>
      </text>
    </comment>
    <comment ref="G88" authorId="0">
      <text>
        <r>
          <rPr>
            <b/>
            <sz val="8"/>
            <color indexed="81"/>
            <rFont val="Tahoma"/>
            <family val="2"/>
          </rPr>
          <t>lavellaneda:</t>
        </r>
        <r>
          <rPr>
            <sz val="8"/>
            <color indexed="81"/>
            <rFont val="Tahoma"/>
            <family val="2"/>
          </rPr>
          <t xml:space="preserve">
FOB HK 
</t>
        </r>
      </text>
    </comment>
  </commentList>
</comments>
</file>

<file path=xl/comments3.xml><?xml version="1.0" encoding="utf-8"?>
<comments xmlns="http://schemas.openxmlformats.org/spreadsheetml/2006/main">
  <authors>
    <author>lavellaneda</author>
  </authors>
  <commentList>
    <comment ref="G85" authorId="0">
      <text>
        <r>
          <rPr>
            <b/>
            <sz val="8"/>
            <color indexed="81"/>
            <rFont val="Tahoma"/>
            <family val="2"/>
          </rPr>
          <t>lavellaneda:</t>
        </r>
        <r>
          <rPr>
            <sz val="8"/>
            <color indexed="81"/>
            <rFont val="Tahoma"/>
            <family val="2"/>
          </rPr>
          <t xml:space="preserve">
450 soles millar / $2,65 =169,81
</t>
        </r>
      </text>
    </comment>
    <comment ref="G88" authorId="0">
      <text>
        <r>
          <rPr>
            <b/>
            <sz val="8"/>
            <color indexed="81"/>
            <rFont val="Tahoma"/>
            <family val="2"/>
          </rPr>
          <t>lavellaneda:</t>
        </r>
        <r>
          <rPr>
            <sz val="8"/>
            <color indexed="81"/>
            <rFont val="Tahoma"/>
            <family val="2"/>
          </rPr>
          <t xml:space="preserve">
FOB HK 
</t>
        </r>
      </text>
    </comment>
  </commentList>
</comments>
</file>

<file path=xl/comments4.xml><?xml version="1.0" encoding="utf-8"?>
<comments xmlns="http://schemas.openxmlformats.org/spreadsheetml/2006/main">
  <authors>
    <author>lavellaneda</author>
  </authors>
  <commentList>
    <comment ref="G85" authorId="0">
      <text>
        <r>
          <rPr>
            <b/>
            <sz val="8"/>
            <color indexed="81"/>
            <rFont val="Tahoma"/>
            <family val="2"/>
          </rPr>
          <t>lavellaneda:</t>
        </r>
        <r>
          <rPr>
            <sz val="8"/>
            <color indexed="81"/>
            <rFont val="Tahoma"/>
            <family val="2"/>
          </rPr>
          <t xml:space="preserve">
250 soles millar / $2,65 =$83,00
</t>
        </r>
      </text>
    </comment>
    <comment ref="G88" authorId="0">
      <text>
        <r>
          <rPr>
            <b/>
            <sz val="8"/>
            <color indexed="81"/>
            <rFont val="Tahoma"/>
            <family val="2"/>
          </rPr>
          <t>lavellaneda:</t>
        </r>
        <r>
          <rPr>
            <sz val="8"/>
            <color indexed="81"/>
            <rFont val="Tahoma"/>
            <family val="2"/>
          </rPr>
          <t xml:space="preserve">
FOB HK 
</t>
        </r>
      </text>
    </comment>
  </commentList>
</comments>
</file>

<file path=xl/comments5.xml><?xml version="1.0" encoding="utf-8"?>
<comments xmlns="http://schemas.openxmlformats.org/spreadsheetml/2006/main">
  <authors>
    <author>lavellaneda</author>
  </authors>
  <commentList>
    <comment ref="G84" authorId="0">
      <text>
        <r>
          <rPr>
            <b/>
            <sz val="8"/>
            <color indexed="81"/>
            <rFont val="Tahoma"/>
            <family val="2"/>
          </rPr>
          <t>lavellaneda:</t>
        </r>
        <r>
          <rPr>
            <sz val="8"/>
            <color indexed="81"/>
            <rFont val="Tahoma"/>
            <family val="2"/>
          </rPr>
          <t xml:space="preserve">
250 soles millar / $2,65 =$83,00
</t>
        </r>
      </text>
    </comment>
    <comment ref="G87" authorId="0">
      <text>
        <r>
          <rPr>
            <b/>
            <sz val="8"/>
            <color indexed="81"/>
            <rFont val="Tahoma"/>
            <family val="2"/>
          </rPr>
          <t>lavellaneda:</t>
        </r>
        <r>
          <rPr>
            <sz val="8"/>
            <color indexed="81"/>
            <rFont val="Tahoma"/>
            <family val="2"/>
          </rPr>
          <t xml:space="preserve">
FOB HK 
</t>
        </r>
      </text>
    </comment>
  </commentList>
</comments>
</file>

<file path=xl/sharedStrings.xml><?xml version="1.0" encoding="utf-8"?>
<sst xmlns="http://schemas.openxmlformats.org/spreadsheetml/2006/main" count="1184" uniqueCount="226">
  <si>
    <t>HOJA DE COSTEO</t>
  </si>
  <si>
    <t>Cliente</t>
  </si>
  <si>
    <t>GUESS MARCIANO</t>
  </si>
  <si>
    <t>Fecha de Cotiz</t>
  </si>
  <si>
    <t>PO</t>
  </si>
  <si>
    <t>Fecha Orden</t>
  </si>
  <si>
    <t>Modelo</t>
  </si>
  <si>
    <t>Style</t>
  </si>
  <si>
    <t>Tela</t>
  </si>
  <si>
    <t>JERSEY</t>
  </si>
  <si>
    <t xml:space="preserve">         %</t>
  </si>
  <si>
    <t>Densidad</t>
  </si>
  <si>
    <t>g /m2</t>
  </si>
  <si>
    <t>Composición</t>
  </si>
  <si>
    <t>Pack</t>
  </si>
  <si>
    <t>prendas</t>
  </si>
  <si>
    <t>Pack por Caja</t>
  </si>
  <si>
    <t>Cajas  de</t>
  </si>
  <si>
    <t>TALLAS</t>
  </si>
  <si>
    <t>XS</t>
  </si>
  <si>
    <t>S</t>
  </si>
  <si>
    <t>M</t>
  </si>
  <si>
    <t>L</t>
  </si>
  <si>
    <t>XL</t>
  </si>
  <si>
    <t>XXL</t>
  </si>
  <si>
    <t>XXXL</t>
  </si>
  <si>
    <t>Total</t>
  </si>
  <si>
    <t>Assortment</t>
  </si>
  <si>
    <t xml:space="preserve">           %</t>
  </si>
  <si>
    <t>Hilado Titulo</t>
  </si>
  <si>
    <t>40/1</t>
  </si>
  <si>
    <t>Ancho Tendido</t>
  </si>
  <si>
    <t>Collareta</t>
  </si>
  <si>
    <t>g</t>
  </si>
  <si>
    <t>Spandex Titulo</t>
  </si>
  <si>
    <t>Largo Tendido</t>
  </si>
  <si>
    <t>Construcción</t>
  </si>
  <si>
    <t>Consumo por Prenda Crudo</t>
  </si>
  <si>
    <t>gms.</t>
  </si>
  <si>
    <t>m2</t>
  </si>
  <si>
    <t>Rendimiento</t>
  </si>
  <si>
    <t>mts x kilo</t>
  </si>
  <si>
    <t>Requerimientos de Compra</t>
  </si>
  <si>
    <t>eficiencia</t>
  </si>
  <si>
    <t>Hilado</t>
  </si>
  <si>
    <t>Costo Tela Kilo</t>
  </si>
  <si>
    <t>Merma  .....................................................</t>
  </si>
  <si>
    <t>Precio</t>
  </si>
  <si>
    <t>Yield</t>
  </si>
  <si>
    <t>Costo Tela</t>
  </si>
  <si>
    <t>Cost per yard</t>
  </si>
  <si>
    <t>Ancho</t>
  </si>
  <si>
    <t>Width</t>
  </si>
  <si>
    <t>Inches aprox</t>
  </si>
  <si>
    <t>Largo</t>
  </si>
  <si>
    <t>Costo Tejido</t>
  </si>
  <si>
    <t>Costo Teñido Tela</t>
  </si>
  <si>
    <t>Kilos</t>
  </si>
  <si>
    <t>Pedir</t>
  </si>
  <si>
    <t>Ruta de la tela</t>
  </si>
  <si>
    <t>Tejido</t>
  </si>
  <si>
    <t>Teñido</t>
  </si>
  <si>
    <t>Costo Promedio por Kilo</t>
  </si>
  <si>
    <t>Costo Tela por Prenda</t>
  </si>
  <si>
    <t>Avios</t>
  </si>
  <si>
    <t>Articulo</t>
  </si>
  <si>
    <t>Proveedor</t>
  </si>
  <si>
    <t>Unid</t>
  </si>
  <si>
    <t>Cant X Unid</t>
  </si>
  <si>
    <t>Medida</t>
  </si>
  <si>
    <t>Merma</t>
  </si>
  <si>
    <t>Cons X Prenda</t>
  </si>
  <si>
    <t>Costo Prenda</t>
  </si>
  <si>
    <t>Costo orden</t>
  </si>
  <si>
    <t>Hilo de Costura</t>
  </si>
  <si>
    <t>cono</t>
  </si>
  <si>
    <t>mts.</t>
  </si>
  <si>
    <t>Care Label Global</t>
  </si>
  <si>
    <t>millar</t>
  </si>
  <si>
    <t>unid.</t>
  </si>
  <si>
    <t>Bolsa Individual</t>
  </si>
  <si>
    <t>Stiker rotulo  para Caja</t>
  </si>
  <si>
    <t xml:space="preserve">Caja + 2 contratapas </t>
  </si>
  <si>
    <t xml:space="preserve">upc sticker </t>
  </si>
  <si>
    <t>Cinta de embalaje de 2"</t>
  </si>
  <si>
    <t>rollo</t>
  </si>
  <si>
    <t>Total avios</t>
  </si>
  <si>
    <t>Partes</t>
  </si>
  <si>
    <t>Cuellos Manga</t>
  </si>
  <si>
    <t>Cuellos</t>
  </si>
  <si>
    <t>Total Partes</t>
  </si>
  <si>
    <t>Servicios</t>
  </si>
  <si>
    <t>Corte y Habilitado</t>
  </si>
  <si>
    <t>unitario</t>
  </si>
  <si>
    <t>unidad</t>
  </si>
  <si>
    <t>Confección</t>
  </si>
  <si>
    <t>minutos</t>
  </si>
  <si>
    <t>Acabado</t>
  </si>
  <si>
    <t>Lavado en Prenda</t>
  </si>
  <si>
    <t>kilo</t>
  </si>
  <si>
    <t>Teñido en Prenda</t>
  </si>
  <si>
    <t>Bordado</t>
  </si>
  <si>
    <t xml:space="preserve">manual </t>
  </si>
  <si>
    <t>testings</t>
  </si>
  <si>
    <t>Total Servicios</t>
  </si>
  <si>
    <t>Valor Prenda</t>
  </si>
  <si>
    <t>Costo de Prenda</t>
  </si>
  <si>
    <t>Utilidad Bruta</t>
  </si>
  <si>
    <t>Gastos</t>
  </si>
  <si>
    <t>Comisión Agente R.G.S.</t>
  </si>
  <si>
    <t>Aduanas y Despacho</t>
  </si>
  <si>
    <t>Air</t>
  </si>
  <si>
    <t>Financiamiento</t>
  </si>
  <si>
    <t>Certintex</t>
  </si>
  <si>
    <t>Muestra Tela</t>
  </si>
  <si>
    <t>FOB</t>
  </si>
  <si>
    <t>Muestra Prendas</t>
  </si>
  <si>
    <t>Target</t>
  </si>
  <si>
    <t>Otros</t>
  </si>
  <si>
    <t>Comision</t>
  </si>
  <si>
    <t>Total Gastos</t>
  </si>
  <si>
    <t>D. Back</t>
  </si>
  <si>
    <t>INGRESOS</t>
  </si>
  <si>
    <t>EGRESOS</t>
  </si>
  <si>
    <t>Carta de Crédito</t>
  </si>
  <si>
    <t>Materias Primas</t>
  </si>
  <si>
    <t>Draw Back</t>
  </si>
  <si>
    <t>Avios y Partes</t>
  </si>
  <si>
    <t>Total Ingresos</t>
  </si>
  <si>
    <t>Total Egresos</t>
  </si>
  <si>
    <t>Impuesto a la Renta</t>
  </si>
  <si>
    <t>Utilidad Neta</t>
  </si>
  <si>
    <t>YIELD EN YDS</t>
  </si>
  <si>
    <t>YDS X KG</t>
  </si>
  <si>
    <t>$ MTS X KG</t>
  </si>
  <si>
    <t xml:space="preserve">hang tag </t>
  </si>
  <si>
    <t xml:space="preserve">main DOWN LOOP  label </t>
  </si>
  <si>
    <t>COO/SIZE LABEL</t>
  </si>
  <si>
    <t>HANGER TAPE WITH LOGO</t>
  </si>
  <si>
    <t>YD</t>
  </si>
  <si>
    <t xml:space="preserve">parche rhinestuds + aplicaciòn </t>
  </si>
  <si>
    <t>HT210032</t>
  </si>
  <si>
    <t>CL-900067</t>
  </si>
  <si>
    <t>ML-880167</t>
  </si>
  <si>
    <t>DANA RING</t>
  </si>
  <si>
    <t>P31P1200000</t>
  </si>
  <si>
    <t>Evening Blue US = 492 CA = 253</t>
  </si>
  <si>
    <t>White US = 492 CA = 253</t>
  </si>
  <si>
    <t>EVENING BLUE</t>
  </si>
  <si>
    <t>WHITE</t>
  </si>
  <si>
    <t>VISCOSA BORTEX</t>
  </si>
  <si>
    <t xml:space="preserve">TEÑIDO C ENZIMAS </t>
  </si>
  <si>
    <t>RAMA SUAVIZADO</t>
  </si>
  <si>
    <t>TRABAJO MANUAL</t>
  </si>
  <si>
    <t>RINGS</t>
  </si>
  <si>
    <t>V.M $0,07</t>
  </si>
  <si>
    <t xml:space="preserve">V.M $0,07 , Se considera precio de tela cruda Algodonera </t>
  </si>
  <si>
    <t xml:space="preserve">V.M $0,07 , Se considera precio de tela cruda Algodonera  . Se incrementaron 55 kg en el consmo =$500 + $200 x teñido = $700 extras </t>
  </si>
  <si>
    <t xml:space="preserve">V.M $0,07 , Se considera precio de tela cruda Algodonera  . Se incrementaron 45 kg en el consmo =$500 + $200 x teñido = $700 extras </t>
  </si>
  <si>
    <t>VISCOSA VORTEX</t>
  </si>
  <si>
    <t xml:space="preserve">Se considera precio de tela cruda Algodonera $8,00 + cambio de ruta a lavado de paños </t>
  </si>
  <si>
    <t>LAVADO DE PAÑOS</t>
  </si>
  <si>
    <t>=F124*C26</t>
  </si>
  <si>
    <t>=+C130*F127</t>
  </si>
  <si>
    <t>=+B76</t>
  </si>
  <si>
    <t>=+K92+I97</t>
  </si>
  <si>
    <t>=+I110</t>
  </si>
  <si>
    <t>=+C127</t>
  </si>
  <si>
    <t>=+B123*3*C76</t>
  </si>
  <si>
    <t>=+B123*100</t>
  </si>
  <si>
    <t>=((+F124*C26)*0.8)*0.12/4</t>
  </si>
  <si>
    <t>=((H12+F124)*C26)*F126</t>
  </si>
  <si>
    <t>=+C130*0.02</t>
  </si>
  <si>
    <t>=+C132-G134</t>
  </si>
  <si>
    <t>=+B138/G134</t>
  </si>
  <si>
    <t>=+H109*$C$39</t>
  </si>
  <si>
    <t>=((+G109/C109)*E109)*F109+((+G109/C109)*E109)</t>
  </si>
  <si>
    <t>=0.08*10</t>
  </si>
  <si>
    <t>=+C44/1000</t>
  </si>
  <si>
    <t>=((+G96/C96)*E96)*F96+((+G96/C96)*E96)</t>
  </si>
  <si>
    <t>=+H96*$C$39</t>
  </si>
  <si>
    <t>=+F126</t>
  </si>
  <si>
    <t>=+B78+J92+H97+H112</t>
  </si>
  <si>
    <t>=+C114-C115</t>
  </si>
  <si>
    <t>=+C116/C115</t>
  </si>
  <si>
    <t>=+(12.69+11.41)*1.5</t>
  </si>
  <si>
    <t>upc Stk</t>
  </si>
  <si>
    <t>=+B125*4*4*(F126+H12)</t>
  </si>
  <si>
    <t>=1/F11</t>
  </si>
  <si>
    <t>=((+I90/E90)*G90)*H90+((+I90/E90)*G90)</t>
  </si>
  <si>
    <t>=+J90*$C$39</t>
  </si>
  <si>
    <t>=SI(B76&gt;0,B76/C26,J50*E44)</t>
  </si>
  <si>
    <t>=+B76/(B53-C49)</t>
  </si>
  <si>
    <t>=SI(F8&gt;0,B73+B74+B75,E44*C39*J50)</t>
  </si>
  <si>
    <t>=+D69</t>
  </si>
  <si>
    <t>=+(B55*C53)</t>
  </si>
  <si>
    <t>=+E53</t>
  </si>
  <si>
    <t>=+B138-B139</t>
  </si>
  <si>
    <t>=1.6+8+0.9</t>
  </si>
  <si>
    <t>=3.2+8+0.9</t>
  </si>
  <si>
    <t>=+D29*$C$53</t>
  </si>
  <si>
    <t>=+B59*C59</t>
  </si>
  <si>
    <t>=REDONDEAR.MAS(((C44+H41)*C39*C9)/1000,0)</t>
  </si>
  <si>
    <t>=REDONDEAR.MAS(((+B50*100)/(1-$C$49))/100,0)</t>
  </si>
  <si>
    <t>=+E41</t>
  </si>
  <si>
    <t>=+H48/H49</t>
  </si>
  <si>
    <t>=+H51/2.544*100</t>
  </si>
  <si>
    <t>=+E45</t>
  </si>
  <si>
    <t>=+C76</t>
  </si>
  <si>
    <t>=+J50*1.2</t>
  </si>
  <si>
    <t>=+H50*0.9144</t>
  </si>
  <si>
    <t>=+C76/E45</t>
  </si>
  <si>
    <t>=+G46*1.2</t>
  </si>
  <si>
    <t>=+E42*1.09363</t>
  </si>
  <si>
    <t>=+G44*1.1</t>
  </si>
  <si>
    <t>=REDONDEAR.MENOS(1000/(+E41*F8),2)</t>
  </si>
  <si>
    <t>=3.76/4</t>
  </si>
  <si>
    <t>=+E42*E41*F8</t>
  </si>
  <si>
    <t>=6.59+6.59</t>
  </si>
  <si>
    <t>=+E41*E42</t>
  </si>
  <si>
    <t>=+F9*F10</t>
  </si>
  <si>
    <t>=492+253+49</t>
  </si>
  <si>
    <t>=250/2.65</t>
  </si>
  <si>
    <t>=+J84/I84</t>
  </si>
  <si>
    <t>White US = 492              CA = 253</t>
  </si>
  <si>
    <t>cons = largo tendido * anch tendido * densidad tela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</si>
</sst>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#,##0.000"/>
    <numFmt numFmtId="166" formatCode="0.0000"/>
    <numFmt numFmtId="167" formatCode="&quot;$&quot;#,##0.00"/>
  </numFmts>
  <fonts count="3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12"/>
      <color rgb="FF000080"/>
      <name val="Courier"/>
      <family val="3"/>
    </font>
    <font>
      <sz val="10"/>
      <color rgb="FF000080"/>
      <name val="Arial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80"/>
      <name val="Courier"/>
      <family val="3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9"/>
      <color indexed="10"/>
      <name val="Arial"/>
      <family val="2"/>
    </font>
    <font>
      <sz val="9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/>
      <diagonal/>
    </border>
  </borders>
  <cellStyleXfs count="8">
    <xf numFmtId="0" fontId="0" fillId="0" borderId="0"/>
    <xf numFmtId="0" fontId="6" fillId="5" borderId="0" applyNumberFormat="0" applyBorder="0" applyAlignment="0" applyProtection="0"/>
    <xf numFmtId="0" fontId="7" fillId="6" borderId="6" applyNumberFormat="0" applyAlignment="0" applyProtection="0"/>
    <xf numFmtId="0" fontId="8" fillId="7" borderId="6" applyNumberFormat="0" applyAlignment="0" applyProtection="0"/>
    <xf numFmtId="0" fontId="9" fillId="8" borderId="0" applyNumberFormat="0" applyBorder="0" applyAlignment="0" applyProtection="0"/>
    <xf numFmtId="9" fontId="5" fillId="0" borderId="0" applyFont="0" applyFill="0" applyBorder="0" applyAlignment="0" applyProtection="0"/>
    <xf numFmtId="0" fontId="10" fillId="6" borderId="7" applyNumberFormat="0" applyAlignment="0" applyProtection="0"/>
    <xf numFmtId="0" fontId="5" fillId="11" borderId="0" applyNumberFormat="0" applyBorder="0" applyAlignment="0" applyProtection="0"/>
  </cellStyleXfs>
  <cellXfs count="229">
    <xf numFmtId="0" fontId="0" fillId="0" borderId="0" xfId="0"/>
    <xf numFmtId="0" fontId="0" fillId="2" borderId="0" xfId="0" applyFill="1" applyAlignment="1">
      <alignment horizontal="center"/>
    </xf>
    <xf numFmtId="0" fontId="1" fillId="0" borderId="0" xfId="0" applyFont="1"/>
    <xf numFmtId="0" fontId="13" fillId="0" borderId="0" xfId="0" applyFont="1"/>
    <xf numFmtId="0" fontId="0" fillId="0" borderId="0" xfId="0" applyFont="1"/>
    <xf numFmtId="0" fontId="14" fillId="0" borderId="0" xfId="0" applyFont="1"/>
    <xf numFmtId="2" fontId="0" fillId="0" borderId="0" xfId="0" applyNumberFormat="1" applyFont="1" applyAlignment="1"/>
    <xf numFmtId="0" fontId="15" fillId="0" borderId="1" xfId="0" applyFont="1" applyBorder="1"/>
    <xf numFmtId="0" fontId="0" fillId="2" borderId="2" xfId="0" applyFont="1" applyFill="1" applyBorder="1" applyAlignment="1"/>
    <xf numFmtId="0" fontId="0" fillId="0" borderId="0" xfId="0" applyFont="1" applyFill="1"/>
    <xf numFmtId="15" fontId="0" fillId="2" borderId="2" xfId="0" applyNumberFormat="1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14" fillId="0" borderId="0" xfId="0" applyFont="1" applyAlignment="1"/>
    <xf numFmtId="0" fontId="16" fillId="2" borderId="2" xfId="0" applyFont="1" applyFill="1" applyBorder="1" applyAlignment="1">
      <alignment horizontal="center"/>
    </xf>
    <xf numFmtId="9" fontId="5" fillId="2" borderId="2" xfId="5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15" fillId="2" borderId="2" xfId="0" applyFont="1" applyFill="1" applyBorder="1"/>
    <xf numFmtId="9" fontId="14" fillId="0" borderId="0" xfId="0" applyNumberFormat="1" applyFont="1" applyAlignment="1">
      <alignment horizontal="center"/>
    </xf>
    <xf numFmtId="3" fontId="0" fillId="0" borderId="0" xfId="0" applyNumberFormat="1" applyFont="1" applyFill="1" applyBorder="1"/>
    <xf numFmtId="10" fontId="5" fillId="0" borderId="0" xfId="5" applyNumberFormat="1" applyFont="1"/>
    <xf numFmtId="0" fontId="0" fillId="2" borderId="2" xfId="0" applyFont="1" applyFill="1" applyBorder="1"/>
    <xf numFmtId="3" fontId="0" fillId="0" borderId="0" xfId="0" applyNumberFormat="1" applyFont="1"/>
    <xf numFmtId="10" fontId="0" fillId="0" borderId="0" xfId="0" applyNumberFormat="1" applyFont="1"/>
    <xf numFmtId="3" fontId="0" fillId="0" borderId="0" xfId="0" applyNumberFormat="1" applyFont="1" applyAlignment="1">
      <alignment horizontal="center"/>
    </xf>
    <xf numFmtId="0" fontId="14" fillId="3" borderId="2" xfId="0" applyFont="1" applyFill="1" applyBorder="1"/>
    <xf numFmtId="0" fontId="14" fillId="3" borderId="2" xfId="0" applyFont="1" applyFill="1" applyBorder="1" applyAlignment="1">
      <alignment horizontal="center"/>
    </xf>
    <xf numFmtId="9" fontId="14" fillId="0" borderId="0" xfId="5" applyFont="1" applyAlignment="1">
      <alignment horizontal="center"/>
    </xf>
    <xf numFmtId="16" fontId="0" fillId="2" borderId="2" xfId="0" applyNumberFormat="1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1" fontId="0" fillId="2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1" fontId="0" fillId="0" borderId="0" xfId="0" applyNumberFormat="1" applyFont="1" applyBorder="1"/>
    <xf numFmtId="0" fontId="0" fillId="0" borderId="0" xfId="0" applyFont="1" applyAlignment="1">
      <alignment horizontal="right"/>
    </xf>
    <xf numFmtId="0" fontId="17" fillId="0" borderId="0" xfId="0" applyFont="1"/>
    <xf numFmtId="10" fontId="17" fillId="0" borderId="0" xfId="0" applyNumberFormat="1" applyFont="1"/>
    <xf numFmtId="164" fontId="0" fillId="4" borderId="2" xfId="0" applyNumberFormat="1" applyFont="1" applyFill="1" applyBorder="1"/>
    <xf numFmtId="0" fontId="14" fillId="0" borderId="0" xfId="0" applyFont="1" applyAlignment="1">
      <alignment horizontal="center"/>
    </xf>
    <xf numFmtId="0" fontId="0" fillId="4" borderId="2" xfId="0" applyFont="1" applyFill="1" applyBorder="1"/>
    <xf numFmtId="165" fontId="0" fillId="0" borderId="0" xfId="0" applyNumberFormat="1" applyFont="1"/>
    <xf numFmtId="2" fontId="0" fillId="2" borderId="2" xfId="0" applyNumberFormat="1" applyFont="1" applyFill="1" applyBorder="1"/>
    <xf numFmtId="4" fontId="0" fillId="0" borderId="0" xfId="0" applyNumberFormat="1" applyFont="1"/>
    <xf numFmtId="0" fontId="0" fillId="0" borderId="2" xfId="0" applyFont="1" applyFill="1" applyBorder="1"/>
    <xf numFmtId="2" fontId="18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14" fillId="3" borderId="2" xfId="0" applyFont="1" applyFill="1" applyBorder="1" applyAlignment="1">
      <alignment horizontal="right"/>
    </xf>
    <xf numFmtId="3" fontId="14" fillId="3" borderId="2" xfId="0" applyNumberFormat="1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164" fontId="0" fillId="0" borderId="0" xfId="0" applyNumberFormat="1" applyFont="1"/>
    <xf numFmtId="2" fontId="0" fillId="0" borderId="0" xfId="0" applyNumberFormat="1" applyFont="1"/>
    <xf numFmtId="2" fontId="18" fillId="0" borderId="0" xfId="0" applyNumberFormat="1" applyFont="1"/>
    <xf numFmtId="0" fontId="0" fillId="2" borderId="0" xfId="0" applyFont="1" applyFill="1"/>
    <xf numFmtId="0" fontId="0" fillId="2" borderId="0" xfId="0" applyFont="1" applyFill="1" applyAlignment="1">
      <alignment horizontal="center"/>
    </xf>
    <xf numFmtId="2" fontId="0" fillId="2" borderId="2" xfId="0" applyNumberFormat="1" applyFont="1" applyFill="1" applyBorder="1" applyAlignment="1">
      <alignment horizontal="right"/>
    </xf>
    <xf numFmtId="9" fontId="5" fillId="0" borderId="0" xfId="5" applyFont="1" applyAlignment="1">
      <alignment horizontal="center"/>
    </xf>
    <xf numFmtId="166" fontId="0" fillId="0" borderId="0" xfId="0" applyNumberFormat="1" applyFont="1" applyAlignment="1">
      <alignment horizontal="center"/>
    </xf>
    <xf numFmtId="0" fontId="15" fillId="2" borderId="0" xfId="0" applyFont="1" applyFill="1"/>
    <xf numFmtId="0" fontId="15" fillId="0" borderId="0" xfId="0" applyFont="1" applyAlignment="1">
      <alignment horizontal="center"/>
    </xf>
    <xf numFmtId="0" fontId="15" fillId="2" borderId="0" xfId="0" applyFont="1" applyFill="1" applyAlignment="1">
      <alignment horizontal="center"/>
    </xf>
    <xf numFmtId="0" fontId="0" fillId="0" borderId="0" xfId="0" applyFont="1" applyFill="1" applyBorder="1"/>
    <xf numFmtId="2" fontId="0" fillId="0" borderId="0" xfId="0" applyNumberFormat="1" applyFont="1" applyAlignment="1">
      <alignment horizontal="right"/>
    </xf>
    <xf numFmtId="9" fontId="5" fillId="0" borderId="0" xfId="5" applyFont="1" applyAlignment="1">
      <alignment horizontal="right"/>
    </xf>
    <xf numFmtId="166" fontId="18" fillId="0" borderId="0" xfId="0" applyNumberFormat="1" applyFont="1" applyAlignment="1">
      <alignment horizontal="center"/>
    </xf>
    <xf numFmtId="166" fontId="0" fillId="0" borderId="0" xfId="0" applyNumberFormat="1" applyFont="1"/>
    <xf numFmtId="166" fontId="18" fillId="0" borderId="0" xfId="0" applyNumberFormat="1" applyFont="1"/>
    <xf numFmtId="2" fontId="14" fillId="2" borderId="2" xfId="0" applyNumberFormat="1" applyFont="1" applyFill="1" applyBorder="1"/>
    <xf numFmtId="2" fontId="0" fillId="0" borderId="0" xfId="0" applyNumberFormat="1" applyFont="1" applyAlignment="1">
      <alignment horizontal="center"/>
    </xf>
    <xf numFmtId="10" fontId="5" fillId="0" borderId="0" xfId="5" applyNumberFormat="1" applyFont="1" applyAlignment="1">
      <alignment horizontal="center"/>
    </xf>
    <xf numFmtId="4" fontId="0" fillId="0" borderId="0" xfId="0" applyNumberFormat="1" applyFont="1" applyFill="1" applyBorder="1"/>
    <xf numFmtId="2" fontId="0" fillId="2" borderId="2" xfId="0" applyNumberFormat="1" applyFont="1" applyFill="1" applyBorder="1" applyAlignment="1" applyProtection="1">
      <alignment horizontal="center"/>
      <protection hidden="1"/>
    </xf>
    <xf numFmtId="167" fontId="0" fillId="0" borderId="0" xfId="0" applyNumberFormat="1" applyFont="1"/>
    <xf numFmtId="10" fontId="5" fillId="2" borderId="2" xfId="5" applyNumberFormat="1" applyFont="1" applyFill="1" applyBorder="1" applyAlignment="1" applyProtection="1">
      <alignment horizontal="center"/>
      <protection hidden="1"/>
    </xf>
    <xf numFmtId="10" fontId="14" fillId="3" borderId="0" xfId="5" applyNumberFormat="1" applyFont="1" applyFill="1" applyAlignment="1">
      <alignment horizontal="center"/>
    </xf>
    <xf numFmtId="0" fontId="2" fillId="0" borderId="0" xfId="0" applyFont="1"/>
    <xf numFmtId="0" fontId="0" fillId="2" borderId="2" xfId="0" applyFill="1" applyBorder="1"/>
    <xf numFmtId="0" fontId="19" fillId="0" borderId="0" xfId="0" applyFont="1"/>
    <xf numFmtId="2" fontId="0" fillId="9" borderId="2" xfId="0" applyNumberFormat="1" applyFont="1" applyFill="1" applyBorder="1" applyAlignment="1">
      <alignment horizontal="right"/>
    </xf>
    <xf numFmtId="0" fontId="0" fillId="2" borderId="0" xfId="0" applyFill="1"/>
    <xf numFmtId="0" fontId="0" fillId="0" borderId="0" xfId="0" applyAlignment="1">
      <alignment horizontal="center"/>
    </xf>
    <xf numFmtId="2" fontId="0" fillId="2" borderId="2" xfId="0" applyNumberFormat="1" applyFill="1" applyBorder="1"/>
    <xf numFmtId="0" fontId="12" fillId="2" borderId="0" xfId="0" applyFont="1" applyFill="1"/>
    <xf numFmtId="2" fontId="0" fillId="2" borderId="2" xfId="0" applyNumberFormat="1" applyFill="1" applyBorder="1" applyAlignment="1">
      <alignment horizontal="right"/>
    </xf>
    <xf numFmtId="0" fontId="20" fillId="0" borderId="0" xfId="0" applyFont="1"/>
    <xf numFmtId="0" fontId="21" fillId="0" borderId="0" xfId="0" applyFont="1" applyBorder="1" applyAlignment="1">
      <alignment horizontal="center"/>
    </xf>
    <xf numFmtId="14" fontId="0" fillId="0" borderId="0" xfId="0" applyNumberFormat="1" applyFont="1"/>
    <xf numFmtId="0" fontId="0" fillId="2" borderId="2" xfId="0" applyFill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2" fillId="0" borderId="0" xfId="0" applyFont="1"/>
    <xf numFmtId="0" fontId="11" fillId="0" borderId="0" xfId="0" applyFont="1"/>
    <xf numFmtId="0" fontId="17" fillId="2" borderId="0" xfId="0" applyFont="1" applyFill="1"/>
    <xf numFmtId="0" fontId="23" fillId="2" borderId="0" xfId="0" applyFont="1" applyFill="1" applyAlignment="1">
      <alignment horizontal="center"/>
    </xf>
    <xf numFmtId="0" fontId="23" fillId="2" borderId="0" xfId="0" applyFont="1" applyFill="1"/>
    <xf numFmtId="0" fontId="23" fillId="0" borderId="0" xfId="0" applyFont="1" applyAlignment="1">
      <alignment horizontal="center"/>
    </xf>
    <xf numFmtId="2" fontId="23" fillId="2" borderId="2" xfId="0" applyNumberFormat="1" applyFont="1" applyFill="1" applyBorder="1" applyAlignment="1">
      <alignment horizontal="right"/>
    </xf>
    <xf numFmtId="9" fontId="23" fillId="0" borderId="0" xfId="5" applyFont="1" applyAlignment="1">
      <alignment horizontal="center"/>
    </xf>
    <xf numFmtId="0" fontId="23" fillId="2" borderId="2" xfId="0" applyFont="1" applyFill="1" applyBorder="1"/>
    <xf numFmtId="166" fontId="23" fillId="0" borderId="0" xfId="0" applyNumberFormat="1" applyFont="1" applyAlignment="1">
      <alignment horizontal="center"/>
    </xf>
    <xf numFmtId="4" fontId="23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4" fontId="0" fillId="2" borderId="2" xfId="0" applyNumberFormat="1" applyFill="1" applyBorder="1" applyAlignment="1">
      <alignment horizontal="center"/>
    </xf>
    <xf numFmtId="0" fontId="25" fillId="0" borderId="0" xfId="0" applyFont="1"/>
    <xf numFmtId="2" fontId="25" fillId="0" borderId="0" xfId="0" applyNumberFormat="1" applyFont="1" applyAlignment="1"/>
    <xf numFmtId="0" fontId="26" fillId="0" borderId="0" xfId="0" applyFont="1"/>
    <xf numFmtId="0" fontId="25" fillId="2" borderId="2" xfId="0" applyFont="1" applyFill="1" applyBorder="1" applyAlignment="1"/>
    <xf numFmtId="0" fontId="25" fillId="0" borderId="0" xfId="0" applyFont="1" applyFill="1"/>
    <xf numFmtId="15" fontId="25" fillId="2" borderId="2" xfId="0" applyNumberFormat="1" applyFont="1" applyFill="1" applyBorder="1" applyAlignment="1">
      <alignment horizontal="center"/>
    </xf>
    <xf numFmtId="14" fontId="25" fillId="0" borderId="0" xfId="0" applyNumberFormat="1" applyFont="1"/>
    <xf numFmtId="0" fontId="25" fillId="2" borderId="3" xfId="0" applyFont="1" applyFill="1" applyBorder="1" applyAlignment="1">
      <alignment horizontal="center"/>
    </xf>
    <xf numFmtId="0" fontId="25" fillId="2" borderId="2" xfId="0" applyFont="1" applyFill="1" applyBorder="1" applyAlignment="1">
      <alignment horizontal="center"/>
    </xf>
    <xf numFmtId="0" fontId="25" fillId="0" borderId="0" xfId="0" applyFont="1" applyAlignment="1">
      <alignment horizontal="left"/>
    </xf>
    <xf numFmtId="0" fontId="15" fillId="2" borderId="2" xfId="0" applyFont="1" applyFill="1" applyBorder="1" applyAlignment="1">
      <alignment horizontal="center"/>
    </xf>
    <xf numFmtId="9" fontId="25" fillId="2" borderId="2" xfId="5" applyFont="1" applyFill="1" applyBorder="1" applyAlignment="1">
      <alignment horizontal="center"/>
    </xf>
    <xf numFmtId="0" fontId="27" fillId="0" borderId="0" xfId="0" applyFont="1"/>
    <xf numFmtId="0" fontId="25" fillId="0" borderId="0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 applyBorder="1"/>
    <xf numFmtId="0" fontId="25" fillId="0" borderId="0" xfId="0" applyFont="1" applyBorder="1" applyAlignment="1">
      <alignment horizontal="center"/>
    </xf>
    <xf numFmtId="3" fontId="25" fillId="0" borderId="0" xfId="0" applyNumberFormat="1" applyFont="1" applyFill="1" applyBorder="1"/>
    <xf numFmtId="10" fontId="25" fillId="0" borderId="0" xfId="5" applyNumberFormat="1" applyFont="1"/>
    <xf numFmtId="0" fontId="25" fillId="2" borderId="2" xfId="0" applyFont="1" applyFill="1" applyBorder="1"/>
    <xf numFmtId="3" fontId="25" fillId="0" borderId="0" xfId="0" applyNumberFormat="1" applyFont="1"/>
    <xf numFmtId="10" fontId="25" fillId="0" borderId="0" xfId="0" applyNumberFormat="1" applyFont="1"/>
    <xf numFmtId="3" fontId="25" fillId="0" borderId="0" xfId="0" applyNumberFormat="1" applyFont="1" applyAlignment="1">
      <alignment horizontal="center"/>
    </xf>
    <xf numFmtId="0" fontId="25" fillId="0" borderId="0" xfId="0" applyFont="1" applyFill="1" applyBorder="1"/>
    <xf numFmtId="16" fontId="25" fillId="2" borderId="2" xfId="0" applyNumberFormat="1" applyFont="1" applyFill="1" applyBorder="1" applyAlignment="1">
      <alignment horizontal="center"/>
    </xf>
    <xf numFmtId="164" fontId="25" fillId="2" borderId="2" xfId="0" applyNumberFormat="1" applyFont="1" applyFill="1" applyBorder="1" applyAlignment="1">
      <alignment horizontal="center"/>
    </xf>
    <xf numFmtId="1" fontId="25" fillId="10" borderId="2" xfId="0" applyNumberFormat="1" applyFont="1" applyFill="1" applyBorder="1" applyAlignment="1">
      <alignment horizontal="center"/>
    </xf>
    <xf numFmtId="0" fontId="25" fillId="2" borderId="2" xfId="0" applyNumberFormat="1" applyFont="1" applyFill="1" applyBorder="1" applyAlignment="1">
      <alignment horizontal="center"/>
    </xf>
    <xf numFmtId="164" fontId="25" fillId="10" borderId="2" xfId="0" applyNumberFormat="1" applyFont="1" applyFill="1" applyBorder="1" applyAlignment="1">
      <alignment horizontal="center"/>
    </xf>
    <xf numFmtId="1" fontId="25" fillId="2" borderId="2" xfId="0" applyNumberFormat="1" applyFont="1" applyFill="1" applyBorder="1" applyAlignment="1">
      <alignment horizontal="center"/>
    </xf>
    <xf numFmtId="1" fontId="25" fillId="0" borderId="0" xfId="0" applyNumberFormat="1" applyFont="1" applyBorder="1"/>
    <xf numFmtId="0" fontId="25" fillId="0" borderId="0" xfId="0" applyFont="1" applyAlignment="1">
      <alignment horizontal="right"/>
    </xf>
    <xf numFmtId="164" fontId="25" fillId="4" borderId="2" xfId="0" applyNumberFormat="1" applyFont="1" applyFill="1" applyBorder="1"/>
    <xf numFmtId="165" fontId="25" fillId="10" borderId="0" xfId="0" applyNumberFormat="1" applyFont="1" applyFill="1"/>
    <xf numFmtId="165" fontId="25" fillId="0" borderId="0" xfId="0" applyNumberFormat="1" applyFont="1"/>
    <xf numFmtId="2" fontId="25" fillId="2" borderId="2" xfId="0" applyNumberFormat="1" applyFont="1" applyFill="1" applyBorder="1"/>
    <xf numFmtId="4" fontId="25" fillId="0" borderId="0" xfId="0" applyNumberFormat="1" applyFont="1"/>
    <xf numFmtId="164" fontId="25" fillId="0" borderId="0" xfId="0" applyNumberFormat="1" applyFont="1"/>
    <xf numFmtId="2" fontId="25" fillId="0" borderId="0" xfId="0" applyNumberFormat="1" applyFont="1"/>
    <xf numFmtId="0" fontId="25" fillId="2" borderId="0" xfId="0" applyFont="1" applyFill="1"/>
    <xf numFmtId="0" fontId="25" fillId="2" borderId="0" xfId="0" applyFont="1" applyFill="1" applyAlignment="1">
      <alignment horizontal="center"/>
    </xf>
    <xf numFmtId="2" fontId="25" fillId="2" borderId="2" xfId="0" applyNumberFormat="1" applyFont="1" applyFill="1" applyBorder="1" applyAlignment="1">
      <alignment horizontal="right"/>
    </xf>
    <xf numFmtId="9" fontId="25" fillId="0" borderId="0" xfId="5" applyFont="1" applyAlignment="1">
      <alignment horizontal="center"/>
    </xf>
    <xf numFmtId="166" fontId="25" fillId="0" borderId="0" xfId="0" applyNumberFormat="1" applyFont="1" applyAlignment="1">
      <alignment horizontal="center"/>
    </xf>
    <xf numFmtId="0" fontId="28" fillId="2" borderId="0" xfId="0" applyFont="1" applyFill="1"/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2" fontId="17" fillId="2" borderId="2" xfId="0" applyNumberFormat="1" applyFont="1" applyFill="1" applyBorder="1" applyAlignment="1">
      <alignment horizontal="right"/>
    </xf>
    <xf numFmtId="9" fontId="17" fillId="0" borderId="0" xfId="5" applyFont="1" applyAlignment="1">
      <alignment horizontal="center"/>
    </xf>
    <xf numFmtId="0" fontId="17" fillId="2" borderId="2" xfId="0" applyFont="1" applyFill="1" applyBorder="1"/>
    <xf numFmtId="166" fontId="17" fillId="0" borderId="0" xfId="0" applyNumberFormat="1" applyFont="1" applyAlignment="1">
      <alignment horizontal="center"/>
    </xf>
    <xf numFmtId="4" fontId="17" fillId="0" borderId="0" xfId="0" applyNumberFormat="1" applyFont="1"/>
    <xf numFmtId="2" fontId="25" fillId="9" borderId="2" xfId="0" applyNumberFormat="1" applyFont="1" applyFill="1" applyBorder="1" applyAlignment="1">
      <alignment horizontal="right"/>
    </xf>
    <xf numFmtId="2" fontId="25" fillId="0" borderId="0" xfId="0" applyNumberFormat="1" applyFont="1" applyAlignment="1">
      <alignment horizontal="right"/>
    </xf>
    <xf numFmtId="9" fontId="25" fillId="0" borderId="0" xfId="5" applyFont="1" applyAlignment="1">
      <alignment horizontal="right"/>
    </xf>
    <xf numFmtId="166" fontId="25" fillId="0" borderId="0" xfId="0" applyNumberFormat="1" applyFont="1"/>
    <xf numFmtId="2" fontId="25" fillId="0" borderId="0" xfId="0" applyNumberFormat="1" applyFont="1" applyAlignment="1">
      <alignment horizontal="center"/>
    </xf>
    <xf numFmtId="10" fontId="25" fillId="0" borderId="0" xfId="5" applyNumberFormat="1" applyFont="1" applyAlignment="1">
      <alignment horizontal="center"/>
    </xf>
    <xf numFmtId="4" fontId="25" fillId="0" borderId="0" xfId="0" applyNumberFormat="1" applyFont="1" applyFill="1" applyBorder="1"/>
    <xf numFmtId="2" fontId="25" fillId="2" borderId="2" xfId="0" applyNumberFormat="1" applyFont="1" applyFill="1" applyBorder="1" applyAlignment="1" applyProtection="1">
      <alignment horizontal="center"/>
      <protection hidden="1"/>
    </xf>
    <xf numFmtId="167" fontId="25" fillId="0" borderId="0" xfId="0" applyNumberFormat="1" applyFont="1"/>
    <xf numFmtId="10" fontId="25" fillId="2" borderId="2" xfId="5" applyNumberFormat="1" applyFont="1" applyFill="1" applyBorder="1" applyAlignment="1" applyProtection="1">
      <alignment horizontal="center"/>
      <protection hidden="1"/>
    </xf>
    <xf numFmtId="0" fontId="14" fillId="3" borderId="2" xfId="0" applyFont="1" applyFill="1" applyBorder="1" applyAlignment="1">
      <alignment horizontal="center" wrapText="1"/>
    </xf>
    <xf numFmtId="0" fontId="25" fillId="0" borderId="0" xfId="0" applyFont="1" applyAlignment="1">
      <alignment wrapText="1"/>
    </xf>
    <xf numFmtId="0" fontId="29" fillId="6" borderId="6" xfId="2" quotePrefix="1" applyFont="1"/>
    <xf numFmtId="0" fontId="29" fillId="6" borderId="6" xfId="2" applyFont="1"/>
    <xf numFmtId="0" fontId="29" fillId="0" borderId="6" xfId="2" applyFont="1" applyFill="1"/>
    <xf numFmtId="0" fontId="8" fillId="7" borderId="6" xfId="3"/>
    <xf numFmtId="0" fontId="30" fillId="7" borderId="6" xfId="3" quotePrefix="1" applyFont="1"/>
    <xf numFmtId="0" fontId="30" fillId="7" borderId="6" xfId="3" quotePrefix="1" applyFont="1" applyAlignment="1">
      <alignment wrapText="1"/>
    </xf>
    <xf numFmtId="0" fontId="30" fillId="7" borderId="6" xfId="3" applyFont="1"/>
    <xf numFmtId="166" fontId="30" fillId="7" borderId="6" xfId="3" quotePrefix="1" applyNumberFormat="1" applyFont="1"/>
    <xf numFmtId="2" fontId="30" fillId="7" borderId="6" xfId="3" quotePrefix="1" applyNumberFormat="1" applyFont="1" applyAlignment="1">
      <alignment horizontal="left"/>
    </xf>
    <xf numFmtId="0" fontId="30" fillId="7" borderId="6" xfId="3" quotePrefix="1" applyFont="1" applyAlignment="1">
      <alignment horizontal="left"/>
    </xf>
    <xf numFmtId="0" fontId="25" fillId="0" borderId="0" xfId="0" quotePrefix="1" applyFont="1" applyAlignment="1">
      <alignment wrapText="1"/>
    </xf>
    <xf numFmtId="4" fontId="9" fillId="8" borderId="3" xfId="4" applyNumberFormat="1" applyBorder="1"/>
    <xf numFmtId="0" fontId="31" fillId="8" borderId="4" xfId="4" quotePrefix="1" applyFont="1" applyBorder="1"/>
    <xf numFmtId="0" fontId="31" fillId="8" borderId="8" xfId="4" applyFont="1" applyBorder="1"/>
    <xf numFmtId="0" fontId="31" fillId="8" borderId="5" xfId="4" applyFont="1" applyBorder="1"/>
    <xf numFmtId="0" fontId="25" fillId="10" borderId="0" xfId="0" quotePrefix="1" applyFont="1" applyFill="1"/>
    <xf numFmtId="0" fontId="25" fillId="10" borderId="0" xfId="0" applyFont="1" applyFill="1"/>
    <xf numFmtId="165" fontId="32" fillId="5" borderId="0" xfId="1" applyNumberFormat="1" applyFont="1"/>
    <xf numFmtId="3" fontId="32" fillId="5" borderId="0" xfId="1" quotePrefix="1" applyNumberFormat="1" applyFont="1"/>
    <xf numFmtId="0" fontId="32" fillId="5" borderId="0" xfId="1" applyFont="1"/>
    <xf numFmtId="4" fontId="32" fillId="5" borderId="0" xfId="1" applyNumberFormat="1" applyFont="1"/>
    <xf numFmtId="0" fontId="33" fillId="6" borderId="7" xfId="6" applyFont="1"/>
    <xf numFmtId="0" fontId="27" fillId="4" borderId="2" xfId="0" applyFont="1" applyFill="1" applyBorder="1"/>
    <xf numFmtId="0" fontId="25" fillId="0" borderId="0" xfId="0" quotePrefix="1" applyFont="1" applyAlignment="1">
      <alignment vertical="center" wrapText="1"/>
    </xf>
    <xf numFmtId="0" fontId="15" fillId="2" borderId="4" xfId="0" applyFont="1" applyFill="1" applyBorder="1" applyAlignment="1">
      <alignment horizontal="left"/>
    </xf>
    <xf numFmtId="0" fontId="15" fillId="2" borderId="5" xfId="0" applyFont="1" applyFill="1" applyBorder="1" applyAlignment="1">
      <alignment horizontal="left"/>
    </xf>
    <xf numFmtId="0" fontId="15" fillId="2" borderId="2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30" fillId="7" borderId="4" xfId="3" quotePrefix="1" applyFont="1" applyBorder="1" applyAlignment="1">
      <alignment horizontal="left"/>
    </xf>
    <xf numFmtId="0" fontId="30" fillId="7" borderId="5" xfId="3" quotePrefix="1" applyFont="1" applyBorder="1" applyAlignment="1">
      <alignment horizontal="left"/>
    </xf>
    <xf numFmtId="2" fontId="30" fillId="7" borderId="9" xfId="3" quotePrefix="1" applyNumberFormat="1" applyFont="1" applyBorder="1" applyAlignment="1">
      <alignment horizontal="left" vertical="center" wrapText="1"/>
    </xf>
    <xf numFmtId="2" fontId="30" fillId="7" borderId="10" xfId="3" quotePrefix="1" applyNumberFormat="1" applyFont="1" applyBorder="1" applyAlignment="1">
      <alignment horizontal="left" vertical="center" wrapText="1"/>
    </xf>
    <xf numFmtId="0" fontId="25" fillId="2" borderId="2" xfId="0" applyFont="1" applyFill="1" applyBorder="1" applyAlignment="1">
      <alignment horizontal="left"/>
    </xf>
    <xf numFmtId="0" fontId="25" fillId="0" borderId="0" xfId="0" applyFont="1" applyAlignment="1">
      <alignment horizontal="left"/>
    </xf>
    <xf numFmtId="0" fontId="25" fillId="0" borderId="0" xfId="0" applyFont="1" applyBorder="1" applyAlignment="1">
      <alignment horizontal="left"/>
    </xf>
    <xf numFmtId="0" fontId="27" fillId="0" borderId="0" xfId="0" applyFont="1" applyAlignment="1">
      <alignment horizontal="center" vertical="center" wrapText="1"/>
    </xf>
    <xf numFmtId="1" fontId="25" fillId="10" borderId="2" xfId="0" applyNumberFormat="1" applyFont="1" applyFill="1" applyBorder="1" applyAlignment="1">
      <alignment horizontal="left"/>
    </xf>
    <xf numFmtId="0" fontId="7" fillId="6" borderId="9" xfId="2" applyBorder="1"/>
    <xf numFmtId="2" fontId="18" fillId="12" borderId="2" xfId="0" applyNumberFormat="1" applyFont="1" applyFill="1" applyBorder="1" applyAlignment="1">
      <alignment horizontal="center"/>
    </xf>
    <xf numFmtId="0" fontId="29" fillId="6" borderId="11" xfId="2" applyFont="1" applyBorder="1"/>
    <xf numFmtId="1" fontId="25" fillId="10" borderId="3" xfId="0" applyNumberFormat="1" applyFont="1" applyFill="1" applyBorder="1" applyAlignment="1">
      <alignment horizontal="center"/>
    </xf>
    <xf numFmtId="0" fontId="25" fillId="10" borderId="4" xfId="0" quotePrefix="1" applyFont="1" applyFill="1" applyBorder="1"/>
    <xf numFmtId="0" fontId="25" fillId="10" borderId="5" xfId="0" applyFont="1" applyFill="1" applyBorder="1"/>
    <xf numFmtId="0" fontId="34" fillId="0" borderId="0" xfId="0" applyFont="1"/>
    <xf numFmtId="2" fontId="35" fillId="7" borderId="6" xfId="3" quotePrefix="1" applyNumberFormat="1" applyFont="1" applyAlignment="1">
      <alignment horizontal="left"/>
    </xf>
    <xf numFmtId="0" fontId="5" fillId="11" borderId="3" xfId="7" quotePrefix="1" applyBorder="1"/>
    <xf numFmtId="0" fontId="5" fillId="11" borderId="12" xfId="7" quotePrefix="1" applyBorder="1"/>
    <xf numFmtId="2" fontId="30" fillId="7" borderId="4" xfId="3" quotePrefix="1" applyNumberFormat="1" applyFont="1" applyBorder="1" applyAlignment="1">
      <alignment horizontal="left"/>
    </xf>
    <xf numFmtId="2" fontId="30" fillId="7" borderId="5" xfId="3" quotePrefix="1" applyNumberFormat="1" applyFont="1" applyBorder="1" applyAlignment="1">
      <alignment horizontal="left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25" fillId="0" borderId="0" xfId="0" applyFont="1" applyAlignment="1">
      <alignment horizontal="left" wrapText="1"/>
    </xf>
    <xf numFmtId="0" fontId="25" fillId="0" borderId="13" xfId="0" applyFont="1" applyBorder="1" applyAlignment="1">
      <alignment horizontal="left" wrapText="1"/>
    </xf>
  </cellXfs>
  <cellStyles count="8">
    <cellStyle name="20% - Accent3" xfId="7" builtinId="38"/>
    <cellStyle name="Calculation" xfId="2" builtinId="22"/>
    <cellStyle name="Good" xfId="1" builtinId="26"/>
    <cellStyle name="Input" xfId="3" builtinId="20"/>
    <cellStyle name="Neutral" xfId="4" builtinId="28"/>
    <cellStyle name="Normal" xfId="0" builtinId="0"/>
    <cellStyle name="Output" xfId="6" builtinId="21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716280</xdr:colOff>
      <xdr:row>2</xdr:row>
      <xdr:rowOff>45720</xdr:rowOff>
    </xdr:from>
    <xdr:to>
      <xdr:col>8</xdr:col>
      <xdr:colOff>647700</xdr:colOff>
      <xdr:row>12</xdr:row>
      <xdr:rowOff>106680</xdr:rowOff>
    </xdr:to>
    <xdr:pic>
      <xdr:nvPicPr>
        <xdr:cNvPr id="18477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2360" y="426720"/>
          <a:ext cx="1821180" cy="1889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716280</xdr:colOff>
      <xdr:row>2</xdr:row>
      <xdr:rowOff>45720</xdr:rowOff>
    </xdr:from>
    <xdr:to>
      <xdr:col>8</xdr:col>
      <xdr:colOff>647700</xdr:colOff>
      <xdr:row>12</xdr:row>
      <xdr:rowOff>106680</xdr:rowOff>
    </xdr:to>
    <xdr:pic>
      <xdr:nvPicPr>
        <xdr:cNvPr id="19478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2360" y="426720"/>
          <a:ext cx="1821180" cy="1889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716280</xdr:colOff>
      <xdr:row>2</xdr:row>
      <xdr:rowOff>45720</xdr:rowOff>
    </xdr:from>
    <xdr:to>
      <xdr:col>8</xdr:col>
      <xdr:colOff>647700</xdr:colOff>
      <xdr:row>12</xdr:row>
      <xdr:rowOff>106680</xdr:rowOff>
    </xdr:to>
    <xdr:pic>
      <xdr:nvPicPr>
        <xdr:cNvPr id="20497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2360" y="426720"/>
          <a:ext cx="1821180" cy="1889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860598</xdr:colOff>
      <xdr:row>0</xdr:row>
      <xdr:rowOff>151534</xdr:rowOff>
    </xdr:from>
    <xdr:to>
      <xdr:col>8</xdr:col>
      <xdr:colOff>792018</xdr:colOff>
      <xdr:row>11</xdr:row>
      <xdr:rowOff>17664</xdr:rowOff>
    </xdr:to>
    <xdr:pic>
      <xdr:nvPicPr>
        <xdr:cNvPr id="21516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2643" y="151534"/>
          <a:ext cx="1764261" cy="18721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598351</xdr:colOff>
      <xdr:row>0</xdr:row>
      <xdr:rowOff>103735</xdr:rowOff>
    </xdr:from>
    <xdr:to>
      <xdr:col>9</xdr:col>
      <xdr:colOff>1</xdr:colOff>
      <xdr:row>10</xdr:row>
      <xdr:rowOff>11785</xdr:rowOff>
    </xdr:to>
    <xdr:pic>
      <xdr:nvPicPr>
        <xdr:cNvPr id="22536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4678" y="103735"/>
          <a:ext cx="1695425" cy="17838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139"/>
  <sheetViews>
    <sheetView topLeftCell="A70" zoomScale="90" zoomScaleNormal="90" workbookViewId="0">
      <selection activeCell="I74" sqref="I74"/>
    </sheetView>
  </sheetViews>
  <sheetFormatPr defaultColWidth="11.42578125" defaultRowHeight="15" x14ac:dyDescent="0.25"/>
  <cols>
    <col min="1" max="1" width="25.5703125" style="4" customWidth="1"/>
    <col min="2" max="2" width="20.42578125" style="4" customWidth="1"/>
    <col min="3" max="4" width="13.140625" style="4" customWidth="1"/>
    <col min="5" max="5" width="14.5703125" style="4" bestFit="1" customWidth="1"/>
    <col min="6" max="6" width="11.42578125" style="4"/>
    <col min="7" max="7" width="14.42578125" style="4" bestFit="1" customWidth="1"/>
    <col min="8" max="8" width="13.140625" style="4" bestFit="1" customWidth="1"/>
    <col min="9" max="9" width="14" style="4" customWidth="1"/>
    <col min="10" max="10" width="13.140625" style="4" bestFit="1" customWidth="1"/>
    <col min="11" max="11" width="11.85546875" style="4" bestFit="1" customWidth="1"/>
    <col min="12" max="16384" width="11.42578125" style="4"/>
  </cols>
  <sheetData>
    <row r="2" spans="1:13" ht="15.6" x14ac:dyDescent="0.3">
      <c r="A2" s="3" t="s">
        <v>0</v>
      </c>
      <c r="G2" s="5"/>
      <c r="H2" s="6"/>
      <c r="I2" s="80"/>
      <c r="J2" s="88"/>
      <c r="K2" s="88"/>
      <c r="L2" s="88"/>
      <c r="M2" s="88"/>
    </row>
    <row r="3" spans="1:13" ht="14.45" x14ac:dyDescent="0.3">
      <c r="I3"/>
      <c r="J3" s="88"/>
      <c r="K3" s="88"/>
      <c r="L3" s="88"/>
      <c r="M3" s="88"/>
    </row>
    <row r="4" spans="1:13" ht="14.45" x14ac:dyDescent="0.3">
      <c r="A4" s="7" t="s">
        <v>1</v>
      </c>
      <c r="B4" s="8" t="s">
        <v>2</v>
      </c>
      <c r="C4" s="9"/>
      <c r="E4" s="4" t="s">
        <v>3</v>
      </c>
      <c r="F4" s="10">
        <v>41137</v>
      </c>
      <c r="G4" s="89"/>
      <c r="I4"/>
      <c r="J4" s="88"/>
      <c r="K4" s="88"/>
      <c r="L4" s="88"/>
      <c r="M4" s="88"/>
    </row>
    <row r="5" spans="1:13" ht="14.45" x14ac:dyDescent="0.3">
      <c r="A5" s="7" t="s">
        <v>4</v>
      </c>
      <c r="B5" s="11"/>
      <c r="C5" s="9"/>
      <c r="E5" s="4" t="s">
        <v>5</v>
      </c>
      <c r="F5" s="10"/>
      <c r="I5"/>
      <c r="J5" s="93" t="s">
        <v>146</v>
      </c>
      <c r="K5" s="88"/>
      <c r="L5" s="88"/>
      <c r="M5" s="88"/>
    </row>
    <row r="6" spans="1:13" ht="14.45" x14ac:dyDescent="0.3">
      <c r="A6" s="7" t="s">
        <v>6</v>
      </c>
      <c r="B6" s="195" t="s">
        <v>144</v>
      </c>
      <c r="C6" s="196"/>
      <c r="I6"/>
      <c r="J6" s="93" t="s">
        <v>147</v>
      </c>
      <c r="K6" s="88"/>
      <c r="L6" s="88"/>
      <c r="M6" s="88"/>
    </row>
    <row r="7" spans="1:13" ht="14.45" x14ac:dyDescent="0.3">
      <c r="A7" s="4" t="s">
        <v>7</v>
      </c>
      <c r="B7" s="197" t="s">
        <v>145</v>
      </c>
      <c r="C7" s="198"/>
      <c r="I7"/>
      <c r="J7" s="87"/>
      <c r="K7"/>
      <c r="L7"/>
      <c r="M7"/>
    </row>
    <row r="8" spans="1:13" ht="14.45" x14ac:dyDescent="0.3">
      <c r="A8" s="4" t="s">
        <v>8</v>
      </c>
      <c r="B8" s="12" t="s">
        <v>9</v>
      </c>
      <c r="C8" s="13" t="s">
        <v>10</v>
      </c>
      <c r="E8" s="91" t="s">
        <v>11</v>
      </c>
      <c r="F8" s="12">
        <v>120</v>
      </c>
      <c r="G8" s="4" t="s">
        <v>12</v>
      </c>
      <c r="I8"/>
    </row>
    <row r="9" spans="1:13" x14ac:dyDescent="0.25">
      <c r="A9" s="4" t="s">
        <v>13</v>
      </c>
      <c r="B9" s="14" t="s">
        <v>150</v>
      </c>
      <c r="C9" s="15">
        <v>1</v>
      </c>
      <c r="D9" s="94">
        <v>100023</v>
      </c>
      <c r="E9" s="91" t="s">
        <v>14</v>
      </c>
      <c r="F9" s="12">
        <v>1</v>
      </c>
      <c r="G9" s="4" t="s">
        <v>15</v>
      </c>
      <c r="I9"/>
    </row>
    <row r="10" spans="1:13" ht="14.45" x14ac:dyDescent="0.3">
      <c r="B10" s="12"/>
      <c r="C10" s="15"/>
      <c r="E10" s="91" t="s">
        <v>16</v>
      </c>
      <c r="F10" s="12">
        <v>48</v>
      </c>
      <c r="G10" s="4" t="s">
        <v>15</v>
      </c>
      <c r="I10"/>
    </row>
    <row r="11" spans="1:13" ht="14.45" x14ac:dyDescent="0.3">
      <c r="B11" s="12"/>
      <c r="C11" s="15"/>
      <c r="E11" s="91" t="s">
        <v>17</v>
      </c>
      <c r="F11" s="16">
        <f>+F9*F10</f>
        <v>48</v>
      </c>
      <c r="G11" s="4" t="s">
        <v>15</v>
      </c>
      <c r="I11"/>
    </row>
    <row r="12" spans="1:13" ht="14.45" x14ac:dyDescent="0.3">
      <c r="D12" s="91"/>
      <c r="E12" s="16"/>
      <c r="G12" s="17"/>
      <c r="I12"/>
    </row>
    <row r="14" spans="1:13" ht="14.45" x14ac:dyDescent="0.3">
      <c r="A14" s="5" t="s">
        <v>18</v>
      </c>
      <c r="E14" s="18"/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  <c r="K14" s="18" t="s">
        <v>24</v>
      </c>
      <c r="L14" s="18" t="s">
        <v>25</v>
      </c>
    </row>
    <row r="15" spans="1:13" ht="14.45" x14ac:dyDescent="0.3">
      <c r="A15" s="19">
        <v>1.05</v>
      </c>
      <c r="C15" s="20"/>
      <c r="E15" s="21"/>
      <c r="F15" s="21"/>
      <c r="G15" s="21"/>
      <c r="H15" s="21"/>
    </row>
    <row r="16" spans="1:13" ht="14.45" x14ac:dyDescent="0.3">
      <c r="A16" s="22" t="s">
        <v>148</v>
      </c>
      <c r="B16" s="23">
        <f>+$A$15</f>
        <v>1.05</v>
      </c>
      <c r="C16" s="24">
        <f>SUM(E16:K16)</f>
        <v>794</v>
      </c>
      <c r="D16" s="25">
        <f>+C16/$C$26</f>
        <v>0.48951911220715166</v>
      </c>
      <c r="E16" s="12"/>
      <c r="F16" s="12"/>
      <c r="G16" s="12"/>
      <c r="H16" s="12">
        <f>492+253+49</f>
        <v>794</v>
      </c>
      <c r="I16" s="12"/>
      <c r="J16" s="12"/>
      <c r="K16" s="12"/>
      <c r="L16" s="12"/>
    </row>
    <row r="17" spans="1:12" ht="14.45" x14ac:dyDescent="0.3">
      <c r="A17" s="22" t="s">
        <v>149</v>
      </c>
      <c r="B17" s="23">
        <f t="shared" ref="B17:B25" si="0">+$A$15</f>
        <v>1.05</v>
      </c>
      <c r="C17" s="24">
        <f>SUM(E17:K17)</f>
        <v>828</v>
      </c>
      <c r="D17" s="25">
        <f>+C17/$C$26</f>
        <v>0.51048088779284828</v>
      </c>
      <c r="E17" s="12"/>
      <c r="F17" s="12"/>
      <c r="G17" s="12"/>
      <c r="H17" s="12">
        <f>+H16+34</f>
        <v>828</v>
      </c>
      <c r="I17" s="12"/>
      <c r="J17" s="12"/>
      <c r="K17" s="12"/>
      <c r="L17" s="12"/>
    </row>
    <row r="18" spans="1:12" ht="14.45" x14ac:dyDescent="0.3">
      <c r="A18" s="22"/>
      <c r="B18" s="23">
        <f t="shared" si="0"/>
        <v>1.05</v>
      </c>
      <c r="C18" s="24">
        <f>SUM(E18:K18)</f>
        <v>0</v>
      </c>
      <c r="D18" s="25">
        <f>+C18/$C$26</f>
        <v>0</v>
      </c>
      <c r="E18" s="12"/>
      <c r="F18" s="12"/>
      <c r="G18" s="12"/>
      <c r="H18" s="12"/>
      <c r="I18" s="12"/>
      <c r="J18" s="12"/>
      <c r="K18" s="12"/>
      <c r="L18" s="12"/>
    </row>
    <row r="19" spans="1:12" ht="14.45" x14ac:dyDescent="0.3">
      <c r="A19" s="22"/>
      <c r="B19" s="23">
        <f t="shared" si="0"/>
        <v>1.05</v>
      </c>
      <c r="C19" s="24">
        <f>SUM(E19:K19)</f>
        <v>0</v>
      </c>
      <c r="D19" s="25">
        <f>+C19/$C$26</f>
        <v>0</v>
      </c>
      <c r="E19" s="12"/>
      <c r="F19" s="12"/>
      <c r="G19" s="12"/>
      <c r="H19" s="90"/>
      <c r="I19" s="12"/>
      <c r="J19" s="12"/>
      <c r="K19" s="12"/>
      <c r="L19" s="12"/>
    </row>
    <row r="20" spans="1:12" ht="14.45" x14ac:dyDescent="0.3">
      <c r="A20" s="79"/>
      <c r="B20" s="23">
        <f t="shared" si="0"/>
        <v>1.05</v>
      </c>
      <c r="C20" s="24">
        <f>SUM(E20:K20)</f>
        <v>0</v>
      </c>
      <c r="D20" s="25">
        <f>+C20/$C$26</f>
        <v>0</v>
      </c>
      <c r="E20" s="12"/>
      <c r="F20" s="12"/>
      <c r="G20" s="12"/>
      <c r="H20" s="12"/>
      <c r="I20" s="12"/>
      <c r="J20" s="12"/>
      <c r="K20" s="12"/>
      <c r="L20" s="12"/>
    </row>
    <row r="21" spans="1:12" ht="14.45" x14ac:dyDescent="0.3">
      <c r="A21" s="26"/>
      <c r="B21" s="23">
        <f t="shared" si="0"/>
        <v>1.05</v>
      </c>
      <c r="C21" s="24"/>
      <c r="D21" s="25"/>
      <c r="E21" s="12"/>
      <c r="F21" s="12"/>
      <c r="G21" s="12"/>
      <c r="H21" s="12"/>
      <c r="I21" s="12"/>
      <c r="J21" s="12"/>
      <c r="K21" s="12"/>
      <c r="L21" s="12"/>
    </row>
    <row r="22" spans="1:12" ht="14.45" x14ac:dyDescent="0.3">
      <c r="A22" s="26"/>
      <c r="B22" s="23">
        <f t="shared" si="0"/>
        <v>1.05</v>
      </c>
      <c r="C22" s="24"/>
      <c r="D22" s="25"/>
      <c r="E22" s="12"/>
      <c r="F22" s="12"/>
      <c r="G22" s="12"/>
      <c r="H22" s="12"/>
      <c r="I22" s="12"/>
      <c r="J22" s="12"/>
      <c r="K22" s="12"/>
      <c r="L22" s="12"/>
    </row>
    <row r="23" spans="1:12" ht="14.45" x14ac:dyDescent="0.3">
      <c r="A23" s="26"/>
      <c r="B23" s="23">
        <f t="shared" si="0"/>
        <v>1.05</v>
      </c>
      <c r="C23" s="24"/>
      <c r="D23" s="25"/>
      <c r="E23" s="12"/>
      <c r="F23" s="12"/>
      <c r="G23" s="12"/>
      <c r="H23" s="12"/>
      <c r="I23" s="12"/>
      <c r="J23" s="12"/>
      <c r="K23" s="12"/>
      <c r="L23" s="12"/>
    </row>
    <row r="24" spans="1:12" ht="14.45" x14ac:dyDescent="0.3">
      <c r="A24" s="26"/>
      <c r="B24" s="23">
        <f t="shared" si="0"/>
        <v>1.05</v>
      </c>
      <c r="C24" s="24"/>
      <c r="D24" s="25"/>
      <c r="E24" s="12"/>
      <c r="F24" s="12"/>
      <c r="G24" s="12"/>
      <c r="H24" s="12"/>
      <c r="I24" s="12"/>
      <c r="J24" s="12"/>
      <c r="K24" s="12"/>
      <c r="L24" s="12"/>
    </row>
    <row r="25" spans="1:12" ht="14.45" x14ac:dyDescent="0.3">
      <c r="A25" s="26"/>
      <c r="B25" s="23">
        <f t="shared" si="0"/>
        <v>1.05</v>
      </c>
      <c r="C25" s="24"/>
      <c r="D25" s="25"/>
      <c r="E25" s="12"/>
      <c r="F25" s="12"/>
      <c r="G25" s="12"/>
      <c r="H25" s="12"/>
      <c r="I25" s="12"/>
      <c r="J25" s="12"/>
      <c r="K25" s="12"/>
      <c r="L25" s="12"/>
    </row>
    <row r="26" spans="1:12" ht="14.45" x14ac:dyDescent="0.3">
      <c r="A26" s="4" t="s">
        <v>26</v>
      </c>
      <c r="C26" s="27">
        <f>SUM(C16:C25)</f>
        <v>1622</v>
      </c>
      <c r="D26" s="28">
        <f>SUM(D16:D25)</f>
        <v>1</v>
      </c>
      <c r="E26" s="29"/>
      <c r="F26" s="29"/>
      <c r="G26" s="29"/>
      <c r="H26" s="29">
        <f>SUM(H16:H25)</f>
        <v>1622</v>
      </c>
      <c r="I26" s="29"/>
      <c r="J26" s="29"/>
      <c r="K26" s="29"/>
      <c r="L26" s="29"/>
    </row>
    <row r="27" spans="1:12" ht="14.45" x14ac:dyDescent="0.3">
      <c r="C27" s="27"/>
      <c r="E27" s="27"/>
      <c r="F27" s="27"/>
      <c r="G27" s="27"/>
      <c r="H27" s="27"/>
    </row>
    <row r="28" spans="1:12" ht="14.45" x14ac:dyDescent="0.3">
      <c r="A28" s="30" t="s">
        <v>27</v>
      </c>
      <c r="D28" s="13" t="s">
        <v>28</v>
      </c>
      <c r="E28" s="31">
        <f>E14</f>
        <v>0</v>
      </c>
      <c r="F28" s="31" t="str">
        <f t="shared" ref="F28:L28" si="1">F14</f>
        <v>XS</v>
      </c>
      <c r="G28" s="31" t="str">
        <f t="shared" si="1"/>
        <v>S</v>
      </c>
      <c r="H28" s="31" t="str">
        <f t="shared" si="1"/>
        <v>M</v>
      </c>
      <c r="I28" s="31" t="str">
        <f t="shared" si="1"/>
        <v>L</v>
      </c>
      <c r="J28" s="31" t="str">
        <f t="shared" si="1"/>
        <v>XL</v>
      </c>
      <c r="K28" s="31" t="str">
        <f t="shared" si="1"/>
        <v>XXL</v>
      </c>
      <c r="L28" s="31" t="str">
        <f t="shared" si="1"/>
        <v>XXXL</v>
      </c>
    </row>
    <row r="29" spans="1:12" ht="14.45" x14ac:dyDescent="0.3">
      <c r="A29" s="4" t="str">
        <f>+A16</f>
        <v>EVENING BLUE</v>
      </c>
      <c r="B29" s="32">
        <f>IF(A29="white",$A$15*1.1,$A$15*1.05)</f>
        <v>1.1025</v>
      </c>
      <c r="C29" s="24">
        <f>SUM(E29:K29)</f>
        <v>876</v>
      </c>
      <c r="D29" s="25">
        <f>+C29/$C$39</f>
        <v>0.47790507364975449</v>
      </c>
      <c r="E29" s="17"/>
      <c r="F29" s="17"/>
      <c r="G29" s="17"/>
      <c r="H29" s="17">
        <f>ROUNDUP(+H16*$B29,0)</f>
        <v>876</v>
      </c>
      <c r="I29" s="17"/>
      <c r="J29" s="17"/>
      <c r="K29" s="17"/>
      <c r="L29" s="17"/>
    </row>
    <row r="30" spans="1:12" ht="14.45" x14ac:dyDescent="0.3">
      <c r="A30" s="4" t="str">
        <f>+A17</f>
        <v>WHITE</v>
      </c>
      <c r="B30" s="32">
        <f t="shared" ref="B30:B38" si="2">IF(A30="white",$A$15*1.1,$A$15*1.05)</f>
        <v>1.1550000000000002</v>
      </c>
      <c r="C30" s="24">
        <f>SUM(E30:K30)</f>
        <v>957</v>
      </c>
      <c r="D30" s="25">
        <f>+C30/$C$39</f>
        <v>0.52209492635024546</v>
      </c>
      <c r="E30" s="17"/>
      <c r="F30" s="17"/>
      <c r="G30" s="17"/>
      <c r="H30" s="17">
        <f>ROUNDUP(+H17*$B30,0)</f>
        <v>957</v>
      </c>
      <c r="I30" s="17"/>
      <c r="J30" s="17"/>
      <c r="K30" s="17"/>
      <c r="L30" s="17"/>
    </row>
    <row r="31" spans="1:12" ht="14.45" x14ac:dyDescent="0.3">
      <c r="A31" s="4">
        <f>+A18</f>
        <v>0</v>
      </c>
      <c r="B31" s="32">
        <f t="shared" si="2"/>
        <v>1.1025</v>
      </c>
      <c r="C31" s="24">
        <f>SUM(E31:K31)</f>
        <v>0</v>
      </c>
      <c r="D31" s="25">
        <f>+C31/$C$39</f>
        <v>0</v>
      </c>
      <c r="E31" s="17"/>
      <c r="F31" s="17"/>
      <c r="G31" s="17"/>
      <c r="H31" s="17">
        <f>ROUNDUP(+H18*$B31,0)</f>
        <v>0</v>
      </c>
      <c r="I31" s="17"/>
      <c r="J31" s="17"/>
      <c r="K31" s="17"/>
      <c r="L31" s="17"/>
    </row>
    <row r="32" spans="1:12" ht="14.45" x14ac:dyDescent="0.3">
      <c r="A32"/>
      <c r="B32" s="32">
        <f t="shared" si="2"/>
        <v>1.1025</v>
      </c>
      <c r="C32" s="24">
        <f>SUM(E32:K32)</f>
        <v>0</v>
      </c>
      <c r="D32" s="25">
        <f>+C32/$C$39</f>
        <v>0</v>
      </c>
      <c r="E32" s="17"/>
      <c r="F32" s="17"/>
      <c r="G32" s="17"/>
      <c r="H32" s="17">
        <f>ROUNDUP(+H19*$B32,0)</f>
        <v>0</v>
      </c>
      <c r="I32" s="17"/>
      <c r="J32" s="17"/>
      <c r="K32" s="17"/>
      <c r="L32" s="17"/>
    </row>
    <row r="33" spans="1:12" ht="14.45" x14ac:dyDescent="0.3">
      <c r="A33" s="64">
        <f>+A20</f>
        <v>0</v>
      </c>
      <c r="B33" s="32">
        <f t="shared" si="2"/>
        <v>1.1025</v>
      </c>
      <c r="C33" s="24">
        <f>SUM(E33:K33)</f>
        <v>0</v>
      </c>
      <c r="D33" s="25">
        <f>+C33/$C$39</f>
        <v>0</v>
      </c>
      <c r="E33" s="17"/>
      <c r="F33" s="17"/>
      <c r="G33" s="17"/>
      <c r="H33" s="17">
        <f>ROUNDUP(+H20*$B33,0)</f>
        <v>0</v>
      </c>
      <c r="I33" s="17"/>
      <c r="J33" s="17"/>
      <c r="K33" s="17"/>
      <c r="L33" s="17"/>
    </row>
    <row r="34" spans="1:12" ht="14.45" x14ac:dyDescent="0.3">
      <c r="B34" s="32">
        <f t="shared" si="2"/>
        <v>1.1025</v>
      </c>
      <c r="C34" s="24"/>
      <c r="D34" s="25"/>
      <c r="E34" s="17"/>
      <c r="F34" s="17"/>
      <c r="G34" s="17"/>
      <c r="H34" s="17"/>
      <c r="I34" s="17"/>
      <c r="J34" s="17"/>
      <c r="K34" s="17"/>
      <c r="L34" s="17"/>
    </row>
    <row r="35" spans="1:12" ht="14.45" x14ac:dyDescent="0.3">
      <c r="B35" s="32">
        <f t="shared" si="2"/>
        <v>1.1025</v>
      </c>
      <c r="C35" s="24"/>
      <c r="D35" s="25"/>
      <c r="E35" s="17"/>
      <c r="F35" s="17"/>
      <c r="G35" s="17"/>
      <c r="H35" s="17"/>
      <c r="I35" s="17"/>
      <c r="J35" s="17"/>
      <c r="K35" s="17"/>
      <c r="L35" s="17"/>
    </row>
    <row r="36" spans="1:12" ht="14.45" x14ac:dyDescent="0.3">
      <c r="B36" s="32">
        <f t="shared" si="2"/>
        <v>1.1025</v>
      </c>
      <c r="C36" s="24"/>
      <c r="D36" s="25"/>
      <c r="E36" s="17"/>
      <c r="F36" s="17"/>
      <c r="G36" s="17"/>
      <c r="H36" s="17"/>
      <c r="I36" s="17"/>
      <c r="J36" s="17"/>
      <c r="K36" s="17"/>
      <c r="L36" s="17"/>
    </row>
    <row r="37" spans="1:12" ht="14.45" x14ac:dyDescent="0.3">
      <c r="B37" s="32">
        <f t="shared" si="2"/>
        <v>1.1025</v>
      </c>
      <c r="C37" s="24"/>
      <c r="D37" s="25"/>
      <c r="E37" s="17"/>
      <c r="F37" s="17"/>
      <c r="G37" s="17"/>
      <c r="H37" s="17"/>
      <c r="I37" s="17"/>
      <c r="J37" s="17"/>
      <c r="K37" s="17"/>
      <c r="L37" s="17"/>
    </row>
    <row r="38" spans="1:12" ht="14.45" x14ac:dyDescent="0.3">
      <c r="B38" s="32">
        <f t="shared" si="2"/>
        <v>1.1025</v>
      </c>
      <c r="C38" s="24"/>
      <c r="D38" s="25"/>
      <c r="E38" s="17"/>
      <c r="F38" s="17"/>
      <c r="G38" s="17"/>
      <c r="H38" s="17"/>
      <c r="I38" s="17"/>
      <c r="J38" s="17"/>
      <c r="K38" s="17"/>
      <c r="L38" s="17"/>
    </row>
    <row r="39" spans="1:12" ht="14.45" x14ac:dyDescent="0.3">
      <c r="C39" s="27">
        <f>SUM(C29:C38)</f>
        <v>1833</v>
      </c>
      <c r="E39" s="29"/>
      <c r="F39" s="29"/>
      <c r="G39" s="29"/>
      <c r="H39" s="29">
        <f>SUM(H29:H38)</f>
        <v>1833</v>
      </c>
      <c r="I39" s="29"/>
      <c r="J39" s="29"/>
      <c r="K39" s="29"/>
      <c r="L39" s="17"/>
    </row>
    <row r="41" spans="1:12" ht="14.45" x14ac:dyDescent="0.3">
      <c r="A41" s="4" t="s">
        <v>29</v>
      </c>
      <c r="B41" s="33" t="s">
        <v>30</v>
      </c>
      <c r="D41" s="4" t="s">
        <v>31</v>
      </c>
      <c r="E41" s="34">
        <v>1.65</v>
      </c>
      <c r="G41" s="4" t="s">
        <v>32</v>
      </c>
      <c r="H41" s="35">
        <f>6.42+6.42</f>
        <v>12.84</v>
      </c>
      <c r="I41" s="4" t="s">
        <v>33</v>
      </c>
    </row>
    <row r="42" spans="1:12" x14ac:dyDescent="0.25">
      <c r="A42" s="4" t="s">
        <v>34</v>
      </c>
      <c r="B42" s="36"/>
      <c r="D42" s="4" t="s">
        <v>35</v>
      </c>
      <c r="E42" s="34">
        <f>3.32/4</f>
        <v>0.83</v>
      </c>
      <c r="G42" s="4" t="s">
        <v>36</v>
      </c>
      <c r="H42" s="35"/>
    </row>
    <row r="43" spans="1:12" ht="14.45" x14ac:dyDescent="0.3">
      <c r="G43" s="4" t="s">
        <v>11</v>
      </c>
      <c r="H43" s="35"/>
      <c r="I43" s="4" t="s">
        <v>33</v>
      </c>
    </row>
    <row r="44" spans="1:12" ht="14.45" x14ac:dyDescent="0.3">
      <c r="A44" s="199" t="s">
        <v>37</v>
      </c>
      <c r="B44" s="200"/>
      <c r="C44" s="37">
        <f>+E42*E41*F8</f>
        <v>164.34</v>
      </c>
      <c r="D44" s="4" t="s">
        <v>38</v>
      </c>
      <c r="E44" s="17">
        <f>+E41*E42</f>
        <v>1.3694999999999999</v>
      </c>
      <c r="F44" s="4" t="s">
        <v>39</v>
      </c>
      <c r="G44">
        <f>+E42*1.09363</f>
        <v>0.90771290000000004</v>
      </c>
      <c r="H44" s="2" t="s">
        <v>132</v>
      </c>
      <c r="I44"/>
      <c r="J44" s="4">
        <f>+G44*1.1</f>
        <v>0.9984841900000001</v>
      </c>
    </row>
    <row r="45" spans="1:12" ht="14.45" x14ac:dyDescent="0.3">
      <c r="D45" s="38" t="s">
        <v>40</v>
      </c>
      <c r="E45" s="17">
        <f>ROUNDDOWN(1000/(+E41*F8),2)</f>
        <v>5.05</v>
      </c>
      <c r="F45" s="4" t="s">
        <v>41</v>
      </c>
      <c r="G45" s="78"/>
      <c r="H45" t="s">
        <v>133</v>
      </c>
      <c r="I45"/>
    </row>
    <row r="46" spans="1:12" ht="15.6" x14ac:dyDescent="0.3">
      <c r="A46" s="3" t="s">
        <v>42</v>
      </c>
      <c r="D46" s="39" t="s">
        <v>43</v>
      </c>
      <c r="E46" s="40">
        <v>0.75049999999999994</v>
      </c>
      <c r="G46" s="78">
        <f>+C76/E45</f>
        <v>2.5870160378641147</v>
      </c>
      <c r="H46" t="s">
        <v>134</v>
      </c>
      <c r="I46">
        <f>+G46*1.2</f>
        <v>3.1044192454369375</v>
      </c>
    </row>
    <row r="47" spans="1:12" ht="14.45" x14ac:dyDescent="0.3">
      <c r="A47" s="5"/>
    </row>
    <row r="48" spans="1:12" ht="14.45" x14ac:dyDescent="0.3">
      <c r="A48" s="5" t="s">
        <v>44</v>
      </c>
      <c r="G48" s="4" t="s">
        <v>45</v>
      </c>
      <c r="H48" s="41">
        <f>+C76</f>
        <v>13.064430991213779</v>
      </c>
    </row>
    <row r="49" spans="1:11" ht="14.45" x14ac:dyDescent="0.3">
      <c r="A49" s="4" t="s">
        <v>46</v>
      </c>
      <c r="C49" s="32">
        <v>0.12</v>
      </c>
      <c r="D49" s="42" t="s">
        <v>47</v>
      </c>
      <c r="E49" s="42" t="s">
        <v>26</v>
      </c>
      <c r="G49" s="4" t="s">
        <v>40</v>
      </c>
      <c r="H49" s="43">
        <f>+E45</f>
        <v>5.05</v>
      </c>
      <c r="I49" s="17" t="s">
        <v>48</v>
      </c>
    </row>
    <row r="50" spans="1:11" ht="14.45" x14ac:dyDescent="0.3">
      <c r="A50" s="4" t="str">
        <f>+B9</f>
        <v>VISCOSA BORTEX</v>
      </c>
      <c r="B50" s="44">
        <f>ROUNDUP(((C44+H41)*C39*C9)/1000,0)</f>
        <v>325</v>
      </c>
      <c r="C50" s="44">
        <f>ROUNDUP(((+B50*100)/(1-$C$49))/100,0)</f>
        <v>370</v>
      </c>
      <c r="D50" s="45">
        <v>8</v>
      </c>
      <c r="E50" s="46">
        <f>+C50*D50</f>
        <v>2960</v>
      </c>
      <c r="G50" s="4" t="s">
        <v>49</v>
      </c>
      <c r="H50" s="47">
        <f>+H48/H49</f>
        <v>2.5870160378641147</v>
      </c>
      <c r="I50" s="38" t="s">
        <v>50</v>
      </c>
      <c r="J50" s="4">
        <f>+H50*0.9144</f>
        <v>2.3655674650229463</v>
      </c>
      <c r="K50" s="48">
        <f>+J50*1.2</f>
        <v>2.8386809580275356</v>
      </c>
    </row>
    <row r="51" spans="1:11" ht="14.45" x14ac:dyDescent="0.3">
      <c r="A51" s="4">
        <f>+B10</f>
        <v>0</v>
      </c>
      <c r="B51" s="44">
        <f>+((C44+H41)*C39*C10)/1000</f>
        <v>0</v>
      </c>
      <c r="C51" s="44">
        <f>ROUNDUP(((+B51*100)/(1-$C$49))/100,0)</f>
        <v>0</v>
      </c>
      <c r="D51" s="45"/>
      <c r="E51" s="46">
        <f>+C51*D51</f>
        <v>0</v>
      </c>
      <c r="G51" s="4" t="s">
        <v>51</v>
      </c>
      <c r="H51" s="41">
        <f>+E41</f>
        <v>1.65</v>
      </c>
      <c r="I51" s="17" t="s">
        <v>52</v>
      </c>
      <c r="J51" s="49">
        <f>+H51/2.544*100</f>
        <v>64.85849056603773</v>
      </c>
      <c r="K51" s="4" t="s">
        <v>53</v>
      </c>
    </row>
    <row r="52" spans="1:11" ht="14.45" x14ac:dyDescent="0.3">
      <c r="A52" s="4">
        <f>+B11</f>
        <v>0</v>
      </c>
      <c r="B52" s="27">
        <f>+(C44*C39*C11)/1000</f>
        <v>0</v>
      </c>
      <c r="C52" s="27">
        <f>(+B52*C49)+B52</f>
        <v>0</v>
      </c>
      <c r="D52" s="45"/>
      <c r="E52" s="46">
        <f>+C52*D52</f>
        <v>0</v>
      </c>
      <c r="G52" s="4" t="s">
        <v>54</v>
      </c>
      <c r="H52" s="4">
        <v>1</v>
      </c>
    </row>
    <row r="53" spans="1:11" ht="14.45" x14ac:dyDescent="0.3">
      <c r="A53" s="4" t="s">
        <v>26</v>
      </c>
      <c r="B53" s="44">
        <f>SUM(B50:B52)</f>
        <v>325</v>
      </c>
      <c r="C53" s="44">
        <f>SUM(C50:C52)</f>
        <v>370</v>
      </c>
      <c r="E53" s="46">
        <f>SUM(E49:E52)</f>
        <v>2960</v>
      </c>
    </row>
    <row r="54" spans="1:11" ht="14.45" x14ac:dyDescent="0.3">
      <c r="C54" s="27"/>
      <c r="E54" s="46"/>
    </row>
    <row r="55" spans="1:11" ht="14.45" x14ac:dyDescent="0.3">
      <c r="A55" s="5" t="s">
        <v>55</v>
      </c>
      <c r="B55" s="45">
        <v>0.65</v>
      </c>
      <c r="C55" s="27"/>
      <c r="E55" s="46"/>
    </row>
    <row r="56" spans="1:11" ht="14.45" x14ac:dyDescent="0.3">
      <c r="C56" s="27"/>
    </row>
    <row r="57" spans="1:11" x14ac:dyDescent="0.25">
      <c r="A57" s="30" t="s">
        <v>56</v>
      </c>
      <c r="B57" s="50" t="s">
        <v>47</v>
      </c>
      <c r="C57" s="51" t="s">
        <v>57</v>
      </c>
      <c r="D57" s="50" t="s">
        <v>26</v>
      </c>
      <c r="E57" s="50" t="s">
        <v>58</v>
      </c>
      <c r="G57" s="52" t="s">
        <v>59</v>
      </c>
    </row>
    <row r="58" spans="1:11" ht="14.45" x14ac:dyDescent="0.3">
      <c r="C58" s="27"/>
    </row>
    <row r="59" spans="1:11" x14ac:dyDescent="0.25">
      <c r="A59" s="4" t="str">
        <f>+A16</f>
        <v>EVENING BLUE</v>
      </c>
      <c r="B59" s="84">
        <f>3.5</f>
        <v>3.5</v>
      </c>
      <c r="C59" s="44">
        <f>+D29*$C$53</f>
        <v>176.82487725040917</v>
      </c>
      <c r="D59" s="46">
        <f>+B59*C59</f>
        <v>618.88707037643212</v>
      </c>
      <c r="E59" s="45"/>
      <c r="G59" t="s">
        <v>151</v>
      </c>
    </row>
    <row r="60" spans="1:11" ht="14.45" x14ac:dyDescent="0.3">
      <c r="A60" s="4" t="str">
        <f>+A17</f>
        <v>WHITE</v>
      </c>
      <c r="B60" s="84">
        <f>2.2</f>
        <v>2.2000000000000002</v>
      </c>
      <c r="C60" s="44">
        <f>+D30*$C$53</f>
        <v>193.17512274959083</v>
      </c>
      <c r="D60" s="46">
        <f>+B60*C60</f>
        <v>424.98527004909988</v>
      </c>
      <c r="E60" s="45"/>
      <c r="G60" t="s">
        <v>152</v>
      </c>
    </row>
    <row r="61" spans="1:11" ht="14.45" x14ac:dyDescent="0.3">
      <c r="A61" s="4">
        <f>+A18</f>
        <v>0</v>
      </c>
      <c r="B61" s="84"/>
      <c r="C61" s="44">
        <f>+D31*$C$53</f>
        <v>0</v>
      </c>
      <c r="D61" s="46">
        <f>+B61*C61</f>
        <v>0</v>
      </c>
      <c r="E61" s="45"/>
    </row>
    <row r="62" spans="1:11" ht="14.45" x14ac:dyDescent="0.3">
      <c r="A62">
        <f>+A19</f>
        <v>0</v>
      </c>
      <c r="B62" s="84"/>
      <c r="C62" s="44">
        <f>+D32*$C$53</f>
        <v>0</v>
      </c>
      <c r="D62" s="46">
        <f>+B62*C62</f>
        <v>0</v>
      </c>
      <c r="E62" s="45"/>
    </row>
    <row r="63" spans="1:11" ht="14.45" x14ac:dyDescent="0.3">
      <c r="A63">
        <f>+A20</f>
        <v>0</v>
      </c>
      <c r="B63" s="84"/>
      <c r="C63" s="44">
        <f>+D33*$C$53</f>
        <v>0</v>
      </c>
      <c r="D63" s="46">
        <f>+B63*C63</f>
        <v>0</v>
      </c>
      <c r="E63" s="45"/>
    </row>
    <row r="64" spans="1:11" ht="14.45" x14ac:dyDescent="0.3">
      <c r="B64" s="45"/>
      <c r="C64" s="44"/>
      <c r="D64" s="46"/>
      <c r="E64" s="45"/>
    </row>
    <row r="65" spans="1:11" ht="14.45" x14ac:dyDescent="0.3">
      <c r="B65" s="45"/>
      <c r="C65" s="27"/>
      <c r="D65" s="46"/>
      <c r="E65" s="45"/>
    </row>
    <row r="66" spans="1:11" ht="14.45" x14ac:dyDescent="0.3">
      <c r="B66" s="45"/>
      <c r="C66" s="27"/>
      <c r="D66" s="46"/>
      <c r="E66" s="45"/>
    </row>
    <row r="67" spans="1:11" ht="14.45" x14ac:dyDescent="0.3">
      <c r="B67" s="45"/>
      <c r="C67" s="27"/>
      <c r="D67" s="46"/>
      <c r="E67" s="45"/>
    </row>
    <row r="68" spans="1:11" ht="14.45" x14ac:dyDescent="0.3">
      <c r="B68" s="45"/>
      <c r="C68" s="27"/>
      <c r="D68" s="46"/>
      <c r="E68" s="45"/>
    </row>
    <row r="69" spans="1:11" ht="14.45" x14ac:dyDescent="0.3">
      <c r="A69" s="4" t="s">
        <v>26</v>
      </c>
      <c r="C69" s="44">
        <f>SUM(C59:C68)</f>
        <v>370</v>
      </c>
      <c r="D69" s="46">
        <f>SUM(D59:D68)</f>
        <v>1043.872340425532</v>
      </c>
      <c r="E69" s="27"/>
    </row>
    <row r="70" spans="1:11" ht="14.45" x14ac:dyDescent="0.3">
      <c r="E70" s="53"/>
    </row>
    <row r="71" spans="1:11" ht="14.45" x14ac:dyDescent="0.3">
      <c r="A71" s="5" t="s">
        <v>49</v>
      </c>
    </row>
    <row r="73" spans="1:11" ht="14.45" x14ac:dyDescent="0.3">
      <c r="A73" s="4" t="s">
        <v>44</v>
      </c>
      <c r="B73" s="46">
        <f>+E53</f>
        <v>2960</v>
      </c>
    </row>
    <row r="74" spans="1:11" ht="14.45" x14ac:dyDescent="0.3">
      <c r="A74" s="4" t="s">
        <v>60</v>
      </c>
      <c r="B74" s="46">
        <f>+(B55*C53)</f>
        <v>240.5</v>
      </c>
    </row>
    <row r="75" spans="1:11" x14ac:dyDescent="0.25">
      <c r="A75" s="4" t="s">
        <v>61</v>
      </c>
      <c r="B75" s="46">
        <f>+D69</f>
        <v>1043.872340425532</v>
      </c>
    </row>
    <row r="76" spans="1:11" ht="14.45" x14ac:dyDescent="0.3">
      <c r="A76" s="4" t="s">
        <v>26</v>
      </c>
      <c r="B76" s="46">
        <f>IF(F8&gt;0,B73+B74+B75,E44*C39*J50)</f>
        <v>4244.3723404255325</v>
      </c>
      <c r="C76" s="54">
        <f>+B76/(B53-C49)</f>
        <v>13.064430991213779</v>
      </c>
      <c r="D76" s="4" t="s">
        <v>62</v>
      </c>
    </row>
    <row r="78" spans="1:11" ht="14.45" x14ac:dyDescent="0.3">
      <c r="A78" s="5" t="s">
        <v>63</v>
      </c>
      <c r="B78" s="55">
        <f>IF(B76&gt;0,B76/C26,J50*E44)</f>
        <v>2.616752367709946</v>
      </c>
    </row>
    <row r="80" spans="1:11" ht="14.45" x14ac:dyDescent="0.3">
      <c r="A80" s="31" t="s">
        <v>64</v>
      </c>
      <c r="B80" s="31" t="s">
        <v>65</v>
      </c>
      <c r="C80" s="31" t="s">
        <v>66</v>
      </c>
      <c r="D80" s="31" t="s">
        <v>67</v>
      </c>
      <c r="E80" s="31" t="s">
        <v>68</v>
      </c>
      <c r="F80" s="31" t="s">
        <v>69</v>
      </c>
      <c r="G80" s="31" t="s">
        <v>47</v>
      </c>
      <c r="H80" s="31" t="s">
        <v>70</v>
      </c>
      <c r="I80" s="31" t="s">
        <v>71</v>
      </c>
      <c r="J80" s="31" t="s">
        <v>72</v>
      </c>
      <c r="K80" s="31" t="s">
        <v>73</v>
      </c>
    </row>
    <row r="81" spans="1:11" ht="14.45" x14ac:dyDescent="0.3">
      <c r="A81" s="56" t="s">
        <v>74</v>
      </c>
      <c r="B81" s="57"/>
      <c r="C81" s="56"/>
      <c r="D81" s="17" t="s">
        <v>75</v>
      </c>
      <c r="E81" s="17">
        <v>4572</v>
      </c>
      <c r="F81" s="17" t="s">
        <v>76</v>
      </c>
      <c r="G81" s="58">
        <v>2.15</v>
      </c>
      <c r="H81" s="59">
        <v>0.1</v>
      </c>
      <c r="I81" s="26">
        <v>150</v>
      </c>
      <c r="J81" s="60">
        <f>((+I81/E81)*G81)*H81+((+I81/E81)*G81)</f>
        <v>7.759186351706035E-2</v>
      </c>
      <c r="K81" s="46">
        <f>+J81*$C$39</f>
        <v>142.22588582677162</v>
      </c>
    </row>
    <row r="82" spans="1:11" ht="14.45" x14ac:dyDescent="0.3">
      <c r="A82" s="61" t="s">
        <v>77</v>
      </c>
      <c r="B82" s="1" t="s">
        <v>142</v>
      </c>
      <c r="C82" s="56"/>
      <c r="D82" s="17" t="s">
        <v>78</v>
      </c>
      <c r="E82" s="17">
        <v>1000</v>
      </c>
      <c r="F82" s="17" t="s">
        <v>79</v>
      </c>
      <c r="G82" s="86">
        <f>75*1.7</f>
        <v>127.5</v>
      </c>
      <c r="H82" s="59">
        <v>0.1</v>
      </c>
      <c r="I82" s="26">
        <v>1</v>
      </c>
      <c r="J82" s="60">
        <f t="shared" ref="J82:J92" si="3">((+I82/E82)*G82)*H82+((+I82/E82)*G82)</f>
        <v>0.14025000000000001</v>
      </c>
      <c r="K82" s="46">
        <f t="shared" ref="K82:K92" si="4">+J82*$C$39</f>
        <v>257.07825000000003</v>
      </c>
    </row>
    <row r="83" spans="1:11" ht="14.45" x14ac:dyDescent="0.3">
      <c r="A83" s="85" t="s">
        <v>136</v>
      </c>
      <c r="B83" s="1" t="s">
        <v>143</v>
      </c>
      <c r="C83" s="56"/>
      <c r="D83" s="83" t="s">
        <v>78</v>
      </c>
      <c r="E83" s="17">
        <v>1000</v>
      </c>
      <c r="F83" s="17" t="s">
        <v>79</v>
      </c>
      <c r="G83" s="58">
        <f>52.2*1.7</f>
        <v>88.740000000000009</v>
      </c>
      <c r="H83" s="59">
        <v>0.1</v>
      </c>
      <c r="I83" s="26">
        <v>1</v>
      </c>
      <c r="J83" s="60">
        <f t="shared" si="3"/>
        <v>9.761400000000002E-2</v>
      </c>
      <c r="K83" s="46">
        <f t="shared" si="4"/>
        <v>178.92646200000004</v>
      </c>
    </row>
    <row r="84" spans="1:11" ht="14.45" x14ac:dyDescent="0.3">
      <c r="A84" s="61" t="s">
        <v>137</v>
      </c>
      <c r="B84" s="1"/>
      <c r="C84" s="56"/>
      <c r="D84" s="83" t="s">
        <v>78</v>
      </c>
      <c r="E84" s="17">
        <v>1000</v>
      </c>
      <c r="F84" s="17" t="s">
        <v>79</v>
      </c>
      <c r="G84" s="58">
        <f>26.9*1.7</f>
        <v>45.73</v>
      </c>
      <c r="H84" s="59">
        <v>0.1</v>
      </c>
      <c r="I84" s="26">
        <v>1</v>
      </c>
      <c r="J84" s="60">
        <f t="shared" si="3"/>
        <v>5.0303E-2</v>
      </c>
      <c r="K84" s="46">
        <f t="shared" si="4"/>
        <v>92.205399</v>
      </c>
    </row>
    <row r="85" spans="1:11" ht="14.45" x14ac:dyDescent="0.3">
      <c r="A85" s="95" t="s">
        <v>154</v>
      </c>
      <c r="B85" s="96"/>
      <c r="C85" s="97"/>
      <c r="D85" s="98" t="s">
        <v>78</v>
      </c>
      <c r="E85" s="98">
        <v>1000</v>
      </c>
      <c r="F85" s="98" t="s">
        <v>79</v>
      </c>
      <c r="G85" s="99">
        <v>170</v>
      </c>
      <c r="H85" s="100">
        <v>0.1</v>
      </c>
      <c r="I85" s="101">
        <v>18</v>
      </c>
      <c r="J85" s="102">
        <f>((+I85/E85)*G85)*H85+((+I85/E85)*G85)</f>
        <v>3.3659999999999997</v>
      </c>
      <c r="K85" s="103">
        <f>+J85*$C$39</f>
        <v>6169.8779999999997</v>
      </c>
    </row>
    <row r="86" spans="1:11" ht="14.45" x14ac:dyDescent="0.3">
      <c r="A86" s="61" t="s">
        <v>138</v>
      </c>
      <c r="B86" s="1"/>
      <c r="C86" s="56"/>
      <c r="D86" s="83" t="s">
        <v>139</v>
      </c>
      <c r="E86" s="17">
        <v>0.91</v>
      </c>
      <c r="F86" s="83" t="s">
        <v>76</v>
      </c>
      <c r="G86" s="58">
        <f>0.22*1.7</f>
        <v>0.374</v>
      </c>
      <c r="H86" s="59">
        <v>0.1</v>
      </c>
      <c r="I86" s="26">
        <v>0.9</v>
      </c>
      <c r="J86" s="60">
        <f t="shared" si="3"/>
        <v>0.40687912087912087</v>
      </c>
      <c r="K86" s="46">
        <f t="shared" si="4"/>
        <v>745.80942857142861</v>
      </c>
    </row>
    <row r="87" spans="1:11" ht="14.45" x14ac:dyDescent="0.3">
      <c r="A87" s="56" t="s">
        <v>80</v>
      </c>
      <c r="B87" s="57"/>
      <c r="C87" s="56"/>
      <c r="D87" s="17" t="s">
        <v>78</v>
      </c>
      <c r="E87" s="17">
        <v>1000</v>
      </c>
      <c r="F87" s="17" t="s">
        <v>79</v>
      </c>
      <c r="G87" s="58">
        <v>26</v>
      </c>
      <c r="H87" s="59">
        <v>0.1</v>
      </c>
      <c r="I87" s="26">
        <v>1</v>
      </c>
      <c r="J87" s="60">
        <f t="shared" si="3"/>
        <v>2.8600000000000004E-2</v>
      </c>
      <c r="K87" s="46">
        <f t="shared" si="4"/>
        <v>52.423800000000007</v>
      </c>
    </row>
    <row r="88" spans="1:11" ht="14.45" x14ac:dyDescent="0.3">
      <c r="A88" s="61" t="s">
        <v>135</v>
      </c>
      <c r="B88" s="1" t="s">
        <v>141</v>
      </c>
      <c r="C88" s="56"/>
      <c r="D88" s="62" t="s">
        <v>78</v>
      </c>
      <c r="E88" s="17">
        <v>1000</v>
      </c>
      <c r="F88" s="17" t="s">
        <v>79</v>
      </c>
      <c r="G88" s="81">
        <f>420*1.7</f>
        <v>714</v>
      </c>
      <c r="H88" s="59">
        <v>0.1</v>
      </c>
      <c r="I88" s="26">
        <v>1</v>
      </c>
      <c r="J88" s="60">
        <f t="shared" si="3"/>
        <v>0.78539999999999999</v>
      </c>
      <c r="K88" s="46">
        <f t="shared" si="4"/>
        <v>1439.6381999999999</v>
      </c>
    </row>
    <row r="89" spans="1:11" ht="14.45" x14ac:dyDescent="0.3">
      <c r="A89" s="56" t="s">
        <v>81</v>
      </c>
      <c r="B89" s="63"/>
      <c r="C89" s="56"/>
      <c r="D89" s="17" t="s">
        <v>78</v>
      </c>
      <c r="E89" s="17">
        <v>1000</v>
      </c>
      <c r="F89" s="17" t="s">
        <v>79</v>
      </c>
      <c r="G89" s="58">
        <v>11</v>
      </c>
      <c r="H89" s="59">
        <v>0.1</v>
      </c>
      <c r="I89" s="64">
        <f>1/F11</f>
        <v>2.0833333333333332E-2</v>
      </c>
      <c r="J89" s="60">
        <f t="shared" si="3"/>
        <v>2.5208333333333333E-4</v>
      </c>
      <c r="K89" s="46">
        <f t="shared" si="4"/>
        <v>0.46206874999999997</v>
      </c>
    </row>
    <row r="90" spans="1:11" ht="14.45" x14ac:dyDescent="0.3">
      <c r="A90" s="56" t="s">
        <v>82</v>
      </c>
      <c r="B90" s="57"/>
      <c r="C90" s="56"/>
      <c r="D90" s="17" t="s">
        <v>79</v>
      </c>
      <c r="E90" s="17">
        <v>1</v>
      </c>
      <c r="F90" s="17" t="s">
        <v>79</v>
      </c>
      <c r="G90" s="58">
        <v>2.7</v>
      </c>
      <c r="H90" s="59">
        <v>0.1</v>
      </c>
      <c r="I90" s="64">
        <f>1/F11</f>
        <v>2.0833333333333332E-2</v>
      </c>
      <c r="J90" s="60">
        <f t="shared" si="3"/>
        <v>6.1874999999999999E-2</v>
      </c>
      <c r="K90" s="46">
        <f t="shared" si="4"/>
        <v>113.416875</v>
      </c>
    </row>
    <row r="91" spans="1:11" ht="14.45" x14ac:dyDescent="0.3">
      <c r="A91" s="56" t="s">
        <v>83</v>
      </c>
      <c r="B91" s="57"/>
      <c r="C91" s="56"/>
      <c r="D91" s="17" t="s">
        <v>78</v>
      </c>
      <c r="E91" s="17">
        <v>1000</v>
      </c>
      <c r="F91" s="17" t="s">
        <v>79</v>
      </c>
      <c r="G91" s="58">
        <f>+(12.69+11.41)*1.5</f>
        <v>36.150000000000006</v>
      </c>
      <c r="H91" s="59">
        <v>0.1</v>
      </c>
      <c r="I91" s="26">
        <f>1/F11</f>
        <v>2.0833333333333332E-2</v>
      </c>
      <c r="J91" s="60">
        <f t="shared" si="3"/>
        <v>8.2843750000000018E-4</v>
      </c>
      <c r="K91" s="46">
        <f t="shared" si="4"/>
        <v>1.5185259375000004</v>
      </c>
    </row>
    <row r="92" spans="1:11" ht="14.45" x14ac:dyDescent="0.3">
      <c r="A92" s="56" t="s">
        <v>84</v>
      </c>
      <c r="B92" s="57"/>
      <c r="C92" s="56"/>
      <c r="D92" s="17" t="s">
        <v>85</v>
      </c>
      <c r="E92" s="17">
        <v>100</v>
      </c>
      <c r="F92" s="17" t="s">
        <v>76</v>
      </c>
      <c r="G92" s="58">
        <v>1</v>
      </c>
      <c r="H92" s="59">
        <v>0.1</v>
      </c>
      <c r="I92" s="26">
        <f>5/F8</f>
        <v>4.1666666666666664E-2</v>
      </c>
      <c r="J92" s="60">
        <f t="shared" si="3"/>
        <v>4.5833333333333332E-4</v>
      </c>
      <c r="K92" s="46">
        <f t="shared" si="4"/>
        <v>0.84012500000000001</v>
      </c>
    </row>
    <row r="93" spans="1:11" ht="14.45" x14ac:dyDescent="0.3">
      <c r="A93" s="4" t="s">
        <v>86</v>
      </c>
      <c r="B93" s="38"/>
      <c r="C93" s="38"/>
      <c r="D93" s="38"/>
      <c r="E93" s="65"/>
      <c r="F93" s="66"/>
      <c r="J93" s="67">
        <f>SUM(J81:J92)</f>
        <v>5.0160518385628476</v>
      </c>
      <c r="K93" s="46">
        <f>SUM(K81:K92)</f>
        <v>9194.4230200857</v>
      </c>
    </row>
    <row r="94" spans="1:11" ht="14.45" x14ac:dyDescent="0.3">
      <c r="B94" s="38"/>
      <c r="C94" s="38"/>
      <c r="D94" s="38"/>
      <c r="E94" s="65"/>
      <c r="F94" s="66"/>
      <c r="H94" s="68"/>
    </row>
    <row r="95" spans="1:11" ht="14.45" x14ac:dyDescent="0.3">
      <c r="A95" s="31" t="s">
        <v>87</v>
      </c>
      <c r="B95" s="31" t="s">
        <v>67</v>
      </c>
      <c r="C95" s="31" t="s">
        <v>68</v>
      </c>
      <c r="D95" s="31" t="s">
        <v>69</v>
      </c>
      <c r="E95" s="31" t="s">
        <v>47</v>
      </c>
      <c r="F95" s="31" t="s">
        <v>70</v>
      </c>
      <c r="G95" s="31" t="s">
        <v>71</v>
      </c>
      <c r="H95" s="31" t="s">
        <v>72</v>
      </c>
      <c r="I95" s="31" t="s">
        <v>73</v>
      </c>
    </row>
    <row r="96" spans="1:11" ht="14.45" x14ac:dyDescent="0.3">
      <c r="A96" s="4" t="s">
        <v>88</v>
      </c>
      <c r="B96" s="38"/>
      <c r="C96" s="4">
        <v>1</v>
      </c>
      <c r="E96" s="26"/>
      <c r="F96" s="17"/>
      <c r="G96" s="4">
        <v>2</v>
      </c>
      <c r="H96" s="68">
        <f>((+G96/C96)*E96)*F96+((+G96/C96)*E96)</f>
        <v>0</v>
      </c>
      <c r="I96" s="46">
        <f>+H96*$C$39</f>
        <v>0</v>
      </c>
    </row>
    <row r="97" spans="1:11" ht="14.45" x14ac:dyDescent="0.3">
      <c r="A97" s="4" t="s">
        <v>89</v>
      </c>
      <c r="B97" s="38"/>
      <c r="C97" s="4">
        <v>1</v>
      </c>
      <c r="E97" s="26"/>
      <c r="F97" s="17"/>
      <c r="G97" s="4">
        <v>1</v>
      </c>
      <c r="H97" s="68">
        <f>((+G97/C97)*E97)*F97+((+G97/C97)*E97)</f>
        <v>0</v>
      </c>
      <c r="I97" s="46">
        <f>+H97*$C$39</f>
        <v>0</v>
      </c>
    </row>
    <row r="98" spans="1:11" ht="14.45" x14ac:dyDescent="0.3">
      <c r="A98" s="4" t="s">
        <v>90</v>
      </c>
      <c r="H98" s="69">
        <f>SUM(H96:H97)</f>
        <v>0</v>
      </c>
      <c r="I98" s="46">
        <f>SUM(I96:I97)</f>
        <v>0</v>
      </c>
    </row>
    <row r="100" spans="1:11" ht="14.45" x14ac:dyDescent="0.3">
      <c r="A100" s="30" t="s">
        <v>91</v>
      </c>
      <c r="B100" s="31" t="s">
        <v>67</v>
      </c>
      <c r="C100" s="31" t="s">
        <v>68</v>
      </c>
      <c r="D100" s="31" t="s">
        <v>69</v>
      </c>
      <c r="E100" s="31" t="s">
        <v>47</v>
      </c>
      <c r="F100" s="31" t="s">
        <v>70</v>
      </c>
      <c r="G100" s="31" t="s">
        <v>71</v>
      </c>
      <c r="H100" s="31" t="s">
        <v>72</v>
      </c>
      <c r="I100" s="31" t="s">
        <v>73</v>
      </c>
    </row>
    <row r="101" spans="1:11" x14ac:dyDescent="0.25">
      <c r="A101" s="4" t="s">
        <v>92</v>
      </c>
      <c r="B101" s="38" t="s">
        <v>93</v>
      </c>
      <c r="C101" s="4">
        <v>1</v>
      </c>
      <c r="D101" s="38" t="s">
        <v>94</v>
      </c>
      <c r="E101" s="45">
        <f>4.33*0.08</f>
        <v>0.34639999999999999</v>
      </c>
      <c r="F101" s="59">
        <v>0</v>
      </c>
      <c r="G101" s="4">
        <v>1</v>
      </c>
      <c r="H101" s="68">
        <f>((+G101/C101)*E101)*F101+((+G101/C101)*E101)</f>
        <v>0.34639999999999999</v>
      </c>
      <c r="I101" s="46">
        <f t="shared" ref="I101:I110" si="5">+H101*$C$39</f>
        <v>634.95119999999997</v>
      </c>
    </row>
    <row r="102" spans="1:11" x14ac:dyDescent="0.25">
      <c r="A102" s="4" t="s">
        <v>95</v>
      </c>
      <c r="B102" s="38" t="s">
        <v>96</v>
      </c>
      <c r="C102" s="4">
        <v>1</v>
      </c>
      <c r="D102" s="38" t="s">
        <v>96</v>
      </c>
      <c r="E102" s="4">
        <v>7.0000000000000007E-2</v>
      </c>
      <c r="F102" s="59">
        <v>0.1</v>
      </c>
      <c r="G102" s="45">
        <v>21.78</v>
      </c>
      <c r="H102" s="68">
        <f t="shared" ref="H102:H110" si="6">((+G102/C102)*E102)*F102+((+G102/C102)*E102)</f>
        <v>1.6770600000000002</v>
      </c>
      <c r="I102" s="46">
        <f t="shared" si="5"/>
        <v>3074.0509800000004</v>
      </c>
    </row>
    <row r="103" spans="1:11" x14ac:dyDescent="0.25">
      <c r="A103" s="4" t="s">
        <v>97</v>
      </c>
      <c r="B103" s="38" t="s">
        <v>93</v>
      </c>
      <c r="C103" s="4">
        <v>1</v>
      </c>
      <c r="D103" s="38" t="s">
        <v>94</v>
      </c>
      <c r="E103" s="45">
        <f>2*0.08</f>
        <v>0.16</v>
      </c>
      <c r="F103" s="59">
        <v>0</v>
      </c>
      <c r="G103" s="4">
        <v>1</v>
      </c>
      <c r="H103" s="68">
        <f t="shared" si="6"/>
        <v>0.16</v>
      </c>
      <c r="I103" s="46">
        <f t="shared" si="5"/>
        <v>293.28000000000003</v>
      </c>
    </row>
    <row r="104" spans="1:11" x14ac:dyDescent="0.25">
      <c r="A104" s="56" t="s">
        <v>98</v>
      </c>
      <c r="B104" s="38" t="s">
        <v>99</v>
      </c>
      <c r="C104" s="4">
        <v>1</v>
      </c>
      <c r="D104" s="38" t="s">
        <v>99</v>
      </c>
      <c r="E104" s="45"/>
      <c r="F104" s="59">
        <v>0</v>
      </c>
      <c r="G104" s="4">
        <f>+C44/1000</f>
        <v>0.16434000000000001</v>
      </c>
      <c r="H104" s="68">
        <f t="shared" si="6"/>
        <v>0</v>
      </c>
      <c r="I104" s="46">
        <f t="shared" si="5"/>
        <v>0</v>
      </c>
    </row>
    <row r="105" spans="1:11" x14ac:dyDescent="0.25">
      <c r="A105" s="56" t="s">
        <v>100</v>
      </c>
      <c r="B105" s="38" t="s">
        <v>99</v>
      </c>
      <c r="C105" s="4">
        <v>1</v>
      </c>
      <c r="D105" s="38" t="s">
        <v>99</v>
      </c>
      <c r="E105" s="45"/>
      <c r="F105" s="59">
        <v>0</v>
      </c>
      <c r="G105" s="4">
        <f>+C44/1000</f>
        <v>0.16434000000000001</v>
      </c>
      <c r="H105" s="68">
        <f t="shared" si="6"/>
        <v>0</v>
      </c>
      <c r="I105" s="46">
        <f t="shared" si="5"/>
        <v>0</v>
      </c>
      <c r="K105"/>
    </row>
    <row r="106" spans="1:11" x14ac:dyDescent="0.25">
      <c r="A106" s="82" t="s">
        <v>140</v>
      </c>
      <c r="B106" s="38" t="s">
        <v>93</v>
      </c>
      <c r="C106" s="4">
        <v>1</v>
      </c>
      <c r="D106" s="38" t="s">
        <v>94</v>
      </c>
      <c r="E106" s="70"/>
      <c r="F106" s="59">
        <v>0</v>
      </c>
      <c r="G106" s="4">
        <v>1</v>
      </c>
      <c r="H106" s="68">
        <f t="shared" si="6"/>
        <v>0</v>
      </c>
      <c r="I106" s="46">
        <f t="shared" si="5"/>
        <v>0</v>
      </c>
      <c r="K106"/>
    </row>
    <row r="107" spans="1:11" x14ac:dyDescent="0.25">
      <c r="A107" s="56" t="s">
        <v>101</v>
      </c>
      <c r="B107" s="38" t="s">
        <v>93</v>
      </c>
      <c r="C107" s="4">
        <v>1</v>
      </c>
      <c r="D107" s="38" t="s">
        <v>94</v>
      </c>
      <c r="E107" s="45"/>
      <c r="F107" s="59"/>
      <c r="G107" s="4">
        <v>1</v>
      </c>
      <c r="H107" s="68">
        <f t="shared" si="6"/>
        <v>0</v>
      </c>
      <c r="I107" s="46">
        <f t="shared" si="5"/>
        <v>0</v>
      </c>
      <c r="K107"/>
    </row>
    <row r="108" spans="1:11" x14ac:dyDescent="0.25">
      <c r="A108" s="82" t="s">
        <v>153</v>
      </c>
      <c r="B108" s="38" t="s">
        <v>93</v>
      </c>
      <c r="C108" s="4">
        <v>1</v>
      </c>
      <c r="D108" s="38" t="s">
        <v>94</v>
      </c>
      <c r="E108" s="45">
        <f>0.08*10</f>
        <v>0.8</v>
      </c>
      <c r="F108" s="59">
        <v>0.1</v>
      </c>
      <c r="G108" s="4">
        <v>1</v>
      </c>
      <c r="H108" s="68">
        <f>((+G108/C108)*E108)*F108+((+G108/C108)*E108)</f>
        <v>0.88000000000000012</v>
      </c>
      <c r="I108" s="46">
        <f t="shared" si="5"/>
        <v>1613.0400000000002</v>
      </c>
      <c r="K108"/>
    </row>
    <row r="109" spans="1:11" x14ac:dyDescent="0.25">
      <c r="A109" s="56" t="s">
        <v>102</v>
      </c>
      <c r="B109" s="38" t="s">
        <v>93</v>
      </c>
      <c r="C109" s="4">
        <v>1</v>
      </c>
      <c r="D109" s="38" t="s">
        <v>94</v>
      </c>
      <c r="E109" s="45"/>
      <c r="F109" s="59"/>
      <c r="G109" s="4">
        <v>1</v>
      </c>
      <c r="H109" s="68">
        <f t="shared" si="6"/>
        <v>0</v>
      </c>
      <c r="I109" s="46">
        <f t="shared" si="5"/>
        <v>0</v>
      </c>
    </row>
    <row r="110" spans="1:11" x14ac:dyDescent="0.25">
      <c r="A110" s="56" t="s">
        <v>103</v>
      </c>
      <c r="B110" s="38" t="s">
        <v>93</v>
      </c>
      <c r="C110" s="4">
        <v>1</v>
      </c>
      <c r="D110" s="38" t="s">
        <v>94</v>
      </c>
      <c r="E110" s="45"/>
      <c r="F110" s="59">
        <v>0</v>
      </c>
      <c r="G110" s="4">
        <v>1</v>
      </c>
      <c r="H110" s="68">
        <f t="shared" si="6"/>
        <v>0</v>
      </c>
      <c r="I110" s="46">
        <f t="shared" si="5"/>
        <v>0</v>
      </c>
    </row>
    <row r="111" spans="1:11" x14ac:dyDescent="0.25">
      <c r="A111" s="9" t="s">
        <v>104</v>
      </c>
      <c r="F111" s="54"/>
      <c r="H111" s="69">
        <f>SUM(H101:H110)</f>
        <v>3.0634600000000001</v>
      </c>
      <c r="I111" s="46">
        <f>SUM(I101:I110)</f>
        <v>5615.322180000001</v>
      </c>
    </row>
    <row r="112" spans="1:11" x14ac:dyDescent="0.25">
      <c r="F112" s="54"/>
      <c r="H112" s="68"/>
    </row>
    <row r="113" spans="1:11" x14ac:dyDescent="0.25">
      <c r="A113" s="5" t="s">
        <v>105</v>
      </c>
      <c r="C113" s="71">
        <f>+F124</f>
        <v>14.9</v>
      </c>
      <c r="D113" s="71"/>
    </row>
    <row r="114" spans="1:11" x14ac:dyDescent="0.25">
      <c r="A114" s="5" t="s">
        <v>106</v>
      </c>
      <c r="C114" s="71">
        <f>+B78+J93+H98+H111</f>
        <v>10.696264206272794</v>
      </c>
    </row>
    <row r="115" spans="1:11" x14ac:dyDescent="0.25">
      <c r="A115" s="5" t="s">
        <v>107</v>
      </c>
      <c r="C115" s="71">
        <f>+C113-C114</f>
        <v>4.2037357937272066</v>
      </c>
    </row>
    <row r="116" spans="1:11" x14ac:dyDescent="0.25">
      <c r="A116" s="5"/>
      <c r="C116" s="72">
        <f>+C115/C114</f>
        <v>0.39300971934312706</v>
      </c>
    </row>
    <row r="117" spans="1:11" x14ac:dyDescent="0.25">
      <c r="A117" s="5"/>
      <c r="C117" s="25"/>
    </row>
    <row r="118" spans="1:11" x14ac:dyDescent="0.25">
      <c r="A118" s="5"/>
      <c r="C118" s="25"/>
    </row>
    <row r="119" spans="1:11" ht="15.75" x14ac:dyDescent="0.25">
      <c r="A119" s="3" t="s">
        <v>108</v>
      </c>
      <c r="B119" s="17"/>
    </row>
    <row r="120" spans="1:11" x14ac:dyDescent="0.25">
      <c r="A120" s="4" t="s">
        <v>109</v>
      </c>
      <c r="B120" s="17"/>
      <c r="C120" s="46">
        <f>((H12+F124)*C26)*F126</f>
        <v>0</v>
      </c>
    </row>
    <row r="121" spans="1:11" x14ac:dyDescent="0.25">
      <c r="A121" s="4" t="s">
        <v>110</v>
      </c>
      <c r="B121" s="12" t="s">
        <v>111</v>
      </c>
      <c r="C121" s="46">
        <v>500</v>
      </c>
    </row>
    <row r="122" spans="1:11" x14ac:dyDescent="0.25">
      <c r="A122" s="4" t="s">
        <v>112</v>
      </c>
      <c r="B122" s="17"/>
      <c r="C122" s="46">
        <f>((+F124*C26)*0.8)*0.12/4</f>
        <v>580.02719999999999</v>
      </c>
    </row>
    <row r="123" spans="1:11" x14ac:dyDescent="0.25">
      <c r="A123" s="4" t="s">
        <v>113</v>
      </c>
      <c r="B123" s="12"/>
      <c r="C123" s="73">
        <f>+B123*100</f>
        <v>0</v>
      </c>
    </row>
    <row r="124" spans="1:11" x14ac:dyDescent="0.25">
      <c r="A124" s="4" t="s">
        <v>114</v>
      </c>
      <c r="C124" s="73">
        <f>+B123*3*C76</f>
        <v>0</v>
      </c>
      <c r="E124" s="17" t="s">
        <v>115</v>
      </c>
      <c r="F124" s="74">
        <v>14.9</v>
      </c>
      <c r="I124" s="75">
        <f>+F124</f>
        <v>14.9</v>
      </c>
      <c r="J124" t="s">
        <v>115</v>
      </c>
    </row>
    <row r="125" spans="1:11" ht="15" customHeight="1" x14ac:dyDescent="0.25">
      <c r="A125" s="4" t="s">
        <v>116</v>
      </c>
      <c r="C125" s="4">
        <f>+B123*4*4*(F124+H12)</f>
        <v>0</v>
      </c>
      <c r="E125" s="17" t="s">
        <v>117</v>
      </c>
      <c r="F125" s="74"/>
      <c r="I125" s="201" t="s">
        <v>155</v>
      </c>
      <c r="J125" s="201"/>
      <c r="K125" s="201"/>
    </row>
    <row r="126" spans="1:11" x14ac:dyDescent="0.25">
      <c r="A126" s="4" t="s">
        <v>118</v>
      </c>
      <c r="C126" s="46">
        <v>500</v>
      </c>
      <c r="E126" s="17" t="s">
        <v>119</v>
      </c>
      <c r="F126" s="76"/>
      <c r="I126" s="201"/>
      <c r="J126" s="201"/>
      <c r="K126" s="201"/>
    </row>
    <row r="127" spans="1:11" ht="15" customHeight="1" x14ac:dyDescent="0.25">
      <c r="A127" s="4" t="s">
        <v>120</v>
      </c>
      <c r="C127" s="46">
        <f>SUM(C120:C126)</f>
        <v>1580.0272</v>
      </c>
      <c r="E127" s="16" t="s">
        <v>121</v>
      </c>
      <c r="F127" s="76">
        <v>0.05</v>
      </c>
    </row>
    <row r="128" spans="1:11" x14ac:dyDescent="0.25">
      <c r="C128" s="46"/>
    </row>
    <row r="129" spans="1:7" ht="15.75" x14ac:dyDescent="0.25">
      <c r="A129" s="3" t="s">
        <v>122</v>
      </c>
      <c r="C129" s="46"/>
      <c r="E129" s="3" t="s">
        <v>123</v>
      </c>
    </row>
    <row r="130" spans="1:7" x14ac:dyDescent="0.25">
      <c r="A130" s="4" t="s">
        <v>124</v>
      </c>
      <c r="C130" s="46">
        <f>+F124*C26</f>
        <v>24167.8</v>
      </c>
      <c r="E130" s="4" t="s">
        <v>125</v>
      </c>
      <c r="G130" s="46">
        <f>+B76</f>
        <v>4244.3723404255325</v>
      </c>
    </row>
    <row r="131" spans="1:7" x14ac:dyDescent="0.25">
      <c r="A131" s="4" t="s">
        <v>126</v>
      </c>
      <c r="C131" s="46">
        <f>+C130*F127</f>
        <v>1208.3900000000001</v>
      </c>
      <c r="E131" s="4" t="s">
        <v>127</v>
      </c>
      <c r="G131" s="46">
        <f>+K93+I98</f>
        <v>9194.4230200857</v>
      </c>
    </row>
    <row r="132" spans="1:7" x14ac:dyDescent="0.25">
      <c r="A132" s="4" t="s">
        <v>128</v>
      </c>
      <c r="C132" s="46">
        <f>SUM(C130:C131)</f>
        <v>25376.19</v>
      </c>
      <c r="E132" s="4" t="s">
        <v>91</v>
      </c>
      <c r="G132" s="46">
        <f>+I111</f>
        <v>5615.322180000001</v>
      </c>
    </row>
    <row r="133" spans="1:7" x14ac:dyDescent="0.25">
      <c r="E133" s="4" t="s">
        <v>108</v>
      </c>
      <c r="G133" s="46">
        <f>+C127</f>
        <v>1580.0272</v>
      </c>
    </row>
    <row r="134" spans="1:7" x14ac:dyDescent="0.25">
      <c r="E134" s="4" t="s">
        <v>129</v>
      </c>
      <c r="G134" s="46">
        <f>SUM(G130:G133)</f>
        <v>20634.144740511234</v>
      </c>
    </row>
    <row r="135" spans="1:7" x14ac:dyDescent="0.25">
      <c r="G135" s="46"/>
    </row>
    <row r="136" spans="1:7" x14ac:dyDescent="0.25">
      <c r="A136" s="4" t="s">
        <v>107</v>
      </c>
      <c r="B136" s="46">
        <f>+C132-G134</f>
        <v>4742.0452594887647</v>
      </c>
      <c r="G136" s="46"/>
    </row>
    <row r="137" spans="1:7" x14ac:dyDescent="0.25">
      <c r="A137" s="4" t="s">
        <v>130</v>
      </c>
      <c r="B137" s="46">
        <f>+C130*0.02</f>
        <v>483.35599999999999</v>
      </c>
      <c r="G137" s="46"/>
    </row>
    <row r="138" spans="1:7" x14ac:dyDescent="0.25">
      <c r="A138" s="4" t="s">
        <v>131</v>
      </c>
      <c r="B138" s="46">
        <f>+B136-B137</f>
        <v>4258.6892594887649</v>
      </c>
      <c r="C138" s="77">
        <f>+B138/G134</f>
        <v>0.20639039383724178</v>
      </c>
      <c r="G138" s="46"/>
    </row>
    <row r="139" spans="1:7" x14ac:dyDescent="0.25">
      <c r="G139" s="46"/>
    </row>
  </sheetData>
  <mergeCells count="4">
    <mergeCell ref="B6:C6"/>
    <mergeCell ref="B7:C7"/>
    <mergeCell ref="A44:B44"/>
    <mergeCell ref="I125:K12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139"/>
  <sheetViews>
    <sheetView topLeftCell="A47" zoomScale="90" zoomScaleNormal="90" workbookViewId="0">
      <selection activeCell="G72" sqref="G72"/>
    </sheetView>
  </sheetViews>
  <sheetFormatPr defaultColWidth="11.42578125" defaultRowHeight="15" x14ac:dyDescent="0.25"/>
  <cols>
    <col min="1" max="1" width="25.5703125" style="4" customWidth="1"/>
    <col min="2" max="2" width="20.42578125" style="4" customWidth="1"/>
    <col min="3" max="4" width="13.140625" style="4" customWidth="1"/>
    <col min="5" max="5" width="14.5703125" style="4" bestFit="1" customWidth="1"/>
    <col min="6" max="6" width="11.42578125" style="4"/>
    <col min="7" max="7" width="14.42578125" style="4" bestFit="1" customWidth="1"/>
    <col min="8" max="8" width="13.140625" style="4" bestFit="1" customWidth="1"/>
    <col min="9" max="9" width="14" style="4" customWidth="1"/>
    <col min="10" max="10" width="13.140625" style="4" bestFit="1" customWidth="1"/>
    <col min="11" max="11" width="11.85546875" style="4" bestFit="1" customWidth="1"/>
    <col min="12" max="16384" width="11.42578125" style="4"/>
  </cols>
  <sheetData>
    <row r="2" spans="1:13" ht="15.6" x14ac:dyDescent="0.3">
      <c r="A2" s="3" t="s">
        <v>0</v>
      </c>
      <c r="G2" s="5"/>
      <c r="H2" s="6"/>
      <c r="I2" s="80"/>
      <c r="J2" s="88"/>
      <c r="K2" s="88"/>
      <c r="L2" s="88"/>
      <c r="M2" s="88"/>
    </row>
    <row r="3" spans="1:13" ht="14.45" x14ac:dyDescent="0.3">
      <c r="I3"/>
      <c r="J3" s="88"/>
      <c r="K3" s="88"/>
      <c r="L3" s="88"/>
      <c r="M3" s="88"/>
    </row>
    <row r="4" spans="1:13" ht="14.45" x14ac:dyDescent="0.3">
      <c r="A4" s="7" t="s">
        <v>1</v>
      </c>
      <c r="B4" s="8" t="s">
        <v>2</v>
      </c>
      <c r="C4" s="9"/>
      <c r="E4" s="4" t="s">
        <v>3</v>
      </c>
      <c r="F4" s="10">
        <v>41141</v>
      </c>
      <c r="G4" s="89"/>
      <c r="I4"/>
      <c r="J4" s="88"/>
      <c r="K4" s="88"/>
      <c r="L4" s="88"/>
      <c r="M4" s="88"/>
    </row>
    <row r="5" spans="1:13" ht="14.45" x14ac:dyDescent="0.3">
      <c r="A5" s="7" t="s">
        <v>4</v>
      </c>
      <c r="B5" s="11"/>
      <c r="C5" s="9"/>
      <c r="E5" s="4" t="s">
        <v>5</v>
      </c>
      <c r="F5" s="10"/>
      <c r="I5"/>
      <c r="J5" s="93" t="s">
        <v>146</v>
      </c>
      <c r="K5" s="88"/>
      <c r="L5" s="88"/>
      <c r="M5" s="88"/>
    </row>
    <row r="6" spans="1:13" ht="14.45" x14ac:dyDescent="0.3">
      <c r="A6" s="7" t="s">
        <v>6</v>
      </c>
      <c r="B6" s="195" t="s">
        <v>144</v>
      </c>
      <c r="C6" s="196"/>
      <c r="I6"/>
      <c r="J6" s="93" t="s">
        <v>147</v>
      </c>
      <c r="K6" s="88"/>
      <c r="L6" s="88"/>
      <c r="M6" s="88"/>
    </row>
    <row r="7" spans="1:13" ht="14.45" x14ac:dyDescent="0.3">
      <c r="A7" s="4" t="s">
        <v>7</v>
      </c>
      <c r="B7" s="197" t="s">
        <v>145</v>
      </c>
      <c r="C7" s="198"/>
      <c r="I7"/>
      <c r="J7" s="87"/>
      <c r="K7"/>
      <c r="L7"/>
      <c r="M7"/>
    </row>
    <row r="8" spans="1:13" ht="14.45" x14ac:dyDescent="0.3">
      <c r="A8" s="4" t="s">
        <v>8</v>
      </c>
      <c r="B8" s="12" t="s">
        <v>9</v>
      </c>
      <c r="C8" s="13" t="s">
        <v>10</v>
      </c>
      <c r="E8" s="92" t="s">
        <v>11</v>
      </c>
      <c r="F8" s="12">
        <v>120</v>
      </c>
      <c r="G8" s="4" t="s">
        <v>12</v>
      </c>
      <c r="I8"/>
    </row>
    <row r="9" spans="1:13" x14ac:dyDescent="0.25">
      <c r="A9" s="4" t="s">
        <v>13</v>
      </c>
      <c r="B9" s="14" t="s">
        <v>150</v>
      </c>
      <c r="C9" s="15">
        <v>1</v>
      </c>
      <c r="D9" s="94">
        <v>100023</v>
      </c>
      <c r="E9" s="92" t="s">
        <v>14</v>
      </c>
      <c r="F9" s="12">
        <v>1</v>
      </c>
      <c r="G9" s="4" t="s">
        <v>15</v>
      </c>
      <c r="I9"/>
    </row>
    <row r="10" spans="1:13" ht="14.45" x14ac:dyDescent="0.3">
      <c r="B10" s="12"/>
      <c r="C10" s="15"/>
      <c r="E10" s="92" t="s">
        <v>16</v>
      </c>
      <c r="F10" s="12">
        <v>48</v>
      </c>
      <c r="G10" s="4" t="s">
        <v>15</v>
      </c>
      <c r="I10"/>
    </row>
    <row r="11" spans="1:13" ht="14.45" x14ac:dyDescent="0.3">
      <c r="B11" s="12"/>
      <c r="C11" s="15"/>
      <c r="E11" s="92" t="s">
        <v>17</v>
      </c>
      <c r="F11" s="16">
        <f>+F9*F10</f>
        <v>48</v>
      </c>
      <c r="G11" s="4" t="s">
        <v>15</v>
      </c>
      <c r="I11"/>
    </row>
    <row r="12" spans="1:13" ht="14.45" x14ac:dyDescent="0.3">
      <c r="D12" s="92"/>
      <c r="E12" s="16"/>
      <c r="G12" s="17"/>
      <c r="I12"/>
    </row>
    <row r="14" spans="1:13" ht="14.45" x14ac:dyDescent="0.3">
      <c r="A14" s="5" t="s">
        <v>18</v>
      </c>
      <c r="E14" s="18"/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  <c r="K14" s="18" t="s">
        <v>24</v>
      </c>
      <c r="L14" s="18" t="s">
        <v>25</v>
      </c>
    </row>
    <row r="15" spans="1:13" ht="14.45" x14ac:dyDescent="0.3">
      <c r="A15" s="19">
        <v>1.05</v>
      </c>
      <c r="C15" s="20"/>
      <c r="E15" s="21"/>
      <c r="F15" s="21"/>
      <c r="G15" s="21"/>
      <c r="H15" s="21"/>
    </row>
    <row r="16" spans="1:13" ht="14.45" x14ac:dyDescent="0.3">
      <c r="A16" s="22" t="s">
        <v>148</v>
      </c>
      <c r="B16" s="23">
        <f>+$A$15</f>
        <v>1.05</v>
      </c>
      <c r="C16" s="24">
        <f>SUM(E16:K16)</f>
        <v>794</v>
      </c>
      <c r="D16" s="25">
        <f>+C16/$C$26</f>
        <v>0.48951911220715166</v>
      </c>
      <c r="E16" s="12"/>
      <c r="F16" s="12"/>
      <c r="G16" s="12"/>
      <c r="H16" s="12">
        <f>492+253+49</f>
        <v>794</v>
      </c>
      <c r="I16" s="12"/>
      <c r="J16" s="12"/>
      <c r="K16" s="12"/>
      <c r="L16" s="12"/>
    </row>
    <row r="17" spans="1:12" ht="14.45" x14ac:dyDescent="0.3">
      <c r="A17" s="22" t="s">
        <v>149</v>
      </c>
      <c r="B17" s="23">
        <f t="shared" ref="B17:B25" si="0">+$A$15</f>
        <v>1.05</v>
      </c>
      <c r="C17" s="24">
        <f>SUM(E17:K17)</f>
        <v>828</v>
      </c>
      <c r="D17" s="25">
        <f>+C17/$C$26</f>
        <v>0.51048088779284828</v>
      </c>
      <c r="E17" s="12"/>
      <c r="F17" s="12"/>
      <c r="G17" s="12"/>
      <c r="H17" s="12">
        <f>+H16+34</f>
        <v>828</v>
      </c>
      <c r="I17" s="12"/>
      <c r="J17" s="12"/>
      <c r="K17" s="12"/>
      <c r="L17" s="12"/>
    </row>
    <row r="18" spans="1:12" ht="14.45" x14ac:dyDescent="0.3">
      <c r="A18" s="22"/>
      <c r="B18" s="23">
        <f t="shared" si="0"/>
        <v>1.05</v>
      </c>
      <c r="C18" s="24">
        <f>SUM(E18:K18)</f>
        <v>0</v>
      </c>
      <c r="D18" s="25">
        <f>+C18/$C$26</f>
        <v>0</v>
      </c>
      <c r="E18" s="12"/>
      <c r="F18" s="12"/>
      <c r="G18" s="12"/>
      <c r="H18" s="12"/>
      <c r="I18" s="12"/>
      <c r="J18" s="12"/>
      <c r="K18" s="12"/>
      <c r="L18" s="12"/>
    </row>
    <row r="19" spans="1:12" ht="14.45" x14ac:dyDescent="0.3">
      <c r="A19" s="22"/>
      <c r="B19" s="23">
        <f t="shared" si="0"/>
        <v>1.05</v>
      </c>
      <c r="C19" s="24">
        <f>SUM(E19:K19)</f>
        <v>0</v>
      </c>
      <c r="D19" s="25">
        <f>+C19/$C$26</f>
        <v>0</v>
      </c>
      <c r="E19" s="12"/>
      <c r="F19" s="12"/>
      <c r="G19" s="12"/>
      <c r="H19" s="90"/>
      <c r="I19" s="12"/>
      <c r="J19" s="12"/>
      <c r="K19" s="12"/>
      <c r="L19" s="12"/>
    </row>
    <row r="20" spans="1:12" ht="14.45" x14ac:dyDescent="0.3">
      <c r="A20" s="79"/>
      <c r="B20" s="23">
        <f t="shared" si="0"/>
        <v>1.05</v>
      </c>
      <c r="C20" s="24">
        <f>SUM(E20:K20)</f>
        <v>0</v>
      </c>
      <c r="D20" s="25">
        <f>+C20/$C$26</f>
        <v>0</v>
      </c>
      <c r="E20" s="12"/>
      <c r="F20" s="12"/>
      <c r="G20" s="12"/>
      <c r="H20" s="12"/>
      <c r="I20" s="12"/>
      <c r="J20" s="12"/>
      <c r="K20" s="12"/>
      <c r="L20" s="12"/>
    </row>
    <row r="21" spans="1:12" ht="14.45" x14ac:dyDescent="0.3">
      <c r="A21" s="26"/>
      <c r="B21" s="23">
        <f t="shared" si="0"/>
        <v>1.05</v>
      </c>
      <c r="C21" s="24"/>
      <c r="D21" s="25"/>
      <c r="E21" s="12"/>
      <c r="F21" s="12"/>
      <c r="G21" s="12"/>
      <c r="H21" s="12"/>
      <c r="I21" s="12"/>
      <c r="J21" s="12"/>
      <c r="K21" s="12"/>
      <c r="L21" s="12"/>
    </row>
    <row r="22" spans="1:12" ht="14.45" x14ac:dyDescent="0.3">
      <c r="A22" s="26"/>
      <c r="B22" s="23">
        <f t="shared" si="0"/>
        <v>1.05</v>
      </c>
      <c r="C22" s="24"/>
      <c r="D22" s="25"/>
      <c r="E22" s="12"/>
      <c r="F22" s="12"/>
      <c r="G22" s="12"/>
      <c r="H22" s="12"/>
      <c r="I22" s="12"/>
      <c r="J22" s="12"/>
      <c r="K22" s="12"/>
      <c r="L22" s="12"/>
    </row>
    <row r="23" spans="1:12" ht="14.45" x14ac:dyDescent="0.3">
      <c r="A23" s="26"/>
      <c r="B23" s="23">
        <f t="shared" si="0"/>
        <v>1.05</v>
      </c>
      <c r="C23" s="24"/>
      <c r="D23" s="25"/>
      <c r="E23" s="12"/>
      <c r="F23" s="12"/>
      <c r="G23" s="12"/>
      <c r="H23" s="12"/>
      <c r="I23" s="12"/>
      <c r="J23" s="12"/>
      <c r="K23" s="12"/>
      <c r="L23" s="12"/>
    </row>
    <row r="24" spans="1:12" ht="14.45" x14ac:dyDescent="0.3">
      <c r="A24" s="26"/>
      <c r="B24" s="23">
        <f t="shared" si="0"/>
        <v>1.05</v>
      </c>
      <c r="C24" s="24"/>
      <c r="D24" s="25"/>
      <c r="E24" s="12"/>
      <c r="F24" s="12"/>
      <c r="G24" s="12"/>
      <c r="H24" s="12"/>
      <c r="I24" s="12"/>
      <c r="J24" s="12"/>
      <c r="K24" s="12"/>
      <c r="L24" s="12"/>
    </row>
    <row r="25" spans="1:12" ht="14.45" x14ac:dyDescent="0.3">
      <c r="A25" s="26"/>
      <c r="B25" s="23">
        <f t="shared" si="0"/>
        <v>1.05</v>
      </c>
      <c r="C25" s="24"/>
      <c r="D25" s="25"/>
      <c r="E25" s="12"/>
      <c r="F25" s="12"/>
      <c r="G25" s="12"/>
      <c r="H25" s="12"/>
      <c r="I25" s="12"/>
      <c r="J25" s="12"/>
      <c r="K25" s="12"/>
      <c r="L25" s="12"/>
    </row>
    <row r="26" spans="1:12" ht="14.45" x14ac:dyDescent="0.3">
      <c r="A26" s="4" t="s">
        <v>26</v>
      </c>
      <c r="C26" s="27">
        <f>SUM(C16:C25)</f>
        <v>1622</v>
      </c>
      <c r="D26" s="28">
        <f>SUM(D16:D25)</f>
        <v>1</v>
      </c>
      <c r="E26" s="29"/>
      <c r="F26" s="29"/>
      <c r="G26" s="29"/>
      <c r="H26" s="29">
        <f>SUM(H16:H25)</f>
        <v>1622</v>
      </c>
      <c r="I26" s="29"/>
      <c r="J26" s="29"/>
      <c r="K26" s="29"/>
      <c r="L26" s="29"/>
    </row>
    <row r="27" spans="1:12" ht="14.45" x14ac:dyDescent="0.3">
      <c r="C27" s="27"/>
      <c r="E27" s="27"/>
      <c r="F27" s="27"/>
      <c r="G27" s="27"/>
      <c r="H27" s="27"/>
    </row>
    <row r="28" spans="1:12" ht="14.45" x14ac:dyDescent="0.3">
      <c r="A28" s="30" t="s">
        <v>27</v>
      </c>
      <c r="D28" s="13" t="s">
        <v>28</v>
      </c>
      <c r="E28" s="31">
        <f>E14</f>
        <v>0</v>
      </c>
      <c r="F28" s="31" t="str">
        <f t="shared" ref="F28:L28" si="1">F14</f>
        <v>XS</v>
      </c>
      <c r="G28" s="31" t="str">
        <f t="shared" si="1"/>
        <v>S</v>
      </c>
      <c r="H28" s="31" t="str">
        <f t="shared" si="1"/>
        <v>M</v>
      </c>
      <c r="I28" s="31" t="str">
        <f t="shared" si="1"/>
        <v>L</v>
      </c>
      <c r="J28" s="31" t="str">
        <f t="shared" si="1"/>
        <v>XL</v>
      </c>
      <c r="K28" s="31" t="str">
        <f t="shared" si="1"/>
        <v>XXL</v>
      </c>
      <c r="L28" s="31" t="str">
        <f t="shared" si="1"/>
        <v>XXXL</v>
      </c>
    </row>
    <row r="29" spans="1:12" ht="14.45" x14ac:dyDescent="0.3">
      <c r="A29" s="4" t="str">
        <f>+A16</f>
        <v>EVENING BLUE</v>
      </c>
      <c r="B29" s="32">
        <f>IF(A29="white",$A$15*1.1,$A$15*1.05)</f>
        <v>1.1025</v>
      </c>
      <c r="C29" s="24">
        <f>SUM(E29:K29)</f>
        <v>876</v>
      </c>
      <c r="D29" s="25">
        <f>+C29/$C$39</f>
        <v>0.47790507364975449</v>
      </c>
      <c r="E29" s="17"/>
      <c r="F29" s="17"/>
      <c r="G29" s="17"/>
      <c r="H29" s="17">
        <f>ROUNDUP(+H16*$B29,0)</f>
        <v>876</v>
      </c>
      <c r="I29" s="17"/>
      <c r="J29" s="17"/>
      <c r="K29" s="17"/>
      <c r="L29" s="17"/>
    </row>
    <row r="30" spans="1:12" ht="14.45" x14ac:dyDescent="0.3">
      <c r="A30" s="4" t="str">
        <f>+A17</f>
        <v>WHITE</v>
      </c>
      <c r="B30" s="32">
        <f t="shared" ref="B30:B38" si="2">IF(A30="white",$A$15*1.1,$A$15*1.05)</f>
        <v>1.1550000000000002</v>
      </c>
      <c r="C30" s="24">
        <f>SUM(E30:K30)</f>
        <v>957</v>
      </c>
      <c r="D30" s="25">
        <f>+C30/$C$39</f>
        <v>0.52209492635024546</v>
      </c>
      <c r="E30" s="17"/>
      <c r="F30" s="17"/>
      <c r="G30" s="17"/>
      <c r="H30" s="17">
        <f>ROUNDUP(+H17*$B30,0)</f>
        <v>957</v>
      </c>
      <c r="I30" s="17"/>
      <c r="J30" s="17"/>
      <c r="K30" s="17"/>
      <c r="L30" s="17"/>
    </row>
    <row r="31" spans="1:12" ht="14.45" x14ac:dyDescent="0.3">
      <c r="A31" s="4">
        <f>+A18</f>
        <v>0</v>
      </c>
      <c r="B31" s="32">
        <f t="shared" si="2"/>
        <v>1.1025</v>
      </c>
      <c r="C31" s="24">
        <f>SUM(E31:K31)</f>
        <v>0</v>
      </c>
      <c r="D31" s="25">
        <f>+C31/$C$39</f>
        <v>0</v>
      </c>
      <c r="E31" s="17"/>
      <c r="F31" s="17"/>
      <c r="G31" s="17"/>
      <c r="H31" s="17">
        <f>ROUNDUP(+H18*$B31,0)</f>
        <v>0</v>
      </c>
      <c r="I31" s="17"/>
      <c r="J31" s="17"/>
      <c r="K31" s="17"/>
      <c r="L31" s="17"/>
    </row>
    <row r="32" spans="1:12" ht="14.45" x14ac:dyDescent="0.3">
      <c r="A32"/>
      <c r="B32" s="32">
        <f t="shared" si="2"/>
        <v>1.1025</v>
      </c>
      <c r="C32" s="24">
        <f>SUM(E32:K32)</f>
        <v>0</v>
      </c>
      <c r="D32" s="25">
        <f>+C32/$C$39</f>
        <v>0</v>
      </c>
      <c r="E32" s="17"/>
      <c r="F32" s="17"/>
      <c r="G32" s="17"/>
      <c r="H32" s="17">
        <f>ROUNDUP(+H19*$B32,0)</f>
        <v>0</v>
      </c>
      <c r="I32" s="17"/>
      <c r="J32" s="17"/>
      <c r="K32" s="17"/>
      <c r="L32" s="17"/>
    </row>
    <row r="33" spans="1:12" ht="14.45" x14ac:dyDescent="0.3">
      <c r="A33" s="64">
        <f>+A20</f>
        <v>0</v>
      </c>
      <c r="B33" s="32">
        <f t="shared" si="2"/>
        <v>1.1025</v>
      </c>
      <c r="C33" s="24">
        <f>SUM(E33:K33)</f>
        <v>0</v>
      </c>
      <c r="D33" s="25">
        <f>+C33/$C$39</f>
        <v>0</v>
      </c>
      <c r="E33" s="17"/>
      <c r="F33" s="17"/>
      <c r="G33" s="17"/>
      <c r="H33" s="17">
        <f>ROUNDUP(+H20*$B33,0)</f>
        <v>0</v>
      </c>
      <c r="I33" s="17"/>
      <c r="J33" s="17"/>
      <c r="K33" s="17"/>
      <c r="L33" s="17"/>
    </row>
    <row r="34" spans="1:12" ht="14.45" x14ac:dyDescent="0.3">
      <c r="B34" s="32">
        <f t="shared" si="2"/>
        <v>1.1025</v>
      </c>
      <c r="C34" s="24"/>
      <c r="D34" s="25"/>
      <c r="E34" s="17"/>
      <c r="F34" s="17"/>
      <c r="G34" s="17"/>
      <c r="H34" s="17"/>
      <c r="I34" s="17"/>
      <c r="J34" s="17"/>
      <c r="K34" s="17"/>
      <c r="L34" s="17"/>
    </row>
    <row r="35" spans="1:12" ht="14.45" x14ac:dyDescent="0.3">
      <c r="B35" s="32">
        <f t="shared" si="2"/>
        <v>1.1025</v>
      </c>
      <c r="C35" s="24"/>
      <c r="D35" s="25"/>
      <c r="E35" s="17"/>
      <c r="F35" s="17"/>
      <c r="G35" s="17"/>
      <c r="H35" s="17"/>
      <c r="I35" s="17"/>
      <c r="J35" s="17"/>
      <c r="K35" s="17"/>
      <c r="L35" s="17"/>
    </row>
    <row r="36" spans="1:12" ht="14.45" x14ac:dyDescent="0.3">
      <c r="B36" s="32">
        <f t="shared" si="2"/>
        <v>1.1025</v>
      </c>
      <c r="C36" s="24"/>
      <c r="D36" s="25"/>
      <c r="E36" s="17"/>
      <c r="F36" s="17"/>
      <c r="G36" s="17"/>
      <c r="H36" s="17"/>
      <c r="I36" s="17"/>
      <c r="J36" s="17"/>
      <c r="K36" s="17"/>
      <c r="L36" s="17"/>
    </row>
    <row r="37" spans="1:12" ht="14.45" x14ac:dyDescent="0.3">
      <c r="B37" s="32">
        <f t="shared" si="2"/>
        <v>1.1025</v>
      </c>
      <c r="C37" s="24"/>
      <c r="D37" s="25"/>
      <c r="E37" s="17"/>
      <c r="F37" s="17"/>
      <c r="G37" s="17"/>
      <c r="H37" s="17"/>
      <c r="I37" s="17"/>
      <c r="J37" s="17"/>
      <c r="K37" s="17"/>
      <c r="L37" s="17"/>
    </row>
    <row r="38" spans="1:12" ht="14.45" x14ac:dyDescent="0.3">
      <c r="B38" s="32">
        <f t="shared" si="2"/>
        <v>1.1025</v>
      </c>
      <c r="C38" s="24"/>
      <c r="D38" s="25"/>
      <c r="E38" s="17"/>
      <c r="F38" s="17"/>
      <c r="G38" s="17"/>
      <c r="H38" s="17"/>
      <c r="I38" s="17"/>
      <c r="J38" s="17"/>
      <c r="K38" s="17"/>
      <c r="L38" s="17"/>
    </row>
    <row r="39" spans="1:12" ht="14.45" x14ac:dyDescent="0.3">
      <c r="C39" s="27">
        <f>SUM(C29:C38)</f>
        <v>1833</v>
      </c>
      <c r="E39" s="29"/>
      <c r="F39" s="29"/>
      <c r="G39" s="29"/>
      <c r="H39" s="29">
        <f>SUM(H29:H38)</f>
        <v>1833</v>
      </c>
      <c r="I39" s="29"/>
      <c r="J39" s="29"/>
      <c r="K39" s="29"/>
      <c r="L39" s="17"/>
    </row>
    <row r="41" spans="1:12" ht="14.45" x14ac:dyDescent="0.3">
      <c r="A41" s="4" t="s">
        <v>29</v>
      </c>
      <c r="B41" s="33" t="s">
        <v>30</v>
      </c>
      <c r="D41" s="4" t="s">
        <v>31</v>
      </c>
      <c r="E41" s="34">
        <v>1.65</v>
      </c>
      <c r="G41" s="4" t="s">
        <v>32</v>
      </c>
      <c r="H41" s="35">
        <f>6.42+6.42</f>
        <v>12.84</v>
      </c>
      <c r="I41" s="4" t="s">
        <v>33</v>
      </c>
    </row>
    <row r="42" spans="1:12" x14ac:dyDescent="0.25">
      <c r="A42" s="4" t="s">
        <v>34</v>
      </c>
      <c r="B42" s="36"/>
      <c r="D42" s="4" t="s">
        <v>35</v>
      </c>
      <c r="E42" s="34">
        <f>3.32/4</f>
        <v>0.83</v>
      </c>
      <c r="G42" s="4" t="s">
        <v>36</v>
      </c>
      <c r="H42" s="35"/>
    </row>
    <row r="43" spans="1:12" ht="14.45" x14ac:dyDescent="0.3">
      <c r="G43" s="4" t="s">
        <v>11</v>
      </c>
      <c r="H43" s="35"/>
      <c r="I43" s="4" t="s">
        <v>33</v>
      </c>
    </row>
    <row r="44" spans="1:12" ht="14.45" x14ac:dyDescent="0.3">
      <c r="A44" s="199" t="s">
        <v>37</v>
      </c>
      <c r="B44" s="200"/>
      <c r="C44" s="37">
        <f>+E42*E41*F8</f>
        <v>164.34</v>
      </c>
      <c r="D44" s="4" t="s">
        <v>38</v>
      </c>
      <c r="E44" s="17">
        <f>+E41*E42</f>
        <v>1.3694999999999999</v>
      </c>
      <c r="F44" s="4" t="s">
        <v>39</v>
      </c>
      <c r="G44">
        <f>+E42*1.09363</f>
        <v>0.90771290000000004</v>
      </c>
      <c r="H44" s="2" t="s">
        <v>132</v>
      </c>
      <c r="I44"/>
      <c r="J44" s="4">
        <f>+G44*1.1</f>
        <v>0.9984841900000001</v>
      </c>
    </row>
    <row r="45" spans="1:12" ht="14.45" x14ac:dyDescent="0.3">
      <c r="D45" s="38" t="s">
        <v>40</v>
      </c>
      <c r="E45" s="17">
        <f>ROUNDDOWN(1000/(+E41*F8),2)</f>
        <v>5.05</v>
      </c>
      <c r="F45" s="4" t="s">
        <v>41</v>
      </c>
      <c r="G45" s="78"/>
      <c r="H45" t="s">
        <v>133</v>
      </c>
      <c r="I45"/>
    </row>
    <row r="46" spans="1:12" ht="15.6" x14ac:dyDescent="0.3">
      <c r="A46" s="3" t="s">
        <v>42</v>
      </c>
      <c r="D46" s="39" t="s">
        <v>43</v>
      </c>
      <c r="E46" s="40">
        <v>0.75049999999999994</v>
      </c>
      <c r="G46" s="78">
        <f>+C76/E45</f>
        <v>2.2867676687467813</v>
      </c>
      <c r="H46" t="s">
        <v>134</v>
      </c>
      <c r="I46">
        <f>+G46*1.2</f>
        <v>2.7441212024961374</v>
      </c>
    </row>
    <row r="47" spans="1:12" ht="14.45" x14ac:dyDescent="0.3">
      <c r="A47" s="5"/>
    </row>
    <row r="48" spans="1:12" ht="14.45" x14ac:dyDescent="0.3">
      <c r="A48" s="5" t="s">
        <v>44</v>
      </c>
      <c r="G48" s="4" t="s">
        <v>45</v>
      </c>
      <c r="H48" s="41">
        <f>+C76</f>
        <v>11.548176727171246</v>
      </c>
    </row>
    <row r="49" spans="1:11" ht="14.45" x14ac:dyDescent="0.3">
      <c r="A49" s="4" t="s">
        <v>46</v>
      </c>
      <c r="C49" s="32">
        <v>0.1</v>
      </c>
      <c r="D49" s="42" t="s">
        <v>47</v>
      </c>
      <c r="E49" s="42" t="s">
        <v>26</v>
      </c>
      <c r="G49" s="4" t="s">
        <v>40</v>
      </c>
      <c r="H49" s="43">
        <f>+E45</f>
        <v>5.05</v>
      </c>
      <c r="I49" s="17" t="s">
        <v>48</v>
      </c>
    </row>
    <row r="50" spans="1:11" ht="14.45" x14ac:dyDescent="0.3">
      <c r="A50" s="4" t="str">
        <f>+B9</f>
        <v>VISCOSA BORTEX</v>
      </c>
      <c r="B50" s="44">
        <f>ROUNDUP(((C44+H41)*C39*C9)/1000,0)</f>
        <v>325</v>
      </c>
      <c r="C50" s="44">
        <f>ROUNDUP(((+B50*100)/(1-$C$49))/100,0)</f>
        <v>362</v>
      </c>
      <c r="D50" s="45"/>
      <c r="E50" s="46">
        <f>+C50*D50</f>
        <v>0</v>
      </c>
      <c r="G50" s="4" t="s">
        <v>49</v>
      </c>
      <c r="H50" s="47">
        <f>+H48/H49</f>
        <v>2.2867676687467813</v>
      </c>
      <c r="I50" s="38" t="s">
        <v>50</v>
      </c>
      <c r="J50" s="4">
        <f>+H50*0.9144</f>
        <v>2.0910203563020566</v>
      </c>
      <c r="K50" s="48">
        <f>+J50*1.2</f>
        <v>2.5092244275624678</v>
      </c>
    </row>
    <row r="51" spans="1:11" ht="14.45" x14ac:dyDescent="0.3">
      <c r="A51" s="4">
        <f>+B10</f>
        <v>0</v>
      </c>
      <c r="B51" s="44">
        <f>+((C44+H41)*C39*C10)/1000</f>
        <v>0</v>
      </c>
      <c r="C51" s="44">
        <f>ROUNDUP(((+B51*100)/(1-$C$49))/100,0)</f>
        <v>0</v>
      </c>
      <c r="D51" s="45"/>
      <c r="E51" s="46">
        <f>+C51*D51</f>
        <v>0</v>
      </c>
      <c r="G51" s="4" t="s">
        <v>51</v>
      </c>
      <c r="H51" s="41">
        <f>+E41</f>
        <v>1.65</v>
      </c>
      <c r="I51" s="17" t="s">
        <v>52</v>
      </c>
      <c r="J51" s="49">
        <f>+H51/2.544*100</f>
        <v>64.85849056603773</v>
      </c>
      <c r="K51" s="4" t="s">
        <v>53</v>
      </c>
    </row>
    <row r="52" spans="1:11" ht="14.45" x14ac:dyDescent="0.3">
      <c r="A52" s="4">
        <f>+B11</f>
        <v>0</v>
      </c>
      <c r="B52" s="27">
        <f>+(C44*C39*C11)/1000</f>
        <v>0</v>
      </c>
      <c r="C52" s="27">
        <f>(+B52*C49)+B52</f>
        <v>0</v>
      </c>
      <c r="D52" s="45"/>
      <c r="E52" s="46">
        <f>+C52*D52</f>
        <v>0</v>
      </c>
      <c r="G52" s="4" t="s">
        <v>54</v>
      </c>
      <c r="H52" s="4">
        <v>1</v>
      </c>
    </row>
    <row r="53" spans="1:11" ht="14.45" x14ac:dyDescent="0.3">
      <c r="A53" s="4" t="s">
        <v>26</v>
      </c>
      <c r="B53" s="44">
        <f>SUM(B50:B52)</f>
        <v>325</v>
      </c>
      <c r="C53" s="44">
        <f>SUM(C50:C52)</f>
        <v>362</v>
      </c>
      <c r="E53" s="46">
        <f>SUM(E49:E52)</f>
        <v>0</v>
      </c>
    </row>
    <row r="54" spans="1:11" ht="14.45" x14ac:dyDescent="0.3">
      <c r="C54" s="27"/>
      <c r="E54" s="46"/>
    </row>
    <row r="55" spans="1:11" ht="14.45" x14ac:dyDescent="0.3">
      <c r="A55" s="5" t="s">
        <v>55</v>
      </c>
      <c r="B55" s="45"/>
      <c r="C55" s="27"/>
      <c r="E55" s="46"/>
    </row>
    <row r="56" spans="1:11" ht="14.45" x14ac:dyDescent="0.3">
      <c r="C56" s="27"/>
    </row>
    <row r="57" spans="1:11" x14ac:dyDescent="0.25">
      <c r="A57" s="30" t="s">
        <v>56</v>
      </c>
      <c r="B57" s="50" t="s">
        <v>47</v>
      </c>
      <c r="C57" s="51" t="s">
        <v>57</v>
      </c>
      <c r="D57" s="50" t="s">
        <v>26</v>
      </c>
      <c r="E57" s="50" t="s">
        <v>58</v>
      </c>
      <c r="G57" s="52" t="s">
        <v>59</v>
      </c>
    </row>
    <row r="58" spans="1:11" ht="14.45" x14ac:dyDescent="0.3">
      <c r="C58" s="27"/>
    </row>
    <row r="59" spans="1:11" x14ac:dyDescent="0.25">
      <c r="A59" s="4" t="str">
        <f>+A16</f>
        <v>EVENING BLUE</v>
      </c>
      <c r="B59" s="84">
        <f>3.2+8</f>
        <v>11.2</v>
      </c>
      <c r="C59" s="44">
        <f>+D29*$C$53</f>
        <v>173.00163666121114</v>
      </c>
      <c r="D59" s="46">
        <f>+B59*C59</f>
        <v>1937.6183306055646</v>
      </c>
      <c r="E59" s="45"/>
      <c r="G59" t="s">
        <v>151</v>
      </c>
    </row>
    <row r="60" spans="1:11" ht="14.45" x14ac:dyDescent="0.3">
      <c r="A60" s="4" t="str">
        <f>+A17</f>
        <v>WHITE</v>
      </c>
      <c r="B60" s="84">
        <f>1.6+8</f>
        <v>9.6</v>
      </c>
      <c r="C60" s="44">
        <f>+D30*$C$53</f>
        <v>188.99836333878886</v>
      </c>
      <c r="D60" s="46">
        <f>+B60*C60</f>
        <v>1814.384288052373</v>
      </c>
      <c r="E60" s="45"/>
      <c r="G60" t="s">
        <v>152</v>
      </c>
    </row>
    <row r="61" spans="1:11" ht="14.45" x14ac:dyDescent="0.3">
      <c r="A61" s="4">
        <f>+A18</f>
        <v>0</v>
      </c>
      <c r="B61" s="84"/>
      <c r="C61" s="44">
        <f>+D31*$C$53</f>
        <v>0</v>
      </c>
      <c r="D61" s="46">
        <f>+B61*C61</f>
        <v>0</v>
      </c>
      <c r="E61" s="45"/>
    </row>
    <row r="62" spans="1:11" ht="14.45" x14ac:dyDescent="0.3">
      <c r="A62">
        <f>+A19</f>
        <v>0</v>
      </c>
      <c r="B62" s="84"/>
      <c r="C62" s="44">
        <f>+D32*$C$53</f>
        <v>0</v>
      </c>
      <c r="D62" s="46">
        <f>+B62*C62</f>
        <v>0</v>
      </c>
      <c r="E62" s="45"/>
    </row>
    <row r="63" spans="1:11" ht="14.45" x14ac:dyDescent="0.3">
      <c r="A63">
        <f>+A20</f>
        <v>0</v>
      </c>
      <c r="B63" s="84"/>
      <c r="C63" s="44">
        <f>+D33*$C$53</f>
        <v>0</v>
      </c>
      <c r="D63" s="46">
        <f>+B63*C63</f>
        <v>0</v>
      </c>
      <c r="E63" s="45"/>
    </row>
    <row r="64" spans="1:11" ht="14.45" x14ac:dyDescent="0.3">
      <c r="B64" s="45"/>
      <c r="C64" s="44"/>
      <c r="D64" s="46"/>
      <c r="E64" s="45"/>
    </row>
    <row r="65" spans="1:11" ht="14.45" x14ac:dyDescent="0.3">
      <c r="B65" s="45"/>
      <c r="C65" s="27"/>
      <c r="D65" s="46"/>
      <c r="E65" s="45"/>
    </row>
    <row r="66" spans="1:11" ht="14.45" x14ac:dyDescent="0.3">
      <c r="B66" s="45"/>
      <c r="C66" s="27"/>
      <c r="D66" s="46"/>
      <c r="E66" s="45"/>
    </row>
    <row r="67" spans="1:11" ht="14.45" x14ac:dyDescent="0.3">
      <c r="B67" s="45"/>
      <c r="C67" s="27"/>
      <c r="D67" s="46"/>
      <c r="E67" s="45"/>
    </row>
    <row r="68" spans="1:11" ht="14.45" x14ac:dyDescent="0.3">
      <c r="B68" s="45"/>
      <c r="C68" s="27"/>
      <c r="D68" s="46"/>
      <c r="E68" s="45"/>
    </row>
    <row r="69" spans="1:11" ht="14.45" x14ac:dyDescent="0.3">
      <c r="A69" s="4" t="s">
        <v>26</v>
      </c>
      <c r="C69" s="44">
        <f>SUM(C59:C68)</f>
        <v>362</v>
      </c>
      <c r="D69" s="46">
        <f>SUM(D59:D68)</f>
        <v>3752.0026186579375</v>
      </c>
      <c r="E69" s="27"/>
    </row>
    <row r="70" spans="1:11" ht="14.45" x14ac:dyDescent="0.3">
      <c r="E70" s="53"/>
    </row>
    <row r="71" spans="1:11" ht="14.45" x14ac:dyDescent="0.3">
      <c r="A71" s="5" t="s">
        <v>49</v>
      </c>
    </row>
    <row r="73" spans="1:11" ht="14.45" x14ac:dyDescent="0.3">
      <c r="A73" s="4" t="s">
        <v>44</v>
      </c>
      <c r="B73" s="46">
        <f>+E53</f>
        <v>0</v>
      </c>
    </row>
    <row r="74" spans="1:11" ht="14.45" x14ac:dyDescent="0.3">
      <c r="A74" s="4" t="s">
        <v>60</v>
      </c>
      <c r="B74" s="46">
        <f>+(B55*C53)</f>
        <v>0</v>
      </c>
    </row>
    <row r="75" spans="1:11" x14ac:dyDescent="0.25">
      <c r="A75" s="4" t="s">
        <v>61</v>
      </c>
      <c r="B75" s="46">
        <f>+D69</f>
        <v>3752.0026186579375</v>
      </c>
    </row>
    <row r="76" spans="1:11" ht="14.45" x14ac:dyDescent="0.3">
      <c r="A76" s="4" t="s">
        <v>26</v>
      </c>
      <c r="B76" s="46">
        <f>IF(F8&gt;0,B73+B74+B75,E44*C39*J50)</f>
        <v>3752.0026186579375</v>
      </c>
      <c r="C76" s="54">
        <f>+B76/(B53-C49)</f>
        <v>11.548176727171246</v>
      </c>
      <c r="D76" s="4" t="s">
        <v>62</v>
      </c>
    </row>
    <row r="78" spans="1:11" x14ac:dyDescent="0.25">
      <c r="A78" s="5" t="s">
        <v>63</v>
      </c>
      <c r="B78" s="55">
        <f>IF(B76&gt;0,B76/C26,J50*E44)</f>
        <v>2.3131952026251157</v>
      </c>
    </row>
    <row r="80" spans="1:11" x14ac:dyDescent="0.25">
      <c r="A80" s="31" t="s">
        <v>64</v>
      </c>
      <c r="B80" s="31" t="s">
        <v>65</v>
      </c>
      <c r="C80" s="31" t="s">
        <v>66</v>
      </c>
      <c r="D80" s="31" t="s">
        <v>67</v>
      </c>
      <c r="E80" s="31" t="s">
        <v>68</v>
      </c>
      <c r="F80" s="31" t="s">
        <v>69</v>
      </c>
      <c r="G80" s="31" t="s">
        <v>47</v>
      </c>
      <c r="H80" s="31" t="s">
        <v>70</v>
      </c>
      <c r="I80" s="31" t="s">
        <v>71</v>
      </c>
      <c r="J80" s="31" t="s">
        <v>72</v>
      </c>
      <c r="K80" s="31" t="s">
        <v>73</v>
      </c>
    </row>
    <row r="81" spans="1:13" x14ac:dyDescent="0.25">
      <c r="A81" s="56" t="s">
        <v>74</v>
      </c>
      <c r="B81" s="57"/>
      <c r="C81" s="56"/>
      <c r="D81" s="17" t="s">
        <v>75</v>
      </c>
      <c r="E81" s="17">
        <v>4572</v>
      </c>
      <c r="F81" s="17" t="s">
        <v>76</v>
      </c>
      <c r="G81" s="58">
        <v>2.15</v>
      </c>
      <c r="H81" s="59">
        <v>0.1</v>
      </c>
      <c r="I81" s="26">
        <v>150</v>
      </c>
      <c r="J81" s="60">
        <f>((+I81/E81)*G81)*H81+((+I81/E81)*G81)</f>
        <v>7.759186351706035E-2</v>
      </c>
      <c r="K81" s="46">
        <f>+J81*$C$39</f>
        <v>142.22588582677162</v>
      </c>
    </row>
    <row r="82" spans="1:13" x14ac:dyDescent="0.25">
      <c r="A82" s="61" t="s">
        <v>77</v>
      </c>
      <c r="B82" s="1" t="s">
        <v>142</v>
      </c>
      <c r="C82" s="56"/>
      <c r="D82" s="17" t="s">
        <v>78</v>
      </c>
      <c r="E82" s="17">
        <v>1000</v>
      </c>
      <c r="F82" s="17" t="s">
        <v>79</v>
      </c>
      <c r="G82" s="86">
        <f>75*1.7</f>
        <v>127.5</v>
      </c>
      <c r="H82" s="59">
        <v>0.1</v>
      </c>
      <c r="I82" s="26">
        <v>1</v>
      </c>
      <c r="J82" s="60">
        <f t="shared" ref="J82:J92" si="3">((+I82/E82)*G82)*H82+((+I82/E82)*G82)</f>
        <v>0.14025000000000001</v>
      </c>
      <c r="K82" s="46">
        <f t="shared" ref="K82:K92" si="4">+J82*$C$39</f>
        <v>257.07825000000003</v>
      </c>
    </row>
    <row r="83" spans="1:13" x14ac:dyDescent="0.25">
      <c r="A83" s="85" t="s">
        <v>136</v>
      </c>
      <c r="B83" s="1" t="s">
        <v>143</v>
      </c>
      <c r="C83" s="56"/>
      <c r="D83" s="83" t="s">
        <v>78</v>
      </c>
      <c r="E83" s="17">
        <v>1000</v>
      </c>
      <c r="F83" s="17" t="s">
        <v>79</v>
      </c>
      <c r="G83" s="58">
        <f>52.2*1.7</f>
        <v>88.740000000000009</v>
      </c>
      <c r="H83" s="59">
        <v>0.1</v>
      </c>
      <c r="I83" s="26">
        <v>1</v>
      </c>
      <c r="J83" s="60">
        <f t="shared" si="3"/>
        <v>9.761400000000002E-2</v>
      </c>
      <c r="K83" s="46">
        <f t="shared" si="4"/>
        <v>178.92646200000004</v>
      </c>
    </row>
    <row r="84" spans="1:13" x14ac:dyDescent="0.25">
      <c r="A84" s="61" t="s">
        <v>137</v>
      </c>
      <c r="B84" s="1"/>
      <c r="C84" s="56"/>
      <c r="D84" s="83" t="s">
        <v>78</v>
      </c>
      <c r="E84" s="17">
        <v>1000</v>
      </c>
      <c r="F84" s="17" t="s">
        <v>79</v>
      </c>
      <c r="G84" s="58">
        <f>26.9*1.7</f>
        <v>45.73</v>
      </c>
      <c r="H84" s="59">
        <v>0.1</v>
      </c>
      <c r="I84" s="26">
        <v>1</v>
      </c>
      <c r="J84" s="60">
        <f t="shared" si="3"/>
        <v>5.0303E-2</v>
      </c>
      <c r="K84" s="46">
        <f t="shared" si="4"/>
        <v>92.205399</v>
      </c>
    </row>
    <row r="85" spans="1:13" x14ac:dyDescent="0.25">
      <c r="A85" s="95" t="s">
        <v>154</v>
      </c>
      <c r="B85" s="96"/>
      <c r="C85" s="97"/>
      <c r="D85" s="98" t="s">
        <v>78</v>
      </c>
      <c r="E85" s="98">
        <v>1000</v>
      </c>
      <c r="F85" s="98" t="s">
        <v>79</v>
      </c>
      <c r="G85" s="99">
        <v>170</v>
      </c>
      <c r="H85" s="100">
        <v>0.1</v>
      </c>
      <c r="I85" s="101">
        <v>18</v>
      </c>
      <c r="J85" s="102">
        <f>((+I85/E85)*G85)*H85+((+I85/E85)*G85)</f>
        <v>3.3659999999999997</v>
      </c>
      <c r="K85" s="103">
        <f>+J85*$C$39</f>
        <v>6169.8779999999997</v>
      </c>
      <c r="M85" s="4">
        <f>+J85/I85</f>
        <v>0.18699999999999997</v>
      </c>
    </row>
    <row r="86" spans="1:13" x14ac:dyDescent="0.25">
      <c r="A86" s="61" t="s">
        <v>138</v>
      </c>
      <c r="B86" s="1"/>
      <c r="C86" s="56"/>
      <c r="D86" s="83" t="s">
        <v>139</v>
      </c>
      <c r="E86" s="17">
        <v>0.91</v>
      </c>
      <c r="F86" s="83" t="s">
        <v>76</v>
      </c>
      <c r="G86" s="58">
        <f>0.22*1.7</f>
        <v>0.374</v>
      </c>
      <c r="H86" s="59">
        <v>0.1</v>
      </c>
      <c r="I86" s="26">
        <v>0.9</v>
      </c>
      <c r="J86" s="60">
        <f t="shared" si="3"/>
        <v>0.40687912087912087</v>
      </c>
      <c r="K86" s="46">
        <f t="shared" si="4"/>
        <v>745.80942857142861</v>
      </c>
    </row>
    <row r="87" spans="1:13" x14ac:dyDescent="0.25">
      <c r="A87" s="56" t="s">
        <v>80</v>
      </c>
      <c r="B87" s="57"/>
      <c r="C87" s="56"/>
      <c r="D87" s="17" t="s">
        <v>78</v>
      </c>
      <c r="E87" s="17">
        <v>1000</v>
      </c>
      <c r="F87" s="17" t="s">
        <v>79</v>
      </c>
      <c r="G87" s="58">
        <v>26</v>
      </c>
      <c r="H87" s="59">
        <v>0.1</v>
      </c>
      <c r="I87" s="26">
        <v>1</v>
      </c>
      <c r="J87" s="60">
        <f t="shared" si="3"/>
        <v>2.8600000000000004E-2</v>
      </c>
      <c r="K87" s="46">
        <f t="shared" si="4"/>
        <v>52.423800000000007</v>
      </c>
    </row>
    <row r="88" spans="1:13" x14ac:dyDescent="0.25">
      <c r="A88" s="61" t="s">
        <v>135</v>
      </c>
      <c r="B88" s="1" t="s">
        <v>141</v>
      </c>
      <c r="C88" s="56"/>
      <c r="D88" s="62" t="s">
        <v>78</v>
      </c>
      <c r="E88" s="17">
        <v>1000</v>
      </c>
      <c r="F88" s="17" t="s">
        <v>79</v>
      </c>
      <c r="G88" s="81">
        <f>420*1.7</f>
        <v>714</v>
      </c>
      <c r="H88" s="59">
        <v>0.1</v>
      </c>
      <c r="I88" s="26">
        <v>1</v>
      </c>
      <c r="J88" s="60">
        <f t="shared" si="3"/>
        <v>0.78539999999999999</v>
      </c>
      <c r="K88" s="46">
        <f t="shared" si="4"/>
        <v>1439.6381999999999</v>
      </c>
    </row>
    <row r="89" spans="1:13" x14ac:dyDescent="0.25">
      <c r="A89" s="56" t="s">
        <v>81</v>
      </c>
      <c r="B89" s="63"/>
      <c r="C89" s="56"/>
      <c r="D89" s="17" t="s">
        <v>78</v>
      </c>
      <c r="E89" s="17">
        <v>1000</v>
      </c>
      <c r="F89" s="17" t="s">
        <v>79</v>
      </c>
      <c r="G89" s="58">
        <v>11</v>
      </c>
      <c r="H89" s="59">
        <v>0.1</v>
      </c>
      <c r="I89" s="64">
        <f>1/F11</f>
        <v>2.0833333333333332E-2</v>
      </c>
      <c r="J89" s="60">
        <f t="shared" si="3"/>
        <v>2.5208333333333333E-4</v>
      </c>
      <c r="K89" s="46">
        <f t="shared" si="4"/>
        <v>0.46206874999999997</v>
      </c>
    </row>
    <row r="90" spans="1:13" x14ac:dyDescent="0.25">
      <c r="A90" s="56" t="s">
        <v>82</v>
      </c>
      <c r="B90" s="57"/>
      <c r="C90" s="56"/>
      <c r="D90" s="17" t="s">
        <v>79</v>
      </c>
      <c r="E90" s="17">
        <v>1</v>
      </c>
      <c r="F90" s="17" t="s">
        <v>79</v>
      </c>
      <c r="G90" s="58">
        <v>2.7</v>
      </c>
      <c r="H90" s="59">
        <v>0.1</v>
      </c>
      <c r="I90" s="64">
        <f>1/F11</f>
        <v>2.0833333333333332E-2</v>
      </c>
      <c r="J90" s="60">
        <f t="shared" si="3"/>
        <v>6.1874999999999999E-2</v>
      </c>
      <c r="K90" s="46">
        <f t="shared" si="4"/>
        <v>113.416875</v>
      </c>
    </row>
    <row r="91" spans="1:13" x14ac:dyDescent="0.25">
      <c r="A91" s="56" t="s">
        <v>83</v>
      </c>
      <c r="B91" s="57"/>
      <c r="C91" s="56"/>
      <c r="D91" s="17" t="s">
        <v>78</v>
      </c>
      <c r="E91" s="17">
        <v>1000</v>
      </c>
      <c r="F91" s="17" t="s">
        <v>79</v>
      </c>
      <c r="G91" s="58">
        <f>+(12.69+11.41)*1.5</f>
        <v>36.150000000000006</v>
      </c>
      <c r="H91" s="59">
        <v>0.1</v>
      </c>
      <c r="I91" s="26">
        <f>1/F11</f>
        <v>2.0833333333333332E-2</v>
      </c>
      <c r="J91" s="60">
        <f t="shared" si="3"/>
        <v>8.2843750000000018E-4</v>
      </c>
      <c r="K91" s="46">
        <f t="shared" si="4"/>
        <v>1.5185259375000004</v>
      </c>
    </row>
    <row r="92" spans="1:13" x14ac:dyDescent="0.25">
      <c r="A92" s="56" t="s">
        <v>84</v>
      </c>
      <c r="B92" s="57"/>
      <c r="C92" s="56"/>
      <c r="D92" s="17" t="s">
        <v>85</v>
      </c>
      <c r="E92" s="17">
        <v>100</v>
      </c>
      <c r="F92" s="17" t="s">
        <v>76</v>
      </c>
      <c r="G92" s="58">
        <v>1</v>
      </c>
      <c r="H92" s="59">
        <v>0.1</v>
      </c>
      <c r="I92" s="26">
        <f>5/F8</f>
        <v>4.1666666666666664E-2</v>
      </c>
      <c r="J92" s="60">
        <f t="shared" si="3"/>
        <v>4.5833333333333332E-4</v>
      </c>
      <c r="K92" s="46">
        <f t="shared" si="4"/>
        <v>0.84012500000000001</v>
      </c>
    </row>
    <row r="93" spans="1:13" x14ac:dyDescent="0.25">
      <c r="A93" s="4" t="s">
        <v>86</v>
      </c>
      <c r="B93" s="38"/>
      <c r="C93" s="38"/>
      <c r="D93" s="38"/>
      <c r="E93" s="65"/>
      <c r="F93" s="66"/>
      <c r="J93" s="67">
        <f>SUM(J81:J92)</f>
        <v>5.0160518385628476</v>
      </c>
      <c r="K93" s="46">
        <f>SUM(K81:K92)</f>
        <v>9194.4230200857</v>
      </c>
    </row>
    <row r="94" spans="1:13" x14ac:dyDescent="0.25">
      <c r="B94" s="38"/>
      <c r="C94" s="38"/>
      <c r="D94" s="38"/>
      <c r="E94" s="65"/>
      <c r="F94" s="66"/>
      <c r="H94" s="68"/>
    </row>
    <row r="95" spans="1:13" x14ac:dyDescent="0.25">
      <c r="A95" s="31" t="s">
        <v>87</v>
      </c>
      <c r="B95" s="31" t="s">
        <v>67</v>
      </c>
      <c r="C95" s="31" t="s">
        <v>68</v>
      </c>
      <c r="D95" s="31" t="s">
        <v>69</v>
      </c>
      <c r="E95" s="31" t="s">
        <v>47</v>
      </c>
      <c r="F95" s="31" t="s">
        <v>70</v>
      </c>
      <c r="G95" s="31" t="s">
        <v>71</v>
      </c>
      <c r="H95" s="31" t="s">
        <v>72</v>
      </c>
      <c r="I95" s="31" t="s">
        <v>73</v>
      </c>
    </row>
    <row r="96" spans="1:13" x14ac:dyDescent="0.25">
      <c r="A96" s="4" t="s">
        <v>88</v>
      </c>
      <c r="B96" s="38"/>
      <c r="C96" s="4">
        <v>1</v>
      </c>
      <c r="E96" s="26"/>
      <c r="F96" s="17"/>
      <c r="G96" s="4">
        <v>2</v>
      </c>
      <c r="H96" s="68">
        <f>((+G96/C96)*E96)*F96+((+G96/C96)*E96)</f>
        <v>0</v>
      </c>
      <c r="I96" s="46">
        <f>+H96*$C$39</f>
        <v>0</v>
      </c>
    </row>
    <row r="97" spans="1:11" x14ac:dyDescent="0.25">
      <c r="A97" s="4" t="s">
        <v>89</v>
      </c>
      <c r="B97" s="38"/>
      <c r="C97" s="4">
        <v>1</v>
      </c>
      <c r="E97" s="26"/>
      <c r="F97" s="17"/>
      <c r="G97" s="4">
        <v>1</v>
      </c>
      <c r="H97" s="68">
        <f>((+G97/C97)*E97)*F97+((+G97/C97)*E97)</f>
        <v>0</v>
      </c>
      <c r="I97" s="46">
        <f>+H97*$C$39</f>
        <v>0</v>
      </c>
    </row>
    <row r="98" spans="1:11" x14ac:dyDescent="0.25">
      <c r="A98" s="4" t="s">
        <v>90</v>
      </c>
      <c r="H98" s="69">
        <f>SUM(H96:H97)</f>
        <v>0</v>
      </c>
      <c r="I98" s="46">
        <f>SUM(I96:I97)</f>
        <v>0</v>
      </c>
    </row>
    <row r="100" spans="1:11" x14ac:dyDescent="0.25">
      <c r="A100" s="30" t="s">
        <v>91</v>
      </c>
      <c r="B100" s="31" t="s">
        <v>67</v>
      </c>
      <c r="C100" s="31" t="s">
        <v>68</v>
      </c>
      <c r="D100" s="31" t="s">
        <v>69</v>
      </c>
      <c r="E100" s="31" t="s">
        <v>47</v>
      </c>
      <c r="F100" s="31" t="s">
        <v>70</v>
      </c>
      <c r="G100" s="31" t="s">
        <v>71</v>
      </c>
      <c r="H100" s="31" t="s">
        <v>72</v>
      </c>
      <c r="I100" s="31" t="s">
        <v>73</v>
      </c>
    </row>
    <row r="101" spans="1:11" x14ac:dyDescent="0.25">
      <c r="A101" s="4" t="s">
        <v>92</v>
      </c>
      <c r="B101" s="38" t="s">
        <v>93</v>
      </c>
      <c r="C101" s="4">
        <v>1</v>
      </c>
      <c r="D101" s="38" t="s">
        <v>94</v>
      </c>
      <c r="E101" s="45">
        <f>4.33*0.08</f>
        <v>0.34639999999999999</v>
      </c>
      <c r="F101" s="59">
        <v>0</v>
      </c>
      <c r="G101" s="4">
        <v>1</v>
      </c>
      <c r="H101" s="68">
        <f>((+G101/C101)*E101)*F101+((+G101/C101)*E101)</f>
        <v>0.34639999999999999</v>
      </c>
      <c r="I101" s="46">
        <f t="shared" ref="I101:I110" si="5">+H101*$C$39</f>
        <v>634.95119999999997</v>
      </c>
    </row>
    <row r="102" spans="1:11" x14ac:dyDescent="0.25">
      <c r="A102" s="4" t="s">
        <v>95</v>
      </c>
      <c r="B102" s="38" t="s">
        <v>96</v>
      </c>
      <c r="C102" s="4">
        <v>1</v>
      </c>
      <c r="D102" s="38" t="s">
        <v>96</v>
      </c>
      <c r="E102" s="4">
        <v>7.0000000000000007E-2</v>
      </c>
      <c r="F102" s="59">
        <v>0.1</v>
      </c>
      <c r="G102" s="45">
        <v>21.78</v>
      </c>
      <c r="H102" s="68">
        <f t="shared" ref="H102:H110" si="6">((+G102/C102)*E102)*F102+((+G102/C102)*E102)</f>
        <v>1.6770600000000002</v>
      </c>
      <c r="I102" s="46">
        <f t="shared" si="5"/>
        <v>3074.0509800000004</v>
      </c>
    </row>
    <row r="103" spans="1:11" x14ac:dyDescent="0.25">
      <c r="A103" s="4" t="s">
        <v>97</v>
      </c>
      <c r="B103" s="38" t="s">
        <v>93</v>
      </c>
      <c r="C103" s="4">
        <v>1</v>
      </c>
      <c r="D103" s="38" t="s">
        <v>94</v>
      </c>
      <c r="E103" s="45">
        <f>2*0.08</f>
        <v>0.16</v>
      </c>
      <c r="F103" s="59">
        <v>0</v>
      </c>
      <c r="G103" s="4">
        <v>1</v>
      </c>
      <c r="H103" s="68">
        <f t="shared" si="6"/>
        <v>0.16</v>
      </c>
      <c r="I103" s="46">
        <f t="shared" si="5"/>
        <v>293.28000000000003</v>
      </c>
    </row>
    <row r="104" spans="1:11" x14ac:dyDescent="0.25">
      <c r="A104" s="56" t="s">
        <v>98</v>
      </c>
      <c r="B104" s="38" t="s">
        <v>99</v>
      </c>
      <c r="C104" s="4">
        <v>1</v>
      </c>
      <c r="D104" s="38" t="s">
        <v>99</v>
      </c>
      <c r="E104" s="45"/>
      <c r="F104" s="59">
        <v>0</v>
      </c>
      <c r="G104" s="4">
        <f>+C44/1000</f>
        <v>0.16434000000000001</v>
      </c>
      <c r="H104" s="68">
        <f t="shared" si="6"/>
        <v>0</v>
      </c>
      <c r="I104" s="46">
        <f t="shared" si="5"/>
        <v>0</v>
      </c>
    </row>
    <row r="105" spans="1:11" x14ac:dyDescent="0.25">
      <c r="A105" s="56" t="s">
        <v>100</v>
      </c>
      <c r="B105" s="38" t="s">
        <v>99</v>
      </c>
      <c r="C105" s="4">
        <v>1</v>
      </c>
      <c r="D105" s="38" t="s">
        <v>99</v>
      </c>
      <c r="E105" s="45"/>
      <c r="F105" s="59">
        <v>0</v>
      </c>
      <c r="G105" s="4">
        <f>+C44/1000</f>
        <v>0.16434000000000001</v>
      </c>
      <c r="H105" s="68">
        <f t="shared" si="6"/>
        <v>0</v>
      </c>
      <c r="I105" s="46">
        <f t="shared" si="5"/>
        <v>0</v>
      </c>
      <c r="K105"/>
    </row>
    <row r="106" spans="1:11" x14ac:dyDescent="0.25">
      <c r="A106" s="82" t="s">
        <v>140</v>
      </c>
      <c r="B106" s="38" t="s">
        <v>93</v>
      </c>
      <c r="C106" s="4">
        <v>1</v>
      </c>
      <c r="D106" s="38" t="s">
        <v>94</v>
      </c>
      <c r="E106" s="70"/>
      <c r="F106" s="59">
        <v>0</v>
      </c>
      <c r="G106" s="4">
        <v>1</v>
      </c>
      <c r="H106" s="68">
        <f t="shared" si="6"/>
        <v>0</v>
      </c>
      <c r="I106" s="46">
        <f t="shared" si="5"/>
        <v>0</v>
      </c>
      <c r="K106"/>
    </row>
    <row r="107" spans="1:11" x14ac:dyDescent="0.25">
      <c r="A107" s="56" t="s">
        <v>101</v>
      </c>
      <c r="B107" s="38" t="s">
        <v>93</v>
      </c>
      <c r="C107" s="4">
        <v>1</v>
      </c>
      <c r="D107" s="38" t="s">
        <v>94</v>
      </c>
      <c r="E107" s="45"/>
      <c r="F107" s="59"/>
      <c r="G107" s="4">
        <v>1</v>
      </c>
      <c r="H107" s="68">
        <f t="shared" si="6"/>
        <v>0</v>
      </c>
      <c r="I107" s="46">
        <f t="shared" si="5"/>
        <v>0</v>
      </c>
      <c r="K107"/>
    </row>
    <row r="108" spans="1:11" x14ac:dyDescent="0.25">
      <c r="A108" s="82" t="s">
        <v>153</v>
      </c>
      <c r="B108" s="38" t="s">
        <v>93</v>
      </c>
      <c r="C108" s="4">
        <v>1</v>
      </c>
      <c r="D108" s="38" t="s">
        <v>94</v>
      </c>
      <c r="E108" s="45">
        <f>0.08*10</f>
        <v>0.8</v>
      </c>
      <c r="F108" s="59">
        <v>0.1</v>
      </c>
      <c r="G108" s="4">
        <v>1</v>
      </c>
      <c r="H108" s="68">
        <f>((+G108/C108)*E108)*F108+((+G108/C108)*E108)</f>
        <v>0.88000000000000012</v>
      </c>
      <c r="I108" s="46">
        <f t="shared" si="5"/>
        <v>1613.0400000000002</v>
      </c>
      <c r="K108"/>
    </row>
    <row r="109" spans="1:11" x14ac:dyDescent="0.25">
      <c r="A109" s="56" t="s">
        <v>102</v>
      </c>
      <c r="B109" s="38" t="s">
        <v>93</v>
      </c>
      <c r="C109" s="4">
        <v>1</v>
      </c>
      <c r="D109" s="38" t="s">
        <v>94</v>
      </c>
      <c r="E109" s="45"/>
      <c r="F109" s="59"/>
      <c r="G109" s="4">
        <v>1</v>
      </c>
      <c r="H109" s="68">
        <f t="shared" si="6"/>
        <v>0</v>
      </c>
      <c r="I109" s="46">
        <f t="shared" si="5"/>
        <v>0</v>
      </c>
    </row>
    <row r="110" spans="1:11" x14ac:dyDescent="0.25">
      <c r="A110" s="56" t="s">
        <v>103</v>
      </c>
      <c r="B110" s="38" t="s">
        <v>93</v>
      </c>
      <c r="C110" s="4">
        <v>1</v>
      </c>
      <c r="D110" s="38" t="s">
        <v>94</v>
      </c>
      <c r="E110" s="45"/>
      <c r="F110" s="59">
        <v>0</v>
      </c>
      <c r="G110" s="4">
        <v>1</v>
      </c>
      <c r="H110" s="68">
        <f t="shared" si="6"/>
        <v>0</v>
      </c>
      <c r="I110" s="46">
        <f t="shared" si="5"/>
        <v>0</v>
      </c>
    </row>
    <row r="111" spans="1:11" x14ac:dyDescent="0.25">
      <c r="A111" s="9" t="s">
        <v>104</v>
      </c>
      <c r="F111" s="54"/>
      <c r="H111" s="69">
        <f>SUM(H101:H110)</f>
        <v>3.0634600000000001</v>
      </c>
      <c r="I111" s="46">
        <f>SUM(I101:I110)</f>
        <v>5615.322180000001</v>
      </c>
    </row>
    <row r="112" spans="1:11" x14ac:dyDescent="0.25">
      <c r="F112" s="54"/>
      <c r="H112" s="68"/>
    </row>
    <row r="113" spans="1:11" x14ac:dyDescent="0.25">
      <c r="A113" s="5" t="s">
        <v>105</v>
      </c>
      <c r="C113" s="71">
        <f>+F124</f>
        <v>14.9</v>
      </c>
      <c r="D113" s="71"/>
    </row>
    <row r="114" spans="1:11" x14ac:dyDescent="0.25">
      <c r="A114" s="5" t="s">
        <v>106</v>
      </c>
      <c r="C114" s="71">
        <f>+B78+J93+H98+H111</f>
        <v>10.392707041187965</v>
      </c>
    </row>
    <row r="115" spans="1:11" x14ac:dyDescent="0.25">
      <c r="A115" s="5" t="s">
        <v>107</v>
      </c>
      <c r="C115" s="71">
        <f>+C113-C114</f>
        <v>4.5072929588120356</v>
      </c>
    </row>
    <row r="116" spans="1:11" x14ac:dyDescent="0.25">
      <c r="A116" s="5"/>
      <c r="C116" s="72">
        <f>+C115/C114</f>
        <v>0.43369768251418139</v>
      </c>
    </row>
    <row r="117" spans="1:11" x14ac:dyDescent="0.25">
      <c r="A117" s="5"/>
      <c r="C117" s="25"/>
    </row>
    <row r="118" spans="1:11" x14ac:dyDescent="0.25">
      <c r="A118" s="5"/>
      <c r="C118" s="25"/>
    </row>
    <row r="119" spans="1:11" ht="15.75" x14ac:dyDescent="0.25">
      <c r="A119" s="3" t="s">
        <v>108</v>
      </c>
      <c r="B119" s="17"/>
    </row>
    <row r="120" spans="1:11" x14ac:dyDescent="0.25">
      <c r="A120" s="4" t="s">
        <v>109</v>
      </c>
      <c r="B120" s="17"/>
      <c r="C120" s="46">
        <f>((H12+F124)*C26)*F126</f>
        <v>0</v>
      </c>
    </row>
    <row r="121" spans="1:11" x14ac:dyDescent="0.25">
      <c r="A121" s="4" t="s">
        <v>110</v>
      </c>
      <c r="B121" s="12" t="s">
        <v>111</v>
      </c>
      <c r="C121" s="46">
        <v>500</v>
      </c>
    </row>
    <row r="122" spans="1:11" x14ac:dyDescent="0.25">
      <c r="A122" s="4" t="s">
        <v>112</v>
      </c>
      <c r="B122" s="17"/>
      <c r="C122" s="46">
        <f>((+F124*C26)*0.8)*0.12/4</f>
        <v>580.02719999999999</v>
      </c>
    </row>
    <row r="123" spans="1:11" x14ac:dyDescent="0.25">
      <c r="A123" s="4" t="s">
        <v>113</v>
      </c>
      <c r="B123" s="12"/>
      <c r="C123" s="73">
        <f>+B123*100</f>
        <v>0</v>
      </c>
    </row>
    <row r="124" spans="1:11" x14ac:dyDescent="0.25">
      <c r="A124" s="4" t="s">
        <v>114</v>
      </c>
      <c r="C124" s="73">
        <f>+B123*3*C76</f>
        <v>0</v>
      </c>
      <c r="E124" s="17" t="s">
        <v>115</v>
      </c>
      <c r="F124" s="74">
        <v>14.9</v>
      </c>
      <c r="I124" s="75">
        <f>+F124</f>
        <v>14.9</v>
      </c>
      <c r="J124" t="s">
        <v>115</v>
      </c>
    </row>
    <row r="125" spans="1:11" ht="15" customHeight="1" x14ac:dyDescent="0.25">
      <c r="A125" s="4" t="s">
        <v>116</v>
      </c>
      <c r="C125" s="4">
        <f>+B123*4*4*(F124+H12)</f>
        <v>0</v>
      </c>
      <c r="E125" s="17" t="s">
        <v>117</v>
      </c>
      <c r="F125" s="74"/>
      <c r="I125" s="201" t="s">
        <v>156</v>
      </c>
      <c r="J125" s="201"/>
      <c r="K125" s="201"/>
    </row>
    <row r="126" spans="1:11" x14ac:dyDescent="0.25">
      <c r="A126" s="4" t="s">
        <v>118</v>
      </c>
      <c r="C126" s="46">
        <v>500</v>
      </c>
      <c r="E126" s="17" t="s">
        <v>119</v>
      </c>
      <c r="F126" s="76"/>
      <c r="I126" s="201"/>
      <c r="J126" s="201"/>
      <c r="K126" s="201"/>
    </row>
    <row r="127" spans="1:11" ht="15" customHeight="1" x14ac:dyDescent="0.25">
      <c r="A127" s="4" t="s">
        <v>120</v>
      </c>
      <c r="C127" s="46">
        <f>SUM(C120:C126)</f>
        <v>1580.0272</v>
      </c>
      <c r="E127" s="16" t="s">
        <v>121</v>
      </c>
      <c r="F127" s="76">
        <v>0.05</v>
      </c>
    </row>
    <row r="128" spans="1:11" x14ac:dyDescent="0.25">
      <c r="C128" s="46"/>
    </row>
    <row r="129" spans="1:7" ht="15.75" x14ac:dyDescent="0.25">
      <c r="A129" s="3" t="s">
        <v>122</v>
      </c>
      <c r="C129" s="46"/>
      <c r="E129" s="3" t="s">
        <v>123</v>
      </c>
    </row>
    <row r="130" spans="1:7" x14ac:dyDescent="0.25">
      <c r="A130" s="4" t="s">
        <v>124</v>
      </c>
      <c r="C130" s="46">
        <f>+F124*C26</f>
        <v>24167.8</v>
      </c>
      <c r="E130" s="4" t="s">
        <v>125</v>
      </c>
      <c r="G130" s="46">
        <f>+B76</f>
        <v>3752.0026186579375</v>
      </c>
    </row>
    <row r="131" spans="1:7" x14ac:dyDescent="0.25">
      <c r="A131" s="4" t="s">
        <v>126</v>
      </c>
      <c r="C131" s="46">
        <f>+C130*F127</f>
        <v>1208.3900000000001</v>
      </c>
      <c r="E131" s="4" t="s">
        <v>127</v>
      </c>
      <c r="G131" s="46">
        <f>+K93+I98</f>
        <v>9194.4230200857</v>
      </c>
    </row>
    <row r="132" spans="1:7" x14ac:dyDescent="0.25">
      <c r="A132" s="4" t="s">
        <v>128</v>
      </c>
      <c r="C132" s="46">
        <f>SUM(C130:C131)</f>
        <v>25376.19</v>
      </c>
      <c r="E132" s="4" t="s">
        <v>91</v>
      </c>
      <c r="G132" s="46">
        <f>+I111</f>
        <v>5615.322180000001</v>
      </c>
    </row>
    <row r="133" spans="1:7" x14ac:dyDescent="0.25">
      <c r="E133" s="4" t="s">
        <v>108</v>
      </c>
      <c r="G133" s="46">
        <f>+C127</f>
        <v>1580.0272</v>
      </c>
    </row>
    <row r="134" spans="1:7" x14ac:dyDescent="0.25">
      <c r="E134" s="4" t="s">
        <v>129</v>
      </c>
      <c r="G134" s="46">
        <f>SUM(G130:G133)</f>
        <v>20141.77501874364</v>
      </c>
    </row>
    <row r="135" spans="1:7" x14ac:dyDescent="0.25">
      <c r="G135" s="46"/>
    </row>
    <row r="136" spans="1:7" x14ac:dyDescent="0.25">
      <c r="A136" s="4" t="s">
        <v>107</v>
      </c>
      <c r="B136" s="46">
        <f>+C132-G134</f>
        <v>5234.4149812563592</v>
      </c>
      <c r="G136" s="46"/>
    </row>
    <row r="137" spans="1:7" x14ac:dyDescent="0.25">
      <c r="A137" s="4" t="s">
        <v>130</v>
      </c>
      <c r="B137" s="46">
        <f>+C130*0.02</f>
        <v>483.35599999999999</v>
      </c>
      <c r="G137" s="46"/>
    </row>
    <row r="138" spans="1:7" x14ac:dyDescent="0.25">
      <c r="A138" s="4" t="s">
        <v>131</v>
      </c>
      <c r="B138" s="46">
        <f>+B136-B137</f>
        <v>4751.0589812563594</v>
      </c>
      <c r="C138" s="77">
        <f>+B138/G134</f>
        <v>0.23588084847711255</v>
      </c>
      <c r="G138" s="46"/>
    </row>
    <row r="139" spans="1:7" x14ac:dyDescent="0.25">
      <c r="G139" s="46"/>
    </row>
  </sheetData>
  <mergeCells count="4">
    <mergeCell ref="B6:C6"/>
    <mergeCell ref="B7:C7"/>
    <mergeCell ref="A44:B44"/>
    <mergeCell ref="I125:K12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139"/>
  <sheetViews>
    <sheetView topLeftCell="A67" zoomScale="90" zoomScaleNormal="90" workbookViewId="0">
      <selection activeCell="C44" sqref="C44"/>
    </sheetView>
  </sheetViews>
  <sheetFormatPr defaultColWidth="11.42578125" defaultRowHeight="15" x14ac:dyDescent="0.25"/>
  <cols>
    <col min="1" max="1" width="25.5703125" style="4" customWidth="1"/>
    <col min="2" max="2" width="20.42578125" style="4" customWidth="1"/>
    <col min="3" max="4" width="13.140625" style="4" customWidth="1"/>
    <col min="5" max="5" width="14.5703125" style="4" bestFit="1" customWidth="1"/>
    <col min="6" max="6" width="11.42578125" style="4"/>
    <col min="7" max="7" width="14.42578125" style="4" bestFit="1" customWidth="1"/>
    <col min="8" max="8" width="13.140625" style="4" bestFit="1" customWidth="1"/>
    <col min="9" max="9" width="14" style="4" customWidth="1"/>
    <col min="10" max="10" width="13.140625" style="4" bestFit="1" customWidth="1"/>
    <col min="11" max="11" width="11.85546875" style="4" bestFit="1" customWidth="1"/>
    <col min="12" max="16384" width="11.42578125" style="4"/>
  </cols>
  <sheetData>
    <row r="2" spans="1:13" ht="15.6" x14ac:dyDescent="0.3">
      <c r="A2" s="3" t="s">
        <v>0</v>
      </c>
      <c r="G2" s="5"/>
      <c r="H2" s="6"/>
      <c r="I2" s="80"/>
      <c r="J2" s="88"/>
      <c r="K2" s="88"/>
      <c r="L2" s="88"/>
      <c r="M2" s="88"/>
    </row>
    <row r="3" spans="1:13" ht="14.45" x14ac:dyDescent="0.3">
      <c r="I3"/>
      <c r="J3" s="88"/>
      <c r="K3" s="88"/>
      <c r="L3" s="88"/>
      <c r="M3" s="88"/>
    </row>
    <row r="4" spans="1:13" ht="14.45" x14ac:dyDescent="0.3">
      <c r="A4" s="7" t="s">
        <v>1</v>
      </c>
      <c r="B4" s="8" t="s">
        <v>2</v>
      </c>
      <c r="C4" s="9"/>
      <c r="E4" s="4" t="s">
        <v>3</v>
      </c>
      <c r="F4" s="10">
        <v>41194</v>
      </c>
      <c r="G4" s="89"/>
      <c r="I4"/>
      <c r="J4" s="88"/>
      <c r="K4" s="88"/>
      <c r="L4" s="88"/>
      <c r="M4" s="88"/>
    </row>
    <row r="5" spans="1:13" ht="14.45" x14ac:dyDescent="0.3">
      <c r="A5" s="7" t="s">
        <v>4</v>
      </c>
      <c r="B5" s="11"/>
      <c r="C5" s="9"/>
      <c r="E5" s="4" t="s">
        <v>5</v>
      </c>
      <c r="F5" s="10"/>
      <c r="I5"/>
      <c r="J5" s="93" t="s">
        <v>146</v>
      </c>
      <c r="K5" s="88"/>
      <c r="L5" s="88"/>
      <c r="M5" s="88"/>
    </row>
    <row r="6" spans="1:13" ht="14.45" x14ac:dyDescent="0.3">
      <c r="A6" s="7" t="s">
        <v>6</v>
      </c>
      <c r="B6" s="195" t="s">
        <v>144</v>
      </c>
      <c r="C6" s="196"/>
      <c r="I6"/>
      <c r="J6" s="93" t="s">
        <v>147</v>
      </c>
      <c r="K6" s="88"/>
      <c r="L6" s="88"/>
      <c r="M6" s="88"/>
    </row>
    <row r="7" spans="1:13" ht="14.45" x14ac:dyDescent="0.3">
      <c r="A7" s="4" t="s">
        <v>7</v>
      </c>
      <c r="B7" s="197" t="s">
        <v>145</v>
      </c>
      <c r="C7" s="198"/>
      <c r="I7"/>
      <c r="J7" s="87"/>
      <c r="K7"/>
      <c r="L7"/>
      <c r="M7"/>
    </row>
    <row r="8" spans="1:13" ht="14.45" x14ac:dyDescent="0.3">
      <c r="A8" s="4" t="s">
        <v>8</v>
      </c>
      <c r="B8" s="12" t="s">
        <v>9</v>
      </c>
      <c r="C8" s="13" t="s">
        <v>10</v>
      </c>
      <c r="E8" s="104" t="s">
        <v>11</v>
      </c>
      <c r="F8" s="12">
        <v>120</v>
      </c>
      <c r="G8" s="4" t="s">
        <v>12</v>
      </c>
      <c r="I8"/>
    </row>
    <row r="9" spans="1:13" x14ac:dyDescent="0.25">
      <c r="A9" s="4" t="s">
        <v>13</v>
      </c>
      <c r="B9" s="14" t="s">
        <v>150</v>
      </c>
      <c r="C9" s="15">
        <v>1</v>
      </c>
      <c r="D9" s="94">
        <v>100023</v>
      </c>
      <c r="E9" s="104" t="s">
        <v>14</v>
      </c>
      <c r="F9" s="12">
        <v>1</v>
      </c>
      <c r="G9" s="4" t="s">
        <v>15</v>
      </c>
      <c r="I9"/>
    </row>
    <row r="10" spans="1:13" ht="14.45" x14ac:dyDescent="0.3">
      <c r="B10" s="12"/>
      <c r="C10" s="15"/>
      <c r="E10" s="104" t="s">
        <v>16</v>
      </c>
      <c r="F10" s="12">
        <v>48</v>
      </c>
      <c r="G10" s="4" t="s">
        <v>15</v>
      </c>
      <c r="I10"/>
    </row>
    <row r="11" spans="1:13" ht="14.45" x14ac:dyDescent="0.3">
      <c r="B11" s="12"/>
      <c r="C11" s="15"/>
      <c r="E11" s="104" t="s">
        <v>17</v>
      </c>
      <c r="F11" s="16">
        <f>+F9*F10</f>
        <v>48</v>
      </c>
      <c r="G11" s="4" t="s">
        <v>15</v>
      </c>
      <c r="I11"/>
    </row>
    <row r="12" spans="1:13" ht="14.45" x14ac:dyDescent="0.3">
      <c r="D12" s="104"/>
      <c r="E12" s="16"/>
      <c r="G12" s="17"/>
      <c r="I12"/>
    </row>
    <row r="14" spans="1:13" ht="14.45" x14ac:dyDescent="0.3">
      <c r="A14" s="5" t="s">
        <v>18</v>
      </c>
      <c r="E14" s="18"/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  <c r="K14" s="18" t="s">
        <v>24</v>
      </c>
      <c r="L14" s="18" t="s">
        <v>25</v>
      </c>
    </row>
    <row r="15" spans="1:13" ht="14.45" x14ac:dyDescent="0.3">
      <c r="A15" s="19">
        <v>1.05</v>
      </c>
      <c r="C15" s="20"/>
      <c r="E15" s="21"/>
      <c r="F15" s="21"/>
      <c r="G15" s="21"/>
      <c r="H15" s="21"/>
    </row>
    <row r="16" spans="1:13" ht="14.45" x14ac:dyDescent="0.3">
      <c r="A16" s="22" t="s">
        <v>148</v>
      </c>
      <c r="B16" s="23">
        <f>+$A$15</f>
        <v>1.05</v>
      </c>
      <c r="C16" s="24">
        <f>SUM(E16:K16)</f>
        <v>794</v>
      </c>
      <c r="D16" s="25">
        <f>+C16/$C$26</f>
        <v>0.48951911220715166</v>
      </c>
      <c r="E16" s="12"/>
      <c r="F16" s="12"/>
      <c r="G16" s="12"/>
      <c r="H16" s="12">
        <f>492+253+49</f>
        <v>794</v>
      </c>
      <c r="I16" s="12"/>
      <c r="J16" s="12"/>
      <c r="K16" s="12"/>
      <c r="L16" s="12"/>
    </row>
    <row r="17" spans="1:12" ht="14.45" x14ac:dyDescent="0.3">
      <c r="A17" s="22" t="s">
        <v>149</v>
      </c>
      <c r="B17" s="23">
        <f t="shared" ref="B17:B25" si="0">+$A$15</f>
        <v>1.05</v>
      </c>
      <c r="C17" s="24">
        <f>SUM(E17:K17)</f>
        <v>828</v>
      </c>
      <c r="D17" s="25">
        <f>+C17/$C$26</f>
        <v>0.51048088779284828</v>
      </c>
      <c r="E17" s="12"/>
      <c r="F17" s="12"/>
      <c r="G17" s="12"/>
      <c r="H17" s="12">
        <f>+H16+34</f>
        <v>828</v>
      </c>
      <c r="I17" s="12"/>
      <c r="J17" s="12"/>
      <c r="K17" s="12"/>
      <c r="L17" s="12"/>
    </row>
    <row r="18" spans="1:12" ht="14.45" x14ac:dyDescent="0.3">
      <c r="A18" s="22"/>
      <c r="B18" s="23">
        <f t="shared" si="0"/>
        <v>1.05</v>
      </c>
      <c r="C18" s="24">
        <f>SUM(E18:K18)</f>
        <v>0</v>
      </c>
      <c r="D18" s="25">
        <f>+C18/$C$26</f>
        <v>0</v>
      </c>
      <c r="E18" s="12"/>
      <c r="F18" s="12"/>
      <c r="G18" s="12"/>
      <c r="H18" s="12"/>
      <c r="I18" s="12"/>
      <c r="J18" s="12"/>
      <c r="K18" s="12"/>
      <c r="L18" s="12"/>
    </row>
    <row r="19" spans="1:12" ht="14.45" x14ac:dyDescent="0.3">
      <c r="A19" s="22"/>
      <c r="B19" s="23">
        <f t="shared" si="0"/>
        <v>1.05</v>
      </c>
      <c r="C19" s="24">
        <f>SUM(E19:K19)</f>
        <v>0</v>
      </c>
      <c r="D19" s="25">
        <f>+C19/$C$26</f>
        <v>0</v>
      </c>
      <c r="E19" s="12"/>
      <c r="F19" s="12"/>
      <c r="G19" s="12"/>
      <c r="H19" s="90"/>
      <c r="I19" s="12"/>
      <c r="J19" s="12"/>
      <c r="K19" s="12"/>
      <c r="L19" s="12"/>
    </row>
    <row r="20" spans="1:12" ht="14.45" x14ac:dyDescent="0.3">
      <c r="A20" s="79"/>
      <c r="B20" s="23">
        <f t="shared" si="0"/>
        <v>1.05</v>
      </c>
      <c r="C20" s="24">
        <f>SUM(E20:K20)</f>
        <v>0</v>
      </c>
      <c r="D20" s="25">
        <f>+C20/$C$26</f>
        <v>0</v>
      </c>
      <c r="E20" s="12"/>
      <c r="F20" s="12"/>
      <c r="G20" s="12"/>
      <c r="H20" s="12"/>
      <c r="I20" s="12"/>
      <c r="J20" s="12"/>
      <c r="K20" s="12"/>
      <c r="L20" s="12"/>
    </row>
    <row r="21" spans="1:12" ht="14.45" x14ac:dyDescent="0.3">
      <c r="A21" s="26"/>
      <c r="B21" s="23">
        <f t="shared" si="0"/>
        <v>1.05</v>
      </c>
      <c r="C21" s="24"/>
      <c r="D21" s="25"/>
      <c r="E21" s="12"/>
      <c r="F21" s="12"/>
      <c r="G21" s="12"/>
      <c r="H21" s="12"/>
      <c r="I21" s="12"/>
      <c r="J21" s="12"/>
      <c r="K21" s="12"/>
      <c r="L21" s="12"/>
    </row>
    <row r="22" spans="1:12" ht="14.45" x14ac:dyDescent="0.3">
      <c r="A22" s="26"/>
      <c r="B22" s="23">
        <f t="shared" si="0"/>
        <v>1.05</v>
      </c>
      <c r="C22" s="24"/>
      <c r="D22" s="25"/>
      <c r="E22" s="12"/>
      <c r="F22" s="12"/>
      <c r="G22" s="12"/>
      <c r="H22" s="12"/>
      <c r="I22" s="12"/>
      <c r="J22" s="12"/>
      <c r="K22" s="12"/>
      <c r="L22" s="12"/>
    </row>
    <row r="23" spans="1:12" ht="14.45" x14ac:dyDescent="0.3">
      <c r="A23" s="26"/>
      <c r="B23" s="23">
        <f t="shared" si="0"/>
        <v>1.05</v>
      </c>
      <c r="C23" s="24"/>
      <c r="D23" s="25"/>
      <c r="E23" s="12"/>
      <c r="F23" s="12"/>
      <c r="G23" s="12"/>
      <c r="H23" s="12"/>
      <c r="I23" s="12"/>
      <c r="J23" s="12"/>
      <c r="K23" s="12"/>
      <c r="L23" s="12"/>
    </row>
    <row r="24" spans="1:12" ht="14.45" x14ac:dyDescent="0.3">
      <c r="A24" s="26"/>
      <c r="B24" s="23">
        <f t="shared" si="0"/>
        <v>1.05</v>
      </c>
      <c r="C24" s="24"/>
      <c r="D24" s="25"/>
      <c r="E24" s="12"/>
      <c r="F24" s="12"/>
      <c r="G24" s="12"/>
      <c r="H24" s="12"/>
      <c r="I24" s="12"/>
      <c r="J24" s="12"/>
      <c r="K24" s="12"/>
      <c r="L24" s="12"/>
    </row>
    <row r="25" spans="1:12" ht="14.45" x14ac:dyDescent="0.3">
      <c r="A25" s="26"/>
      <c r="B25" s="23">
        <f t="shared" si="0"/>
        <v>1.05</v>
      </c>
      <c r="C25" s="24"/>
      <c r="D25" s="25"/>
      <c r="E25" s="12"/>
      <c r="F25" s="12"/>
      <c r="G25" s="12"/>
      <c r="H25" s="12"/>
      <c r="I25" s="12"/>
      <c r="J25" s="12"/>
      <c r="K25" s="12"/>
      <c r="L25" s="12"/>
    </row>
    <row r="26" spans="1:12" ht="14.45" x14ac:dyDescent="0.3">
      <c r="A26" s="4" t="s">
        <v>26</v>
      </c>
      <c r="C26" s="27">
        <f>SUM(C16:C25)</f>
        <v>1622</v>
      </c>
      <c r="D26" s="28">
        <f>SUM(D16:D25)</f>
        <v>1</v>
      </c>
      <c r="E26" s="29"/>
      <c r="F26" s="29"/>
      <c r="G26" s="29"/>
      <c r="H26" s="29">
        <f>SUM(H16:H25)</f>
        <v>1622</v>
      </c>
      <c r="I26" s="29"/>
      <c r="J26" s="29"/>
      <c r="K26" s="29"/>
      <c r="L26" s="29"/>
    </row>
    <row r="27" spans="1:12" ht="14.45" x14ac:dyDescent="0.3">
      <c r="C27" s="27"/>
      <c r="E27" s="27"/>
      <c r="F27" s="27"/>
      <c r="G27" s="27"/>
      <c r="H27" s="27"/>
    </row>
    <row r="28" spans="1:12" ht="14.45" x14ac:dyDescent="0.3">
      <c r="A28" s="30" t="s">
        <v>27</v>
      </c>
      <c r="D28" s="13" t="s">
        <v>28</v>
      </c>
      <c r="E28" s="31">
        <f>E14</f>
        <v>0</v>
      </c>
      <c r="F28" s="31" t="str">
        <f t="shared" ref="F28:L28" si="1">F14</f>
        <v>XS</v>
      </c>
      <c r="G28" s="31" t="str">
        <f t="shared" si="1"/>
        <v>S</v>
      </c>
      <c r="H28" s="31" t="str">
        <f t="shared" si="1"/>
        <v>M</v>
      </c>
      <c r="I28" s="31" t="str">
        <f t="shared" si="1"/>
        <v>L</v>
      </c>
      <c r="J28" s="31" t="str">
        <f t="shared" si="1"/>
        <v>XL</v>
      </c>
      <c r="K28" s="31" t="str">
        <f t="shared" si="1"/>
        <v>XXL</v>
      </c>
      <c r="L28" s="31" t="str">
        <f t="shared" si="1"/>
        <v>XXXL</v>
      </c>
    </row>
    <row r="29" spans="1:12" ht="14.45" x14ac:dyDescent="0.3">
      <c r="A29" s="4" t="str">
        <f>+A16</f>
        <v>EVENING BLUE</v>
      </c>
      <c r="B29" s="32">
        <f>IF(A29="white",$A$15*1.1,$A$15*1.05)</f>
        <v>1.1025</v>
      </c>
      <c r="C29" s="24">
        <f>SUM(E29:K29)</f>
        <v>876</v>
      </c>
      <c r="D29" s="25">
        <f>+C29/$C$39</f>
        <v>0.47790507364975449</v>
      </c>
      <c r="E29" s="17"/>
      <c r="F29" s="17"/>
      <c r="G29" s="17"/>
      <c r="H29" s="17">
        <f>ROUNDUP(+H16*$B29,0)</f>
        <v>876</v>
      </c>
      <c r="I29" s="17"/>
      <c r="J29" s="17"/>
      <c r="K29" s="17"/>
      <c r="L29" s="17"/>
    </row>
    <row r="30" spans="1:12" ht="14.45" x14ac:dyDescent="0.3">
      <c r="A30" s="4" t="str">
        <f>+A17</f>
        <v>WHITE</v>
      </c>
      <c r="B30" s="32">
        <f t="shared" ref="B30:B38" si="2">IF(A30="white",$A$15*1.1,$A$15*1.05)</f>
        <v>1.1550000000000002</v>
      </c>
      <c r="C30" s="24">
        <f>SUM(E30:K30)</f>
        <v>957</v>
      </c>
      <c r="D30" s="25">
        <f>+C30/$C$39</f>
        <v>0.52209492635024546</v>
      </c>
      <c r="E30" s="17"/>
      <c r="F30" s="17"/>
      <c r="G30" s="17"/>
      <c r="H30" s="17">
        <f>ROUNDUP(+H17*$B30,0)</f>
        <v>957</v>
      </c>
      <c r="I30" s="17"/>
      <c r="J30" s="17"/>
      <c r="K30" s="17"/>
      <c r="L30" s="17"/>
    </row>
    <row r="31" spans="1:12" ht="14.45" x14ac:dyDescent="0.3">
      <c r="A31" s="4">
        <f>+A18</f>
        <v>0</v>
      </c>
      <c r="B31" s="32">
        <f t="shared" si="2"/>
        <v>1.1025</v>
      </c>
      <c r="C31" s="24">
        <f>SUM(E31:K31)</f>
        <v>0</v>
      </c>
      <c r="D31" s="25">
        <f>+C31/$C$39</f>
        <v>0</v>
      </c>
      <c r="E31" s="17"/>
      <c r="F31" s="17"/>
      <c r="G31" s="17"/>
      <c r="H31" s="17">
        <f>ROUNDUP(+H18*$B31,0)</f>
        <v>0</v>
      </c>
      <c r="I31" s="17"/>
      <c r="J31" s="17"/>
      <c r="K31" s="17"/>
      <c r="L31" s="17"/>
    </row>
    <row r="32" spans="1:12" ht="14.45" x14ac:dyDescent="0.3">
      <c r="A32"/>
      <c r="B32" s="32">
        <f t="shared" si="2"/>
        <v>1.1025</v>
      </c>
      <c r="C32" s="24">
        <f>SUM(E32:K32)</f>
        <v>0</v>
      </c>
      <c r="D32" s="25">
        <f>+C32/$C$39</f>
        <v>0</v>
      </c>
      <c r="E32" s="17"/>
      <c r="F32" s="17"/>
      <c r="G32" s="17"/>
      <c r="H32" s="17">
        <f>ROUNDUP(+H19*$B32,0)</f>
        <v>0</v>
      </c>
      <c r="I32" s="17"/>
      <c r="J32" s="17"/>
      <c r="K32" s="17"/>
      <c r="L32" s="17"/>
    </row>
    <row r="33" spans="1:12" ht="14.45" x14ac:dyDescent="0.3">
      <c r="A33" s="64">
        <f>+A20</f>
        <v>0</v>
      </c>
      <c r="B33" s="32">
        <f t="shared" si="2"/>
        <v>1.1025</v>
      </c>
      <c r="C33" s="24">
        <f>SUM(E33:K33)</f>
        <v>0</v>
      </c>
      <c r="D33" s="25">
        <f>+C33/$C$39</f>
        <v>0</v>
      </c>
      <c r="E33" s="17"/>
      <c r="F33" s="17"/>
      <c r="G33" s="17"/>
      <c r="H33" s="17">
        <f>ROUNDUP(+H20*$B33,0)</f>
        <v>0</v>
      </c>
      <c r="I33" s="17"/>
      <c r="J33" s="17"/>
      <c r="K33" s="17"/>
      <c r="L33" s="17"/>
    </row>
    <row r="34" spans="1:12" ht="14.45" x14ac:dyDescent="0.3">
      <c r="B34" s="32">
        <f t="shared" si="2"/>
        <v>1.1025</v>
      </c>
      <c r="C34" s="24"/>
      <c r="D34" s="25"/>
      <c r="E34" s="17"/>
      <c r="F34" s="17"/>
      <c r="G34" s="17"/>
      <c r="H34" s="17"/>
      <c r="I34" s="17"/>
      <c r="J34" s="17"/>
      <c r="K34" s="17"/>
      <c r="L34" s="17"/>
    </row>
    <row r="35" spans="1:12" x14ac:dyDescent="0.25">
      <c r="B35" s="32">
        <f t="shared" si="2"/>
        <v>1.1025</v>
      </c>
      <c r="C35" s="24"/>
      <c r="D35" s="25"/>
      <c r="E35" s="17"/>
      <c r="F35" s="17"/>
      <c r="G35" s="17"/>
      <c r="H35" s="17"/>
      <c r="I35" s="17"/>
      <c r="J35" s="17"/>
      <c r="K35" s="17"/>
      <c r="L35" s="17"/>
    </row>
    <row r="36" spans="1:12" x14ac:dyDescent="0.25">
      <c r="B36" s="32">
        <f t="shared" si="2"/>
        <v>1.1025</v>
      </c>
      <c r="C36" s="24"/>
      <c r="D36" s="25"/>
      <c r="E36" s="17"/>
      <c r="F36" s="17"/>
      <c r="G36" s="17"/>
      <c r="H36" s="17"/>
      <c r="I36" s="17"/>
      <c r="J36" s="17"/>
      <c r="K36" s="17"/>
      <c r="L36" s="17"/>
    </row>
    <row r="37" spans="1:12" x14ac:dyDescent="0.25">
      <c r="B37" s="32">
        <f t="shared" si="2"/>
        <v>1.1025</v>
      </c>
      <c r="C37" s="24"/>
      <c r="D37" s="25"/>
      <c r="E37" s="17"/>
      <c r="F37" s="17"/>
      <c r="G37" s="17"/>
      <c r="H37" s="17"/>
      <c r="I37" s="17"/>
      <c r="J37" s="17"/>
      <c r="K37" s="17"/>
      <c r="L37" s="17"/>
    </row>
    <row r="38" spans="1:12" x14ac:dyDescent="0.25">
      <c r="B38" s="32">
        <f t="shared" si="2"/>
        <v>1.1025</v>
      </c>
      <c r="C38" s="24"/>
      <c r="D38" s="25"/>
      <c r="E38" s="17"/>
      <c r="F38" s="17"/>
      <c r="G38" s="17"/>
      <c r="H38" s="17"/>
      <c r="I38" s="17"/>
      <c r="J38" s="17"/>
      <c r="K38" s="17"/>
      <c r="L38" s="17"/>
    </row>
    <row r="39" spans="1:12" x14ac:dyDescent="0.25">
      <c r="C39" s="27">
        <f>SUM(C29:C38)</f>
        <v>1833</v>
      </c>
      <c r="E39" s="29"/>
      <c r="F39" s="29"/>
      <c r="G39" s="29"/>
      <c r="H39" s="29">
        <f>SUM(H29:H38)</f>
        <v>1833</v>
      </c>
      <c r="I39" s="29"/>
      <c r="J39" s="29"/>
      <c r="K39" s="29"/>
      <c r="L39" s="17"/>
    </row>
    <row r="41" spans="1:12" x14ac:dyDescent="0.25">
      <c r="A41" s="4" t="s">
        <v>29</v>
      </c>
      <c r="B41" s="33" t="s">
        <v>30</v>
      </c>
      <c r="D41" s="4" t="s">
        <v>31</v>
      </c>
      <c r="E41" s="34">
        <v>1.88</v>
      </c>
      <c r="G41" s="4" t="s">
        <v>32</v>
      </c>
      <c r="H41" s="35">
        <f>7.31+7.31</f>
        <v>14.62</v>
      </c>
      <c r="I41" s="4" t="s">
        <v>33</v>
      </c>
    </row>
    <row r="42" spans="1:12" x14ac:dyDescent="0.25">
      <c r="A42" s="4" t="s">
        <v>34</v>
      </c>
      <c r="B42" s="36"/>
      <c r="D42" s="4" t="s">
        <v>35</v>
      </c>
      <c r="E42" s="106">
        <f>3.37/4</f>
        <v>0.84250000000000003</v>
      </c>
      <c r="G42" s="4" t="s">
        <v>36</v>
      </c>
      <c r="H42" s="35"/>
    </row>
    <row r="43" spans="1:12" x14ac:dyDescent="0.25">
      <c r="G43" s="4" t="s">
        <v>11</v>
      </c>
      <c r="H43" s="35"/>
      <c r="I43" s="4" t="s">
        <v>33</v>
      </c>
    </row>
    <row r="44" spans="1:12" x14ac:dyDescent="0.25">
      <c r="A44" s="199" t="s">
        <v>37</v>
      </c>
      <c r="B44" s="200"/>
      <c r="C44" s="37">
        <f>+E42*E41*F8</f>
        <v>190.06799999999998</v>
      </c>
      <c r="D44" s="4" t="s">
        <v>38</v>
      </c>
      <c r="E44" s="17">
        <f>+E41*E42</f>
        <v>1.5838999999999999</v>
      </c>
      <c r="F44" s="4" t="s">
        <v>39</v>
      </c>
      <c r="G44">
        <f>+E42*1.09363</f>
        <v>0.92138327500000017</v>
      </c>
      <c r="H44" s="2" t="s">
        <v>132</v>
      </c>
      <c r="I44"/>
      <c r="J44" s="4">
        <f>+G44*1.1</f>
        <v>1.0135216025000002</v>
      </c>
    </row>
    <row r="45" spans="1:12" x14ac:dyDescent="0.25">
      <c r="D45" s="38" t="s">
        <v>40</v>
      </c>
      <c r="E45" s="17">
        <f>ROUNDDOWN(1000/(+E41*F8),2)</f>
        <v>4.43</v>
      </c>
      <c r="F45" s="4" t="s">
        <v>41</v>
      </c>
      <c r="G45" s="78"/>
      <c r="H45" t="s">
        <v>133</v>
      </c>
      <c r="I45"/>
    </row>
    <row r="46" spans="1:12" ht="15.75" x14ac:dyDescent="0.25">
      <c r="A46" s="3" t="s">
        <v>42</v>
      </c>
      <c r="D46" s="39" t="s">
        <v>43</v>
      </c>
      <c r="E46" s="40">
        <v>0.71160000000000001</v>
      </c>
      <c r="G46" s="78">
        <f>+C76/E45</f>
        <v>2.6016854737535584</v>
      </c>
      <c r="H46" t="s">
        <v>134</v>
      </c>
      <c r="I46">
        <f>+G46*1.2</f>
        <v>3.1220225685042702</v>
      </c>
    </row>
    <row r="47" spans="1:12" x14ac:dyDescent="0.25">
      <c r="A47" s="5"/>
    </row>
    <row r="48" spans="1:12" x14ac:dyDescent="0.25">
      <c r="A48" s="5" t="s">
        <v>44</v>
      </c>
      <c r="G48" s="4" t="s">
        <v>45</v>
      </c>
      <c r="H48" s="41">
        <f>+C76</f>
        <v>11.525466648728264</v>
      </c>
    </row>
    <row r="49" spans="1:11" x14ac:dyDescent="0.25">
      <c r="A49" s="4" t="s">
        <v>46</v>
      </c>
      <c r="C49" s="32">
        <v>0.1</v>
      </c>
      <c r="D49" s="42" t="s">
        <v>47</v>
      </c>
      <c r="E49" s="42" t="s">
        <v>26</v>
      </c>
      <c r="G49" s="4" t="s">
        <v>40</v>
      </c>
      <c r="H49" s="43">
        <f>+E45</f>
        <v>4.43</v>
      </c>
      <c r="I49" s="17" t="s">
        <v>48</v>
      </c>
    </row>
    <row r="50" spans="1:11" x14ac:dyDescent="0.25">
      <c r="A50" s="4" t="str">
        <f>+B9</f>
        <v>VISCOSA BORTEX</v>
      </c>
      <c r="B50" s="44">
        <f>ROUNDUP(((C44+H41)*C39*C9)/1000,0)</f>
        <v>376</v>
      </c>
      <c r="C50" s="44">
        <f>ROUNDUP(((+B50*100)/(1-$C$49))/100,0)</f>
        <v>418</v>
      </c>
      <c r="D50" s="45"/>
      <c r="E50" s="46">
        <f>+C50*D50</f>
        <v>0</v>
      </c>
      <c r="G50" s="4" t="s">
        <v>49</v>
      </c>
      <c r="H50" s="47">
        <f>+H48/H49</f>
        <v>2.6016854737535584</v>
      </c>
      <c r="I50" s="38" t="s">
        <v>50</v>
      </c>
      <c r="J50" s="4">
        <f>+H50*0.9144</f>
        <v>2.3789811972002539</v>
      </c>
      <c r="K50" s="48">
        <f>+J50*1.2</f>
        <v>2.8547774366403047</v>
      </c>
    </row>
    <row r="51" spans="1:11" x14ac:dyDescent="0.25">
      <c r="A51" s="4">
        <f>+B10</f>
        <v>0</v>
      </c>
      <c r="B51" s="44">
        <f>+((C44+H41)*C39*C10)/1000</f>
        <v>0</v>
      </c>
      <c r="C51" s="44">
        <f>ROUNDUP(((+B51*100)/(1-$C$49))/100,0)</f>
        <v>0</v>
      </c>
      <c r="D51" s="45"/>
      <c r="E51" s="46">
        <f>+C51*D51</f>
        <v>0</v>
      </c>
      <c r="G51" s="4" t="s">
        <v>51</v>
      </c>
      <c r="H51" s="41">
        <f>+E41</f>
        <v>1.88</v>
      </c>
      <c r="I51" s="17" t="s">
        <v>52</v>
      </c>
      <c r="J51" s="49">
        <f>+H51/2.544*100</f>
        <v>73.899371069182379</v>
      </c>
      <c r="K51" s="4" t="s">
        <v>53</v>
      </c>
    </row>
    <row r="52" spans="1:11" x14ac:dyDescent="0.25">
      <c r="A52" s="4">
        <f>+B11</f>
        <v>0</v>
      </c>
      <c r="B52" s="27">
        <f>+(C44*C39*C11)/1000</f>
        <v>0</v>
      </c>
      <c r="C52" s="27">
        <f>(+B52*C49)+B52</f>
        <v>0</v>
      </c>
      <c r="D52" s="45"/>
      <c r="E52" s="46">
        <f>+C52*D52</f>
        <v>0</v>
      </c>
      <c r="G52" s="4" t="s">
        <v>54</v>
      </c>
      <c r="H52" s="4">
        <v>1</v>
      </c>
    </row>
    <row r="53" spans="1:11" x14ac:dyDescent="0.25">
      <c r="A53" s="4" t="s">
        <v>26</v>
      </c>
      <c r="B53" s="44">
        <f>SUM(B50:B52)</f>
        <v>376</v>
      </c>
      <c r="C53" s="44">
        <f>SUM(C50:C52)</f>
        <v>418</v>
      </c>
      <c r="E53" s="46">
        <f>SUM(E49:E52)</f>
        <v>0</v>
      </c>
    </row>
    <row r="54" spans="1:11" x14ac:dyDescent="0.25">
      <c r="C54" s="27"/>
      <c r="E54" s="46"/>
    </row>
    <row r="55" spans="1:11" x14ac:dyDescent="0.25">
      <c r="A55" s="5" t="s">
        <v>55</v>
      </c>
      <c r="B55" s="45"/>
      <c r="C55" s="27"/>
      <c r="E55" s="46"/>
    </row>
    <row r="56" spans="1:11" x14ac:dyDescent="0.25">
      <c r="C56" s="27"/>
    </row>
    <row r="57" spans="1:11" x14ac:dyDescent="0.25">
      <c r="A57" s="30" t="s">
        <v>56</v>
      </c>
      <c r="B57" s="50" t="s">
        <v>47</v>
      </c>
      <c r="C57" s="51" t="s">
        <v>57</v>
      </c>
      <c r="D57" s="50" t="s">
        <v>26</v>
      </c>
      <c r="E57" s="50" t="s">
        <v>58</v>
      </c>
      <c r="G57" s="52" t="s">
        <v>59</v>
      </c>
    </row>
    <row r="58" spans="1:11" x14ac:dyDescent="0.25">
      <c r="C58" s="27"/>
    </row>
    <row r="59" spans="1:11" x14ac:dyDescent="0.25">
      <c r="A59" s="4" t="str">
        <f>+A16</f>
        <v>EVENING BLUE</v>
      </c>
      <c r="B59" s="84">
        <f>3.2+8</f>
        <v>11.2</v>
      </c>
      <c r="C59" s="44">
        <f>+D29*$C$53</f>
        <v>199.76432078559736</v>
      </c>
      <c r="D59" s="46">
        <f>+B59*C59</f>
        <v>2237.3603927986901</v>
      </c>
      <c r="E59" s="45"/>
      <c r="G59" t="s">
        <v>151</v>
      </c>
    </row>
    <row r="60" spans="1:11" x14ac:dyDescent="0.25">
      <c r="A60" s="4" t="str">
        <f>+A17</f>
        <v>WHITE</v>
      </c>
      <c r="B60" s="84">
        <f>1.6+8</f>
        <v>9.6</v>
      </c>
      <c r="C60" s="44">
        <f>+D30*$C$53</f>
        <v>218.23567921440261</v>
      </c>
      <c r="D60" s="46">
        <f>+B60*C60</f>
        <v>2095.0625204582648</v>
      </c>
      <c r="E60" s="45"/>
      <c r="G60" t="s">
        <v>152</v>
      </c>
    </row>
    <row r="61" spans="1:11" x14ac:dyDescent="0.25">
      <c r="A61" s="4">
        <f>+A18</f>
        <v>0</v>
      </c>
      <c r="B61" s="84"/>
      <c r="C61" s="44">
        <f>+D31*$C$53</f>
        <v>0</v>
      </c>
      <c r="D61" s="46">
        <f>+B61*C61</f>
        <v>0</v>
      </c>
      <c r="E61" s="45"/>
    </row>
    <row r="62" spans="1:11" x14ac:dyDescent="0.25">
      <c r="A62">
        <f>+A19</f>
        <v>0</v>
      </c>
      <c r="B62" s="84"/>
      <c r="C62" s="44">
        <f>+D32*$C$53</f>
        <v>0</v>
      </c>
      <c r="D62" s="46">
        <f>+B62*C62</f>
        <v>0</v>
      </c>
      <c r="E62" s="45"/>
    </row>
    <row r="63" spans="1:11" x14ac:dyDescent="0.25">
      <c r="A63">
        <f>+A20</f>
        <v>0</v>
      </c>
      <c r="B63" s="84"/>
      <c r="C63" s="44">
        <f>+D33*$C$53</f>
        <v>0</v>
      </c>
      <c r="D63" s="46">
        <f>+B63*C63</f>
        <v>0</v>
      </c>
      <c r="E63" s="45"/>
    </row>
    <row r="64" spans="1:11" x14ac:dyDescent="0.25">
      <c r="B64" s="45"/>
      <c r="C64" s="44"/>
      <c r="D64" s="46"/>
      <c r="E64" s="45"/>
    </row>
    <row r="65" spans="1:11" x14ac:dyDescent="0.25">
      <c r="B65" s="45"/>
      <c r="C65" s="27"/>
      <c r="D65" s="46"/>
      <c r="E65" s="45"/>
    </row>
    <row r="66" spans="1:11" x14ac:dyDescent="0.25">
      <c r="B66" s="45"/>
      <c r="C66" s="27"/>
      <c r="D66" s="46"/>
      <c r="E66" s="45"/>
    </row>
    <row r="67" spans="1:11" x14ac:dyDescent="0.25">
      <c r="B67" s="45"/>
      <c r="C67" s="27"/>
      <c r="D67" s="46"/>
      <c r="E67" s="45"/>
    </row>
    <row r="68" spans="1:11" x14ac:dyDescent="0.25">
      <c r="B68" s="45"/>
      <c r="C68" s="27"/>
      <c r="D68" s="46"/>
      <c r="E68" s="45"/>
    </row>
    <row r="69" spans="1:11" x14ac:dyDescent="0.25">
      <c r="A69" s="4" t="s">
        <v>26</v>
      </c>
      <c r="C69" s="44">
        <f>SUM(C59:C68)</f>
        <v>418</v>
      </c>
      <c r="D69" s="46">
        <f>SUM(D59:D68)</f>
        <v>4332.4229132569544</v>
      </c>
      <c r="E69" s="27"/>
    </row>
    <row r="70" spans="1:11" x14ac:dyDescent="0.25">
      <c r="E70" s="53"/>
    </row>
    <row r="71" spans="1:11" x14ac:dyDescent="0.25">
      <c r="A71" s="5" t="s">
        <v>49</v>
      </c>
    </row>
    <row r="73" spans="1:11" x14ac:dyDescent="0.25">
      <c r="A73" s="4" t="s">
        <v>44</v>
      </c>
      <c r="B73" s="46">
        <f>+E53</f>
        <v>0</v>
      </c>
    </row>
    <row r="74" spans="1:11" x14ac:dyDescent="0.25">
      <c r="A74" s="4" t="s">
        <v>60</v>
      </c>
      <c r="B74" s="46">
        <f>+(B55*C53)</f>
        <v>0</v>
      </c>
    </row>
    <row r="75" spans="1:11" x14ac:dyDescent="0.25">
      <c r="A75" s="4" t="s">
        <v>61</v>
      </c>
      <c r="B75" s="46">
        <f>+D69</f>
        <v>4332.4229132569544</v>
      </c>
    </row>
    <row r="76" spans="1:11" x14ac:dyDescent="0.25">
      <c r="A76" s="4" t="s">
        <v>26</v>
      </c>
      <c r="B76" s="46">
        <f>IF(F8&gt;0,B73+B74+B75,E44*C39*J50)</f>
        <v>4332.4229132569544</v>
      </c>
      <c r="C76" s="54">
        <f>+B76/(B53-C49)</f>
        <v>11.525466648728264</v>
      </c>
      <c r="D76" s="4" t="s">
        <v>62</v>
      </c>
    </row>
    <row r="78" spans="1:11" x14ac:dyDescent="0.25">
      <c r="A78" s="5" t="s">
        <v>63</v>
      </c>
      <c r="B78" s="55">
        <f>IF(B76&gt;0,B76/C26,J50*E44)</f>
        <v>2.6710375544124259</v>
      </c>
    </row>
    <row r="80" spans="1:11" x14ac:dyDescent="0.25">
      <c r="A80" s="31" t="s">
        <v>64</v>
      </c>
      <c r="B80" s="31" t="s">
        <v>65</v>
      </c>
      <c r="C80" s="31" t="s">
        <v>66</v>
      </c>
      <c r="D80" s="31" t="s">
        <v>67</v>
      </c>
      <c r="E80" s="31" t="s">
        <v>68</v>
      </c>
      <c r="F80" s="31" t="s">
        <v>69</v>
      </c>
      <c r="G80" s="31" t="s">
        <v>47</v>
      </c>
      <c r="H80" s="31" t="s">
        <v>70</v>
      </c>
      <c r="I80" s="31" t="s">
        <v>71</v>
      </c>
      <c r="J80" s="31" t="s">
        <v>72</v>
      </c>
      <c r="K80" s="31" t="s">
        <v>73</v>
      </c>
    </row>
    <row r="81" spans="1:13" x14ac:dyDescent="0.25">
      <c r="A81" s="56" t="s">
        <v>74</v>
      </c>
      <c r="B81" s="57"/>
      <c r="C81" s="56"/>
      <c r="D81" s="17" t="s">
        <v>75</v>
      </c>
      <c r="E81" s="17">
        <v>4572</v>
      </c>
      <c r="F81" s="17" t="s">
        <v>76</v>
      </c>
      <c r="G81" s="58">
        <v>2.15</v>
      </c>
      <c r="H81" s="59">
        <v>0.1</v>
      </c>
      <c r="I81" s="26">
        <v>150</v>
      </c>
      <c r="J81" s="60">
        <f>((+I81/E81)*G81)*H81+((+I81/E81)*G81)</f>
        <v>7.759186351706035E-2</v>
      </c>
      <c r="K81" s="46">
        <f>+J81*$C$39</f>
        <v>142.22588582677162</v>
      </c>
    </row>
    <row r="82" spans="1:13" x14ac:dyDescent="0.25">
      <c r="A82" s="61" t="s">
        <v>77</v>
      </c>
      <c r="B82" s="1" t="s">
        <v>142</v>
      </c>
      <c r="C82" s="56"/>
      <c r="D82" s="17" t="s">
        <v>78</v>
      </c>
      <c r="E82" s="17">
        <v>1000</v>
      </c>
      <c r="F82" s="17" t="s">
        <v>79</v>
      </c>
      <c r="G82" s="86">
        <f>75*1.7</f>
        <v>127.5</v>
      </c>
      <c r="H82" s="59">
        <v>0.1</v>
      </c>
      <c r="I82" s="26">
        <v>1</v>
      </c>
      <c r="J82" s="60">
        <f t="shared" ref="J82:J92" si="3">((+I82/E82)*G82)*H82+((+I82/E82)*G82)</f>
        <v>0.14025000000000001</v>
      </c>
      <c r="K82" s="46">
        <f t="shared" ref="K82:K92" si="4">+J82*$C$39</f>
        <v>257.07825000000003</v>
      </c>
    </row>
    <row r="83" spans="1:13" x14ac:dyDescent="0.25">
      <c r="A83" s="85" t="s">
        <v>136</v>
      </c>
      <c r="B83" s="1" t="s">
        <v>143</v>
      </c>
      <c r="C83" s="56"/>
      <c r="D83" s="83" t="s">
        <v>78</v>
      </c>
      <c r="E83" s="17">
        <v>1000</v>
      </c>
      <c r="F83" s="17" t="s">
        <v>79</v>
      </c>
      <c r="G83" s="58">
        <f>52.2*1.7</f>
        <v>88.740000000000009</v>
      </c>
      <c r="H83" s="59">
        <v>0.1</v>
      </c>
      <c r="I83" s="26">
        <v>1</v>
      </c>
      <c r="J83" s="60">
        <f t="shared" si="3"/>
        <v>9.761400000000002E-2</v>
      </c>
      <c r="K83" s="46">
        <f t="shared" si="4"/>
        <v>178.92646200000004</v>
      </c>
    </row>
    <row r="84" spans="1:13" x14ac:dyDescent="0.25">
      <c r="A84" s="61" t="s">
        <v>137</v>
      </c>
      <c r="B84" s="1"/>
      <c r="C84" s="56"/>
      <c r="D84" s="83" t="s">
        <v>78</v>
      </c>
      <c r="E84" s="17">
        <v>1000</v>
      </c>
      <c r="F84" s="17" t="s">
        <v>79</v>
      </c>
      <c r="G84" s="58">
        <f>26.9*1.7</f>
        <v>45.73</v>
      </c>
      <c r="H84" s="59">
        <v>0.1</v>
      </c>
      <c r="I84" s="26">
        <v>1</v>
      </c>
      <c r="J84" s="60">
        <f t="shared" si="3"/>
        <v>5.0303E-2</v>
      </c>
      <c r="K84" s="46">
        <f t="shared" si="4"/>
        <v>92.205399</v>
      </c>
    </row>
    <row r="85" spans="1:13" x14ac:dyDescent="0.25">
      <c r="A85" s="95" t="s">
        <v>154</v>
      </c>
      <c r="B85" s="96"/>
      <c r="C85" s="97"/>
      <c r="D85" s="98" t="s">
        <v>78</v>
      </c>
      <c r="E85" s="98">
        <v>1000</v>
      </c>
      <c r="F85" s="98" t="s">
        <v>79</v>
      </c>
      <c r="G85" s="99">
        <v>170</v>
      </c>
      <c r="H85" s="100">
        <v>0.1</v>
      </c>
      <c r="I85" s="101">
        <v>18</v>
      </c>
      <c r="J85" s="102">
        <f>((+I85/E85)*G85)*H85+((+I85/E85)*G85)</f>
        <v>3.3659999999999997</v>
      </c>
      <c r="K85" s="103">
        <f>+J85*$C$39</f>
        <v>6169.8779999999997</v>
      </c>
      <c r="M85" s="4">
        <f>+J85/I85</f>
        <v>0.18699999999999997</v>
      </c>
    </row>
    <row r="86" spans="1:13" x14ac:dyDescent="0.25">
      <c r="A86" s="61" t="s">
        <v>138</v>
      </c>
      <c r="B86" s="1"/>
      <c r="C86" s="56"/>
      <c r="D86" s="83" t="s">
        <v>139</v>
      </c>
      <c r="E86" s="17">
        <v>0.91</v>
      </c>
      <c r="F86" s="83" t="s">
        <v>76</v>
      </c>
      <c r="G86" s="58">
        <f>0.22*1.7</f>
        <v>0.374</v>
      </c>
      <c r="H86" s="59">
        <v>0.1</v>
      </c>
      <c r="I86" s="26">
        <v>0.9</v>
      </c>
      <c r="J86" s="60">
        <f t="shared" si="3"/>
        <v>0.40687912087912087</v>
      </c>
      <c r="K86" s="46">
        <f t="shared" si="4"/>
        <v>745.80942857142861</v>
      </c>
    </row>
    <row r="87" spans="1:13" x14ac:dyDescent="0.25">
      <c r="A87" s="56" t="s">
        <v>80</v>
      </c>
      <c r="B87" s="57"/>
      <c r="C87" s="56"/>
      <c r="D87" s="17" t="s">
        <v>78</v>
      </c>
      <c r="E87" s="17">
        <v>1000</v>
      </c>
      <c r="F87" s="17" t="s">
        <v>79</v>
      </c>
      <c r="G87" s="58">
        <v>26</v>
      </c>
      <c r="H87" s="59">
        <v>0.1</v>
      </c>
      <c r="I87" s="26">
        <v>1</v>
      </c>
      <c r="J87" s="60">
        <f t="shared" si="3"/>
        <v>2.8600000000000004E-2</v>
      </c>
      <c r="K87" s="46">
        <f t="shared" si="4"/>
        <v>52.423800000000007</v>
      </c>
    </row>
    <row r="88" spans="1:13" x14ac:dyDescent="0.25">
      <c r="A88" s="61" t="s">
        <v>135</v>
      </c>
      <c r="B88" s="1" t="s">
        <v>141</v>
      </c>
      <c r="C88" s="56"/>
      <c r="D88" s="62" t="s">
        <v>78</v>
      </c>
      <c r="E88" s="17">
        <v>1000</v>
      </c>
      <c r="F88" s="17" t="s">
        <v>79</v>
      </c>
      <c r="G88" s="81">
        <f>420*1.7</f>
        <v>714</v>
      </c>
      <c r="H88" s="59">
        <v>0.1</v>
      </c>
      <c r="I88" s="26">
        <v>1</v>
      </c>
      <c r="J88" s="60">
        <f t="shared" si="3"/>
        <v>0.78539999999999999</v>
      </c>
      <c r="K88" s="46">
        <f t="shared" si="4"/>
        <v>1439.6381999999999</v>
      </c>
    </row>
    <row r="89" spans="1:13" x14ac:dyDescent="0.25">
      <c r="A89" s="56" t="s">
        <v>81</v>
      </c>
      <c r="B89" s="63"/>
      <c r="C89" s="56"/>
      <c r="D89" s="17" t="s">
        <v>78</v>
      </c>
      <c r="E89" s="17">
        <v>1000</v>
      </c>
      <c r="F89" s="17" t="s">
        <v>79</v>
      </c>
      <c r="G89" s="58">
        <v>11</v>
      </c>
      <c r="H89" s="59">
        <v>0.1</v>
      </c>
      <c r="I89" s="64">
        <f>1/F11</f>
        <v>2.0833333333333332E-2</v>
      </c>
      <c r="J89" s="60">
        <f t="shared" si="3"/>
        <v>2.5208333333333333E-4</v>
      </c>
      <c r="K89" s="46">
        <f t="shared" si="4"/>
        <v>0.46206874999999997</v>
      </c>
    </row>
    <row r="90" spans="1:13" x14ac:dyDescent="0.25">
      <c r="A90" s="56" t="s">
        <v>82</v>
      </c>
      <c r="B90" s="57"/>
      <c r="C90" s="56"/>
      <c r="D90" s="17" t="s">
        <v>79</v>
      </c>
      <c r="E90" s="17">
        <v>1</v>
      </c>
      <c r="F90" s="17" t="s">
        <v>79</v>
      </c>
      <c r="G90" s="58">
        <v>2.7</v>
      </c>
      <c r="H90" s="59">
        <v>0.1</v>
      </c>
      <c r="I90" s="64">
        <f>1/F11</f>
        <v>2.0833333333333332E-2</v>
      </c>
      <c r="J90" s="60">
        <f t="shared" si="3"/>
        <v>6.1874999999999999E-2</v>
      </c>
      <c r="K90" s="46">
        <f t="shared" si="4"/>
        <v>113.416875</v>
      </c>
    </row>
    <row r="91" spans="1:13" x14ac:dyDescent="0.25">
      <c r="A91" s="56" t="s">
        <v>83</v>
      </c>
      <c r="B91" s="57"/>
      <c r="C91" s="56"/>
      <c r="D91" s="17" t="s">
        <v>78</v>
      </c>
      <c r="E91" s="17">
        <v>1000</v>
      </c>
      <c r="F91" s="17" t="s">
        <v>79</v>
      </c>
      <c r="G91" s="58">
        <f>+(12.69+11.41)*1.5</f>
        <v>36.150000000000006</v>
      </c>
      <c r="H91" s="59">
        <v>0.1</v>
      </c>
      <c r="I91" s="26">
        <f>1/F11</f>
        <v>2.0833333333333332E-2</v>
      </c>
      <c r="J91" s="60">
        <f t="shared" si="3"/>
        <v>8.2843750000000018E-4</v>
      </c>
      <c r="K91" s="46">
        <f t="shared" si="4"/>
        <v>1.5185259375000004</v>
      </c>
    </row>
    <row r="92" spans="1:13" x14ac:dyDescent="0.25">
      <c r="A92" s="56" t="s">
        <v>84</v>
      </c>
      <c r="B92" s="57"/>
      <c r="C92" s="56"/>
      <c r="D92" s="17" t="s">
        <v>85</v>
      </c>
      <c r="E92" s="17">
        <v>100</v>
      </c>
      <c r="F92" s="17" t="s">
        <v>76</v>
      </c>
      <c r="G92" s="58">
        <v>1</v>
      </c>
      <c r="H92" s="59">
        <v>0.1</v>
      </c>
      <c r="I92" s="26">
        <f>5/F8</f>
        <v>4.1666666666666664E-2</v>
      </c>
      <c r="J92" s="60">
        <f t="shared" si="3"/>
        <v>4.5833333333333332E-4</v>
      </c>
      <c r="K92" s="46">
        <f t="shared" si="4"/>
        <v>0.84012500000000001</v>
      </c>
    </row>
    <row r="93" spans="1:13" x14ac:dyDescent="0.25">
      <c r="A93" s="4" t="s">
        <v>86</v>
      </c>
      <c r="B93" s="38"/>
      <c r="C93" s="38"/>
      <c r="D93" s="38"/>
      <c r="E93" s="65"/>
      <c r="F93" s="66"/>
      <c r="J93" s="67">
        <f>SUM(J81:J92)</f>
        <v>5.0160518385628476</v>
      </c>
      <c r="K93" s="46">
        <f>SUM(K81:K92)</f>
        <v>9194.4230200857</v>
      </c>
    </row>
    <row r="94" spans="1:13" x14ac:dyDescent="0.25">
      <c r="B94" s="38"/>
      <c r="C94" s="38"/>
      <c r="D94" s="38"/>
      <c r="E94" s="65"/>
      <c r="F94" s="66"/>
      <c r="H94" s="68"/>
    </row>
    <row r="95" spans="1:13" x14ac:dyDescent="0.25">
      <c r="A95" s="31" t="s">
        <v>87</v>
      </c>
      <c r="B95" s="31" t="s">
        <v>67</v>
      </c>
      <c r="C95" s="31" t="s">
        <v>68</v>
      </c>
      <c r="D95" s="31" t="s">
        <v>69</v>
      </c>
      <c r="E95" s="31" t="s">
        <v>47</v>
      </c>
      <c r="F95" s="31" t="s">
        <v>70</v>
      </c>
      <c r="G95" s="31" t="s">
        <v>71</v>
      </c>
      <c r="H95" s="31" t="s">
        <v>72</v>
      </c>
      <c r="I95" s="31" t="s">
        <v>73</v>
      </c>
    </row>
    <row r="96" spans="1:13" x14ac:dyDescent="0.25">
      <c r="A96" s="4" t="s">
        <v>88</v>
      </c>
      <c r="B96" s="38"/>
      <c r="C96" s="4">
        <v>1</v>
      </c>
      <c r="E96" s="26"/>
      <c r="F96" s="17"/>
      <c r="G96" s="4">
        <v>2</v>
      </c>
      <c r="H96" s="68">
        <f>((+G96/C96)*E96)*F96+((+G96/C96)*E96)</f>
        <v>0</v>
      </c>
      <c r="I96" s="46">
        <f>+H96*$C$39</f>
        <v>0</v>
      </c>
    </row>
    <row r="97" spans="1:11" x14ac:dyDescent="0.25">
      <c r="A97" s="4" t="s">
        <v>89</v>
      </c>
      <c r="B97" s="38"/>
      <c r="C97" s="4">
        <v>1</v>
      </c>
      <c r="E97" s="26"/>
      <c r="F97" s="17"/>
      <c r="G97" s="4">
        <v>1</v>
      </c>
      <c r="H97" s="68">
        <f>((+G97/C97)*E97)*F97+((+G97/C97)*E97)</f>
        <v>0</v>
      </c>
      <c r="I97" s="46">
        <f>+H97*$C$39</f>
        <v>0</v>
      </c>
    </row>
    <row r="98" spans="1:11" x14ac:dyDescent="0.25">
      <c r="A98" s="4" t="s">
        <v>90</v>
      </c>
      <c r="H98" s="69">
        <f>SUM(H96:H97)</f>
        <v>0</v>
      </c>
      <c r="I98" s="46">
        <f>SUM(I96:I97)</f>
        <v>0</v>
      </c>
    </row>
    <row r="100" spans="1:11" x14ac:dyDescent="0.25">
      <c r="A100" s="30" t="s">
        <v>91</v>
      </c>
      <c r="B100" s="31" t="s">
        <v>67</v>
      </c>
      <c r="C100" s="31" t="s">
        <v>68</v>
      </c>
      <c r="D100" s="31" t="s">
        <v>69</v>
      </c>
      <c r="E100" s="31" t="s">
        <v>47</v>
      </c>
      <c r="F100" s="31" t="s">
        <v>70</v>
      </c>
      <c r="G100" s="31" t="s">
        <v>71</v>
      </c>
      <c r="H100" s="31" t="s">
        <v>72</v>
      </c>
      <c r="I100" s="31" t="s">
        <v>73</v>
      </c>
    </row>
    <row r="101" spans="1:11" x14ac:dyDescent="0.25">
      <c r="A101" s="4" t="s">
        <v>92</v>
      </c>
      <c r="B101" s="38" t="s">
        <v>93</v>
      </c>
      <c r="C101" s="4">
        <v>1</v>
      </c>
      <c r="D101" s="38" t="s">
        <v>94</v>
      </c>
      <c r="E101" s="45">
        <f>4.33*0.08</f>
        <v>0.34639999999999999</v>
      </c>
      <c r="F101" s="59">
        <v>0</v>
      </c>
      <c r="G101" s="4">
        <v>1</v>
      </c>
      <c r="H101" s="68">
        <f>((+G101/C101)*E101)*F101+((+G101/C101)*E101)</f>
        <v>0.34639999999999999</v>
      </c>
      <c r="I101" s="46">
        <f t="shared" ref="I101:I110" si="5">+H101*$C$39</f>
        <v>634.95119999999997</v>
      </c>
    </row>
    <row r="102" spans="1:11" x14ac:dyDescent="0.25">
      <c r="A102" s="4" t="s">
        <v>95</v>
      </c>
      <c r="B102" s="38" t="s">
        <v>96</v>
      </c>
      <c r="C102" s="4">
        <v>1</v>
      </c>
      <c r="D102" s="38" t="s">
        <v>96</v>
      </c>
      <c r="E102" s="4">
        <v>7.0000000000000007E-2</v>
      </c>
      <c r="F102" s="59">
        <v>0.1</v>
      </c>
      <c r="G102" s="45">
        <v>21.78</v>
      </c>
      <c r="H102" s="68">
        <f t="shared" ref="H102:H110" si="6">((+G102/C102)*E102)*F102+((+G102/C102)*E102)</f>
        <v>1.6770600000000002</v>
      </c>
      <c r="I102" s="46">
        <f t="shared" si="5"/>
        <v>3074.0509800000004</v>
      </c>
    </row>
    <row r="103" spans="1:11" x14ac:dyDescent="0.25">
      <c r="A103" s="4" t="s">
        <v>97</v>
      </c>
      <c r="B103" s="38" t="s">
        <v>93</v>
      </c>
      <c r="C103" s="4">
        <v>1</v>
      </c>
      <c r="D103" s="38" t="s">
        <v>94</v>
      </c>
      <c r="E103" s="45">
        <f>2*0.08</f>
        <v>0.16</v>
      </c>
      <c r="F103" s="59">
        <v>0</v>
      </c>
      <c r="G103" s="4">
        <v>1</v>
      </c>
      <c r="H103" s="68">
        <f t="shared" si="6"/>
        <v>0.16</v>
      </c>
      <c r="I103" s="46">
        <f t="shared" si="5"/>
        <v>293.28000000000003</v>
      </c>
    </row>
    <row r="104" spans="1:11" x14ac:dyDescent="0.25">
      <c r="A104" s="56" t="s">
        <v>98</v>
      </c>
      <c r="B104" s="38" t="s">
        <v>99</v>
      </c>
      <c r="C104" s="4">
        <v>1</v>
      </c>
      <c r="D104" s="38" t="s">
        <v>99</v>
      </c>
      <c r="E104" s="45"/>
      <c r="F104" s="59">
        <v>0</v>
      </c>
      <c r="G104" s="4">
        <f>+C44/1000</f>
        <v>0.19006799999999999</v>
      </c>
      <c r="H104" s="68">
        <f t="shared" si="6"/>
        <v>0</v>
      </c>
      <c r="I104" s="46">
        <f t="shared" si="5"/>
        <v>0</v>
      </c>
    </row>
    <row r="105" spans="1:11" x14ac:dyDescent="0.25">
      <c r="A105" s="56" t="s">
        <v>100</v>
      </c>
      <c r="B105" s="38" t="s">
        <v>99</v>
      </c>
      <c r="C105" s="4">
        <v>1</v>
      </c>
      <c r="D105" s="38" t="s">
        <v>99</v>
      </c>
      <c r="E105" s="45"/>
      <c r="F105" s="59">
        <v>0</v>
      </c>
      <c r="G105" s="4">
        <f>+C44/1000</f>
        <v>0.19006799999999999</v>
      </c>
      <c r="H105" s="68">
        <f t="shared" si="6"/>
        <v>0</v>
      </c>
      <c r="I105" s="46">
        <f t="shared" si="5"/>
        <v>0</v>
      </c>
      <c r="K105"/>
    </row>
    <row r="106" spans="1:11" x14ac:dyDescent="0.25">
      <c r="A106" s="82" t="s">
        <v>140</v>
      </c>
      <c r="B106" s="38" t="s">
        <v>93</v>
      </c>
      <c r="C106" s="4">
        <v>1</v>
      </c>
      <c r="D106" s="38" t="s">
        <v>94</v>
      </c>
      <c r="E106" s="70"/>
      <c r="F106" s="59">
        <v>0</v>
      </c>
      <c r="G106" s="4">
        <v>1</v>
      </c>
      <c r="H106" s="68">
        <f t="shared" si="6"/>
        <v>0</v>
      </c>
      <c r="I106" s="46">
        <f t="shared" si="5"/>
        <v>0</v>
      </c>
      <c r="K106"/>
    </row>
    <row r="107" spans="1:11" x14ac:dyDescent="0.25">
      <c r="A107" s="56" t="s">
        <v>101</v>
      </c>
      <c r="B107" s="38" t="s">
        <v>93</v>
      </c>
      <c r="C107" s="4">
        <v>1</v>
      </c>
      <c r="D107" s="38" t="s">
        <v>94</v>
      </c>
      <c r="E107" s="45"/>
      <c r="F107" s="59"/>
      <c r="G107" s="4">
        <v>1</v>
      </c>
      <c r="H107" s="68">
        <f t="shared" si="6"/>
        <v>0</v>
      </c>
      <c r="I107" s="46">
        <f t="shared" si="5"/>
        <v>0</v>
      </c>
      <c r="K107"/>
    </row>
    <row r="108" spans="1:11" x14ac:dyDescent="0.25">
      <c r="A108" s="82" t="s">
        <v>153</v>
      </c>
      <c r="B108" s="38" t="s">
        <v>93</v>
      </c>
      <c r="C108" s="4">
        <v>1</v>
      </c>
      <c r="D108" s="38" t="s">
        <v>94</v>
      </c>
      <c r="E108" s="45">
        <f>0.08*10</f>
        <v>0.8</v>
      </c>
      <c r="F108" s="59">
        <v>0.1</v>
      </c>
      <c r="G108" s="4">
        <v>1</v>
      </c>
      <c r="H108" s="68">
        <f>((+G108/C108)*E108)*F108+((+G108/C108)*E108)</f>
        <v>0.88000000000000012</v>
      </c>
      <c r="I108" s="46">
        <f t="shared" si="5"/>
        <v>1613.0400000000002</v>
      </c>
      <c r="K108"/>
    </row>
    <row r="109" spans="1:11" x14ac:dyDescent="0.25">
      <c r="A109" s="56" t="s">
        <v>102</v>
      </c>
      <c r="B109" s="38" t="s">
        <v>93</v>
      </c>
      <c r="C109" s="4">
        <v>1</v>
      </c>
      <c r="D109" s="38" t="s">
        <v>94</v>
      </c>
      <c r="E109" s="45"/>
      <c r="F109" s="59"/>
      <c r="G109" s="4">
        <v>1</v>
      </c>
      <c r="H109" s="68">
        <f t="shared" si="6"/>
        <v>0</v>
      </c>
      <c r="I109" s="46">
        <f t="shared" si="5"/>
        <v>0</v>
      </c>
    </row>
    <row r="110" spans="1:11" x14ac:dyDescent="0.25">
      <c r="A110" s="56" t="s">
        <v>103</v>
      </c>
      <c r="B110" s="38" t="s">
        <v>93</v>
      </c>
      <c r="C110" s="4">
        <v>1</v>
      </c>
      <c r="D110" s="38" t="s">
        <v>94</v>
      </c>
      <c r="E110" s="45"/>
      <c r="F110" s="59">
        <v>0</v>
      </c>
      <c r="G110" s="4">
        <v>1</v>
      </c>
      <c r="H110" s="68">
        <f t="shared" si="6"/>
        <v>0</v>
      </c>
      <c r="I110" s="46">
        <f t="shared" si="5"/>
        <v>0</v>
      </c>
    </row>
    <row r="111" spans="1:11" x14ac:dyDescent="0.25">
      <c r="A111" s="9" t="s">
        <v>104</v>
      </c>
      <c r="F111" s="54"/>
      <c r="H111" s="69">
        <f>SUM(H101:H110)</f>
        <v>3.0634600000000001</v>
      </c>
      <c r="I111" s="46">
        <f>SUM(I101:I110)</f>
        <v>5615.322180000001</v>
      </c>
    </row>
    <row r="112" spans="1:11" x14ac:dyDescent="0.25">
      <c r="F112" s="54"/>
      <c r="H112" s="68"/>
    </row>
    <row r="113" spans="1:11" x14ac:dyDescent="0.25">
      <c r="A113" s="5" t="s">
        <v>105</v>
      </c>
      <c r="C113" s="71">
        <f>+F124</f>
        <v>15.35</v>
      </c>
      <c r="D113" s="71"/>
    </row>
    <row r="114" spans="1:11" x14ac:dyDescent="0.25">
      <c r="A114" s="5" t="s">
        <v>106</v>
      </c>
      <c r="C114" s="71">
        <f>+B78+J93+H98+H111</f>
        <v>10.750549392975273</v>
      </c>
    </row>
    <row r="115" spans="1:11" x14ac:dyDescent="0.25">
      <c r="A115" s="5" t="s">
        <v>107</v>
      </c>
      <c r="C115" s="71">
        <f>+C113-C114</f>
        <v>4.5994506070247265</v>
      </c>
    </row>
    <row r="116" spans="1:11" x14ac:dyDescent="0.25">
      <c r="A116" s="5"/>
      <c r="C116" s="72">
        <f>+C115/C114</f>
        <v>0.42783400539791422</v>
      </c>
    </row>
    <row r="117" spans="1:11" x14ac:dyDescent="0.25">
      <c r="A117" s="5"/>
      <c r="C117" s="25"/>
    </row>
    <row r="118" spans="1:11" x14ac:dyDescent="0.25">
      <c r="A118" s="5"/>
      <c r="C118" s="25"/>
    </row>
    <row r="119" spans="1:11" ht="15.75" x14ac:dyDescent="0.25">
      <c r="A119" s="3" t="s">
        <v>108</v>
      </c>
      <c r="B119" s="17"/>
    </row>
    <row r="120" spans="1:11" x14ac:dyDescent="0.25">
      <c r="A120" s="4" t="s">
        <v>109</v>
      </c>
      <c r="B120" s="17"/>
      <c r="C120" s="46">
        <f>((H12+F124)*C26)*F126</f>
        <v>0</v>
      </c>
    </row>
    <row r="121" spans="1:11" x14ac:dyDescent="0.25">
      <c r="A121" s="4" t="s">
        <v>110</v>
      </c>
      <c r="B121" s="12" t="s">
        <v>111</v>
      </c>
      <c r="C121" s="46">
        <v>500</v>
      </c>
    </row>
    <row r="122" spans="1:11" x14ac:dyDescent="0.25">
      <c r="A122" s="4" t="s">
        <v>112</v>
      </c>
      <c r="B122" s="17"/>
      <c r="C122" s="46">
        <f>((+F124*C26)*0.8)*0.12/4</f>
        <v>597.54480000000012</v>
      </c>
    </row>
    <row r="123" spans="1:11" x14ac:dyDescent="0.25">
      <c r="A123" s="4" t="s">
        <v>113</v>
      </c>
      <c r="B123" s="12"/>
      <c r="C123" s="73">
        <f>+B123*100</f>
        <v>0</v>
      </c>
    </row>
    <row r="124" spans="1:11" x14ac:dyDescent="0.25">
      <c r="A124" s="4" t="s">
        <v>114</v>
      </c>
      <c r="C124" s="73">
        <f>+B123*3*C76</f>
        <v>0</v>
      </c>
      <c r="E124" s="17" t="s">
        <v>115</v>
      </c>
      <c r="F124" s="74">
        <v>15.35</v>
      </c>
      <c r="I124" s="75">
        <f>+F124</f>
        <v>15.35</v>
      </c>
      <c r="J124" t="s">
        <v>115</v>
      </c>
    </row>
    <row r="125" spans="1:11" ht="15" customHeight="1" x14ac:dyDescent="0.25">
      <c r="A125" s="4" t="s">
        <v>116</v>
      </c>
      <c r="C125" s="4">
        <f>+B123*4*4*(F124+H12)</f>
        <v>0</v>
      </c>
      <c r="E125" s="17" t="s">
        <v>117</v>
      </c>
      <c r="F125" s="74"/>
      <c r="I125" s="202" t="s">
        <v>157</v>
      </c>
      <c r="J125" s="202"/>
      <c r="K125" s="202"/>
    </row>
    <row r="126" spans="1:11" x14ac:dyDescent="0.25">
      <c r="A126" s="4" t="s">
        <v>118</v>
      </c>
      <c r="C126" s="46">
        <v>500</v>
      </c>
      <c r="E126" s="17" t="s">
        <v>119</v>
      </c>
      <c r="F126" s="76"/>
      <c r="I126" s="202"/>
      <c r="J126" s="202"/>
      <c r="K126" s="202"/>
    </row>
    <row r="127" spans="1:11" ht="15" customHeight="1" x14ac:dyDescent="0.25">
      <c r="A127" s="4" t="s">
        <v>120</v>
      </c>
      <c r="C127" s="46">
        <f>SUM(C120:C126)</f>
        <v>1597.5448000000001</v>
      </c>
      <c r="E127" s="16" t="s">
        <v>121</v>
      </c>
      <c r="F127" s="76">
        <v>0.05</v>
      </c>
      <c r="I127" s="202"/>
      <c r="J127" s="202"/>
      <c r="K127" s="202"/>
    </row>
    <row r="128" spans="1:11" x14ac:dyDescent="0.25">
      <c r="C128" s="46"/>
      <c r="I128" s="202"/>
      <c r="J128" s="202"/>
      <c r="K128" s="202"/>
    </row>
    <row r="129" spans="1:11" ht="15.75" x14ac:dyDescent="0.25">
      <c r="A129" s="3" t="s">
        <v>122</v>
      </c>
      <c r="C129" s="46"/>
      <c r="E129" s="3" t="s">
        <v>123</v>
      </c>
      <c r="I129" s="202"/>
      <c r="J129" s="202"/>
      <c r="K129" s="202"/>
    </row>
    <row r="130" spans="1:11" x14ac:dyDescent="0.25">
      <c r="A130" s="4" t="s">
        <v>124</v>
      </c>
      <c r="C130" s="46">
        <f>+F124*C26</f>
        <v>24897.7</v>
      </c>
      <c r="E130" s="4" t="s">
        <v>125</v>
      </c>
      <c r="G130" s="46">
        <f>+B76</f>
        <v>4332.4229132569544</v>
      </c>
    </row>
    <row r="131" spans="1:11" x14ac:dyDescent="0.25">
      <c r="A131" s="4" t="s">
        <v>126</v>
      </c>
      <c r="C131" s="46">
        <f>+C130*F127</f>
        <v>1244.8850000000002</v>
      </c>
      <c r="E131" s="4" t="s">
        <v>127</v>
      </c>
      <c r="G131" s="46">
        <f>+K93+I98</f>
        <v>9194.4230200857</v>
      </c>
    </row>
    <row r="132" spans="1:11" x14ac:dyDescent="0.25">
      <c r="A132" s="4" t="s">
        <v>128</v>
      </c>
      <c r="C132" s="46">
        <f>SUM(C130:C131)</f>
        <v>26142.584999999999</v>
      </c>
      <c r="E132" s="4" t="s">
        <v>91</v>
      </c>
      <c r="G132" s="46">
        <f>+I111</f>
        <v>5615.322180000001</v>
      </c>
    </row>
    <row r="133" spans="1:11" x14ac:dyDescent="0.25">
      <c r="E133" s="4" t="s">
        <v>108</v>
      </c>
      <c r="G133" s="46">
        <f>+C127</f>
        <v>1597.5448000000001</v>
      </c>
    </row>
    <row r="134" spans="1:11" x14ac:dyDescent="0.25">
      <c r="E134" s="4" t="s">
        <v>129</v>
      </c>
      <c r="G134" s="46">
        <f>SUM(G130:G133)</f>
        <v>20739.712913342653</v>
      </c>
    </row>
    <row r="135" spans="1:11" x14ac:dyDescent="0.25">
      <c r="G135" s="46"/>
    </row>
    <row r="136" spans="1:11" x14ac:dyDescent="0.25">
      <c r="A136" s="4" t="s">
        <v>107</v>
      </c>
      <c r="B136" s="46">
        <f>+C132-G134</f>
        <v>5402.8720866573458</v>
      </c>
      <c r="G136" s="46"/>
    </row>
    <row r="137" spans="1:11" x14ac:dyDescent="0.25">
      <c r="A137" s="4" t="s">
        <v>130</v>
      </c>
      <c r="B137" s="46">
        <f>+C130*0.02</f>
        <v>497.95400000000001</v>
      </c>
      <c r="G137" s="46"/>
    </row>
    <row r="138" spans="1:11" x14ac:dyDescent="0.25">
      <c r="A138" s="4" t="s">
        <v>131</v>
      </c>
      <c r="B138" s="46">
        <f>+B136-B137</f>
        <v>4904.9180866573461</v>
      </c>
      <c r="C138" s="77">
        <f>+B138/G134</f>
        <v>0.23649884196332457</v>
      </c>
      <c r="G138" s="46"/>
    </row>
    <row r="139" spans="1:11" x14ac:dyDescent="0.25">
      <c r="G139" s="46"/>
    </row>
  </sheetData>
  <mergeCells count="4">
    <mergeCell ref="B6:C6"/>
    <mergeCell ref="B7:C7"/>
    <mergeCell ref="A44:B44"/>
    <mergeCell ref="I125:K12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139"/>
  <sheetViews>
    <sheetView tabSelected="1" topLeftCell="A37" zoomScale="132" zoomScaleNormal="132" workbookViewId="0">
      <selection activeCell="C50" sqref="C50"/>
    </sheetView>
  </sheetViews>
  <sheetFormatPr defaultColWidth="11.42578125" defaultRowHeight="15" x14ac:dyDescent="0.25"/>
  <cols>
    <col min="1" max="1" width="25.5703125" style="4" customWidth="1"/>
    <col min="2" max="2" width="20.42578125" style="4" customWidth="1"/>
    <col min="3" max="4" width="13.140625" style="4" customWidth="1"/>
    <col min="5" max="5" width="14.5703125" style="4" bestFit="1" customWidth="1"/>
    <col min="6" max="6" width="11.42578125" style="4"/>
    <col min="7" max="7" width="14.42578125" style="4" bestFit="1" customWidth="1"/>
    <col min="8" max="8" width="13.140625" style="4" bestFit="1" customWidth="1"/>
    <col min="9" max="9" width="14" style="4" customWidth="1"/>
    <col min="10" max="10" width="13.140625" style="4" bestFit="1" customWidth="1"/>
    <col min="11" max="11" width="11.85546875" style="4" bestFit="1" customWidth="1"/>
    <col min="12" max="16384" width="11.42578125" style="4"/>
  </cols>
  <sheetData>
    <row r="2" spans="1:13" ht="15.6" x14ac:dyDescent="0.3">
      <c r="A2" s="3" t="s">
        <v>0</v>
      </c>
      <c r="G2" s="5"/>
      <c r="H2" s="6"/>
      <c r="I2" s="80"/>
      <c r="J2" s="88"/>
      <c r="K2" s="88"/>
      <c r="L2" s="88"/>
      <c r="M2" s="88"/>
    </row>
    <row r="3" spans="1:13" ht="14.45" x14ac:dyDescent="0.3">
      <c r="I3"/>
      <c r="J3" s="88"/>
      <c r="K3" s="88"/>
      <c r="L3" s="88"/>
      <c r="M3" s="88"/>
    </row>
    <row r="4" spans="1:13" ht="14.45" x14ac:dyDescent="0.3">
      <c r="A4" s="7" t="s">
        <v>1</v>
      </c>
      <c r="B4" s="8" t="s">
        <v>2</v>
      </c>
      <c r="C4" s="9"/>
      <c r="E4" s="4" t="s">
        <v>3</v>
      </c>
      <c r="F4" s="10">
        <v>41194</v>
      </c>
      <c r="G4" s="89"/>
      <c r="I4"/>
      <c r="J4" s="88"/>
      <c r="K4" s="88"/>
      <c r="L4" s="88"/>
      <c r="M4" s="88"/>
    </row>
    <row r="5" spans="1:13" ht="14.45" x14ac:dyDescent="0.3">
      <c r="A5" s="7" t="s">
        <v>4</v>
      </c>
      <c r="B5" s="11"/>
      <c r="C5" s="9"/>
      <c r="E5" s="4" t="s">
        <v>5</v>
      </c>
      <c r="F5" s="10"/>
      <c r="I5"/>
      <c r="J5" s="93" t="s">
        <v>146</v>
      </c>
      <c r="K5" s="88"/>
      <c r="L5" s="88"/>
      <c r="M5" s="88"/>
    </row>
    <row r="6" spans="1:13" ht="14.45" x14ac:dyDescent="0.3">
      <c r="A6" s="7" t="s">
        <v>6</v>
      </c>
      <c r="B6" s="195" t="s">
        <v>144</v>
      </c>
      <c r="C6" s="196"/>
      <c r="I6"/>
      <c r="J6" s="93" t="s">
        <v>147</v>
      </c>
      <c r="K6" s="88"/>
      <c r="L6" s="88"/>
      <c r="M6" s="88"/>
    </row>
    <row r="7" spans="1:13" ht="14.45" x14ac:dyDescent="0.3">
      <c r="A7" s="4" t="s">
        <v>7</v>
      </c>
      <c r="B7" s="197" t="s">
        <v>145</v>
      </c>
      <c r="C7" s="198"/>
      <c r="I7"/>
      <c r="J7" s="87"/>
      <c r="K7"/>
      <c r="L7"/>
      <c r="M7"/>
    </row>
    <row r="8" spans="1:13" ht="14.45" x14ac:dyDescent="0.3">
      <c r="A8" s="4" t="s">
        <v>8</v>
      </c>
      <c r="B8" s="12" t="s">
        <v>9</v>
      </c>
      <c r="C8" s="13" t="s">
        <v>10</v>
      </c>
      <c r="E8" s="105" t="s">
        <v>11</v>
      </c>
      <c r="F8" s="12">
        <v>120</v>
      </c>
      <c r="G8" s="4" t="s">
        <v>12</v>
      </c>
      <c r="I8"/>
    </row>
    <row r="9" spans="1:13" x14ac:dyDescent="0.25">
      <c r="A9" s="4" t="s">
        <v>13</v>
      </c>
      <c r="B9" s="14" t="s">
        <v>150</v>
      </c>
      <c r="C9" s="15">
        <v>1</v>
      </c>
      <c r="D9" s="94">
        <v>100023</v>
      </c>
      <c r="E9" s="105" t="s">
        <v>14</v>
      </c>
      <c r="F9" s="12">
        <v>1</v>
      </c>
      <c r="G9" s="4" t="s">
        <v>15</v>
      </c>
      <c r="I9"/>
    </row>
    <row r="10" spans="1:13" ht="14.45" x14ac:dyDescent="0.3">
      <c r="B10" s="12"/>
      <c r="C10" s="15"/>
      <c r="E10" s="105" t="s">
        <v>16</v>
      </c>
      <c r="F10" s="12">
        <v>48</v>
      </c>
      <c r="G10" s="4" t="s">
        <v>15</v>
      </c>
      <c r="I10"/>
    </row>
    <row r="11" spans="1:13" ht="14.45" x14ac:dyDescent="0.3">
      <c r="B11" s="12"/>
      <c r="C11" s="15"/>
      <c r="E11" s="105" t="s">
        <v>17</v>
      </c>
      <c r="F11" s="16">
        <f>+F9*F10</f>
        <v>48</v>
      </c>
      <c r="G11" s="4" t="s">
        <v>15</v>
      </c>
      <c r="I11"/>
    </row>
    <row r="12" spans="1:13" ht="14.45" x14ac:dyDescent="0.3">
      <c r="D12" s="105"/>
      <c r="E12" s="16"/>
      <c r="G12" s="17"/>
      <c r="I12"/>
    </row>
    <row r="14" spans="1:13" ht="14.45" x14ac:dyDescent="0.3">
      <c r="A14" s="5" t="s">
        <v>18</v>
      </c>
      <c r="E14" s="18"/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  <c r="K14" s="18" t="s">
        <v>24</v>
      </c>
      <c r="L14" s="18" t="s">
        <v>25</v>
      </c>
    </row>
    <row r="15" spans="1:13" ht="14.45" x14ac:dyDescent="0.3">
      <c r="A15" s="19">
        <v>1.05</v>
      </c>
      <c r="C15" s="20"/>
      <c r="E15" s="21"/>
      <c r="F15" s="21"/>
      <c r="G15" s="21"/>
      <c r="H15" s="21"/>
    </row>
    <row r="16" spans="1:13" ht="14.45" x14ac:dyDescent="0.3">
      <c r="A16" s="22" t="s">
        <v>148</v>
      </c>
      <c r="B16" s="23">
        <f>+$A$15</f>
        <v>1.05</v>
      </c>
      <c r="C16" s="24">
        <f>SUM(E16:K16)</f>
        <v>794</v>
      </c>
      <c r="D16" s="25">
        <f>+C16/$C$26</f>
        <v>0.48951911220715166</v>
      </c>
      <c r="E16" s="12"/>
      <c r="F16" s="12"/>
      <c r="G16" s="12"/>
      <c r="H16" s="12">
        <f>492+253+49</f>
        <v>794</v>
      </c>
      <c r="I16" s="12"/>
      <c r="J16" s="12"/>
      <c r="K16" s="12"/>
      <c r="L16" s="12"/>
    </row>
    <row r="17" spans="1:12" ht="14.45" x14ac:dyDescent="0.3">
      <c r="A17" s="22" t="s">
        <v>149</v>
      </c>
      <c r="B17" s="23">
        <f t="shared" ref="B17:B25" si="0">+$A$15</f>
        <v>1.05</v>
      </c>
      <c r="C17" s="24">
        <f>SUM(E17:K17)</f>
        <v>828</v>
      </c>
      <c r="D17" s="25">
        <f>+C17/$C$26</f>
        <v>0.51048088779284828</v>
      </c>
      <c r="E17" s="12"/>
      <c r="F17" s="12"/>
      <c r="G17" s="12"/>
      <c r="H17" s="12">
        <f>+H16+34</f>
        <v>828</v>
      </c>
      <c r="I17" s="12"/>
      <c r="J17" s="12"/>
      <c r="K17" s="12"/>
      <c r="L17" s="12"/>
    </row>
    <row r="18" spans="1:12" ht="14.45" x14ac:dyDescent="0.3">
      <c r="A18" s="22"/>
      <c r="B18" s="23">
        <f t="shared" si="0"/>
        <v>1.05</v>
      </c>
      <c r="C18" s="24">
        <f>SUM(E18:K18)</f>
        <v>0</v>
      </c>
      <c r="D18" s="25">
        <f>+C18/$C$26</f>
        <v>0</v>
      </c>
      <c r="E18" s="12"/>
      <c r="F18" s="12"/>
      <c r="G18" s="12"/>
      <c r="H18" s="12"/>
      <c r="I18" s="12"/>
      <c r="J18" s="12"/>
      <c r="K18" s="12"/>
      <c r="L18" s="12"/>
    </row>
    <row r="19" spans="1:12" ht="14.45" x14ac:dyDescent="0.3">
      <c r="A19" s="22"/>
      <c r="B19" s="23">
        <f t="shared" si="0"/>
        <v>1.05</v>
      </c>
      <c r="C19" s="24">
        <f>SUM(E19:K19)</f>
        <v>0</v>
      </c>
      <c r="D19" s="25">
        <f>+C19/$C$26</f>
        <v>0</v>
      </c>
      <c r="E19" s="12"/>
      <c r="F19" s="12"/>
      <c r="G19" s="12"/>
      <c r="H19" s="90"/>
      <c r="I19" s="12"/>
      <c r="J19" s="12"/>
      <c r="K19" s="12"/>
      <c r="L19" s="12"/>
    </row>
    <row r="20" spans="1:12" ht="14.45" x14ac:dyDescent="0.3">
      <c r="A20" s="79"/>
      <c r="B20" s="23">
        <f t="shared" si="0"/>
        <v>1.05</v>
      </c>
      <c r="C20" s="24">
        <f>SUM(E20:K20)</f>
        <v>0</v>
      </c>
      <c r="D20" s="25">
        <f>+C20/$C$26</f>
        <v>0</v>
      </c>
      <c r="E20" s="12"/>
      <c r="F20" s="12"/>
      <c r="G20" s="12"/>
      <c r="H20" s="12"/>
      <c r="I20" s="12"/>
      <c r="J20" s="12"/>
      <c r="K20" s="12"/>
      <c r="L20" s="12"/>
    </row>
    <row r="21" spans="1:12" ht="14.45" x14ac:dyDescent="0.3">
      <c r="A21" s="26"/>
      <c r="B21" s="23">
        <f t="shared" si="0"/>
        <v>1.05</v>
      </c>
      <c r="C21" s="24"/>
      <c r="D21" s="25"/>
      <c r="E21" s="12"/>
      <c r="F21" s="12"/>
      <c r="G21" s="12"/>
      <c r="H21" s="12"/>
      <c r="I21" s="12"/>
      <c r="J21" s="12"/>
      <c r="K21" s="12"/>
      <c r="L21" s="12"/>
    </row>
    <row r="22" spans="1:12" ht="14.45" x14ac:dyDescent="0.3">
      <c r="A22" s="26"/>
      <c r="B22" s="23">
        <f t="shared" si="0"/>
        <v>1.05</v>
      </c>
      <c r="C22" s="24"/>
      <c r="D22" s="25"/>
      <c r="E22" s="12"/>
      <c r="F22" s="12"/>
      <c r="G22" s="12"/>
      <c r="H22" s="12"/>
      <c r="I22" s="12"/>
      <c r="J22" s="12"/>
      <c r="K22" s="12"/>
      <c r="L22" s="12"/>
    </row>
    <row r="23" spans="1:12" ht="14.45" x14ac:dyDescent="0.3">
      <c r="A23" s="26"/>
      <c r="B23" s="23">
        <f t="shared" si="0"/>
        <v>1.05</v>
      </c>
      <c r="C23" s="24"/>
      <c r="D23" s="25"/>
      <c r="E23" s="12"/>
      <c r="F23" s="12"/>
      <c r="G23" s="12"/>
      <c r="H23" s="12"/>
      <c r="I23" s="12"/>
      <c r="J23" s="12"/>
      <c r="K23" s="12"/>
      <c r="L23" s="12"/>
    </row>
    <row r="24" spans="1:12" ht="14.45" x14ac:dyDescent="0.3">
      <c r="A24" s="26"/>
      <c r="B24" s="23">
        <f t="shared" si="0"/>
        <v>1.05</v>
      </c>
      <c r="C24" s="24"/>
      <c r="D24" s="25"/>
      <c r="E24" s="12"/>
      <c r="F24" s="12"/>
      <c r="G24" s="12"/>
      <c r="H24" s="12"/>
      <c r="I24" s="12"/>
      <c r="J24" s="12"/>
      <c r="K24" s="12"/>
      <c r="L24" s="12"/>
    </row>
    <row r="25" spans="1:12" ht="14.45" x14ac:dyDescent="0.3">
      <c r="A25" s="26"/>
      <c r="B25" s="23">
        <f t="shared" si="0"/>
        <v>1.05</v>
      </c>
      <c r="C25" s="24"/>
      <c r="D25" s="25"/>
      <c r="E25" s="12"/>
      <c r="F25" s="12"/>
      <c r="G25" s="12"/>
      <c r="H25" s="12"/>
      <c r="I25" s="12"/>
      <c r="J25" s="12"/>
      <c r="K25" s="12"/>
      <c r="L25" s="12"/>
    </row>
    <row r="26" spans="1:12" ht="14.45" x14ac:dyDescent="0.3">
      <c r="A26" s="4" t="s">
        <v>26</v>
      </c>
      <c r="C26" s="27">
        <f>SUM(C16:C25)</f>
        <v>1622</v>
      </c>
      <c r="D26" s="28">
        <f>SUM(D16:D25)</f>
        <v>1</v>
      </c>
      <c r="E26" s="29"/>
      <c r="F26" s="29"/>
      <c r="G26" s="29"/>
      <c r="H26" s="29">
        <f>SUM(H16:H25)</f>
        <v>1622</v>
      </c>
      <c r="I26" s="29"/>
      <c r="J26" s="29"/>
      <c r="K26" s="29"/>
      <c r="L26" s="29"/>
    </row>
    <row r="27" spans="1:12" ht="14.45" x14ac:dyDescent="0.3">
      <c r="C27" s="27"/>
      <c r="E27" s="27"/>
      <c r="F27" s="27"/>
      <c r="G27" s="27"/>
      <c r="H27" s="27"/>
    </row>
    <row r="28" spans="1:12" ht="14.45" x14ac:dyDescent="0.3">
      <c r="A28" s="30" t="s">
        <v>27</v>
      </c>
      <c r="D28" s="13" t="s">
        <v>28</v>
      </c>
      <c r="E28" s="31">
        <f>E14</f>
        <v>0</v>
      </c>
      <c r="F28" s="31" t="str">
        <f t="shared" ref="F28:L28" si="1">F14</f>
        <v>XS</v>
      </c>
      <c r="G28" s="31" t="str">
        <f t="shared" si="1"/>
        <v>S</v>
      </c>
      <c r="H28" s="31" t="str">
        <f t="shared" si="1"/>
        <v>M</v>
      </c>
      <c r="I28" s="31" t="str">
        <f t="shared" si="1"/>
        <v>L</v>
      </c>
      <c r="J28" s="31" t="str">
        <f t="shared" si="1"/>
        <v>XL</v>
      </c>
      <c r="K28" s="31" t="str">
        <f t="shared" si="1"/>
        <v>XXL</v>
      </c>
      <c r="L28" s="31" t="str">
        <f t="shared" si="1"/>
        <v>XXXL</v>
      </c>
    </row>
    <row r="29" spans="1:12" ht="14.45" x14ac:dyDescent="0.3">
      <c r="A29" s="4" t="str">
        <f>+A16</f>
        <v>EVENING BLUE</v>
      </c>
      <c r="B29" s="32">
        <f>IF(A29="white",$A$15*1.1,$A$15*1.05)</f>
        <v>1.1025</v>
      </c>
      <c r="C29" s="24">
        <f>SUM(E29:K29)</f>
        <v>876</v>
      </c>
      <c r="D29" s="25">
        <f>+C29/$C$39</f>
        <v>0.47790507364975449</v>
      </c>
      <c r="E29" s="17"/>
      <c r="F29" s="17"/>
      <c r="G29" s="17"/>
      <c r="H29" s="17">
        <f>ROUNDUP(+H16*$B29,0)</f>
        <v>876</v>
      </c>
      <c r="I29" s="17"/>
      <c r="J29" s="17"/>
      <c r="K29" s="17"/>
      <c r="L29" s="17"/>
    </row>
    <row r="30" spans="1:12" ht="14.45" x14ac:dyDescent="0.3">
      <c r="A30" s="4" t="str">
        <f>+A17</f>
        <v>WHITE</v>
      </c>
      <c r="B30" s="32">
        <f t="shared" ref="B30:B38" si="2">IF(A30="white",$A$15*1.1,$A$15*1.05)</f>
        <v>1.1550000000000002</v>
      </c>
      <c r="C30" s="24">
        <f>SUM(E30:K30)</f>
        <v>957</v>
      </c>
      <c r="D30" s="25">
        <f>+C30/$C$39</f>
        <v>0.52209492635024546</v>
      </c>
      <c r="E30" s="17"/>
      <c r="F30" s="17"/>
      <c r="G30" s="17"/>
      <c r="H30" s="17">
        <f>ROUNDUP(+H17*$B30,0)</f>
        <v>957</v>
      </c>
      <c r="I30" s="17"/>
      <c r="J30" s="17"/>
      <c r="K30" s="17"/>
      <c r="L30" s="17"/>
    </row>
    <row r="31" spans="1:12" ht="14.45" x14ac:dyDescent="0.3">
      <c r="A31" s="4">
        <f>+A18</f>
        <v>0</v>
      </c>
      <c r="B31" s="32">
        <f t="shared" si="2"/>
        <v>1.1025</v>
      </c>
      <c r="C31" s="24">
        <f>SUM(E31:K31)</f>
        <v>0</v>
      </c>
      <c r="D31" s="25">
        <f>+C31/$C$39</f>
        <v>0</v>
      </c>
      <c r="E31" s="17"/>
      <c r="F31" s="17"/>
      <c r="G31" s="17"/>
      <c r="H31" s="17">
        <f>ROUNDUP(+H18*$B31,0)</f>
        <v>0</v>
      </c>
      <c r="I31" s="17"/>
      <c r="J31" s="17"/>
      <c r="K31" s="17"/>
      <c r="L31" s="17"/>
    </row>
    <row r="32" spans="1:12" x14ac:dyDescent="0.25">
      <c r="A32"/>
      <c r="B32" s="32">
        <f t="shared" si="2"/>
        <v>1.1025</v>
      </c>
      <c r="C32" s="24">
        <f>SUM(E32:K32)</f>
        <v>0</v>
      </c>
      <c r="D32" s="25">
        <f>+C32/$C$39</f>
        <v>0</v>
      </c>
      <c r="E32" s="17"/>
      <c r="F32" s="17"/>
      <c r="G32" s="17"/>
      <c r="H32" s="17">
        <f>ROUNDUP(+H19*$B32,0)</f>
        <v>0</v>
      </c>
      <c r="I32" s="17"/>
      <c r="J32" s="17"/>
      <c r="K32" s="17"/>
      <c r="L32" s="17"/>
    </row>
    <row r="33" spans="1:12" x14ac:dyDescent="0.25">
      <c r="A33" s="64">
        <f>+A20</f>
        <v>0</v>
      </c>
      <c r="B33" s="32">
        <f t="shared" si="2"/>
        <v>1.1025</v>
      </c>
      <c r="C33" s="24">
        <f>SUM(E33:K33)</f>
        <v>0</v>
      </c>
      <c r="D33" s="25">
        <f>+C33/$C$39</f>
        <v>0</v>
      </c>
      <c r="E33" s="17"/>
      <c r="F33" s="17"/>
      <c r="G33" s="17"/>
      <c r="H33" s="17">
        <f>ROUNDUP(+H20*$B33,0)</f>
        <v>0</v>
      </c>
      <c r="I33" s="17"/>
      <c r="J33" s="17"/>
      <c r="K33" s="17"/>
      <c r="L33" s="17"/>
    </row>
    <row r="34" spans="1:12" x14ac:dyDescent="0.25">
      <c r="B34" s="32">
        <f t="shared" si="2"/>
        <v>1.1025</v>
      </c>
      <c r="C34" s="24"/>
      <c r="D34" s="25"/>
      <c r="E34" s="17"/>
      <c r="F34" s="17"/>
      <c r="G34" s="17"/>
      <c r="H34" s="17"/>
      <c r="I34" s="17"/>
      <c r="J34" s="17"/>
      <c r="K34" s="17"/>
      <c r="L34" s="17"/>
    </row>
    <row r="35" spans="1:12" x14ac:dyDescent="0.25">
      <c r="B35" s="32">
        <f t="shared" si="2"/>
        <v>1.1025</v>
      </c>
      <c r="C35" s="24"/>
      <c r="D35" s="25"/>
      <c r="E35" s="17"/>
      <c r="F35" s="17"/>
      <c r="G35" s="17"/>
      <c r="H35" s="17"/>
      <c r="I35" s="17"/>
      <c r="J35" s="17"/>
      <c r="K35" s="17"/>
      <c r="L35" s="17"/>
    </row>
    <row r="36" spans="1:12" x14ac:dyDescent="0.25">
      <c r="B36" s="32">
        <f t="shared" si="2"/>
        <v>1.1025</v>
      </c>
      <c r="C36" s="24"/>
      <c r="D36" s="25"/>
      <c r="E36" s="17"/>
      <c r="F36" s="17"/>
      <c r="G36" s="17"/>
      <c r="H36" s="17"/>
      <c r="I36" s="17"/>
      <c r="J36" s="17"/>
      <c r="K36" s="17"/>
      <c r="L36" s="17"/>
    </row>
    <row r="37" spans="1:12" x14ac:dyDescent="0.25">
      <c r="B37" s="32">
        <f t="shared" si="2"/>
        <v>1.1025</v>
      </c>
      <c r="C37" s="24"/>
      <c r="D37" s="25"/>
      <c r="E37" s="17"/>
      <c r="F37" s="17"/>
      <c r="G37" s="17"/>
      <c r="H37" s="17"/>
      <c r="I37" s="17"/>
      <c r="J37" s="17"/>
      <c r="K37" s="17"/>
      <c r="L37" s="17"/>
    </row>
    <row r="38" spans="1:12" x14ac:dyDescent="0.25">
      <c r="B38" s="32">
        <f t="shared" si="2"/>
        <v>1.1025</v>
      </c>
      <c r="C38" s="24"/>
      <c r="D38" s="25"/>
      <c r="E38" s="17"/>
      <c r="F38" s="17"/>
      <c r="G38" s="17"/>
      <c r="H38" s="17"/>
      <c r="I38" s="17"/>
      <c r="J38" s="17"/>
      <c r="K38" s="17"/>
      <c r="L38" s="17"/>
    </row>
    <row r="39" spans="1:12" x14ac:dyDescent="0.25">
      <c r="C39" s="27">
        <f>SUM(C29:C38)</f>
        <v>1833</v>
      </c>
      <c r="E39" s="29"/>
      <c r="F39" s="29"/>
      <c r="G39" s="29"/>
      <c r="H39" s="29">
        <f>SUM(H29:H38)</f>
        <v>1833</v>
      </c>
      <c r="I39" s="29"/>
      <c r="J39" s="29"/>
      <c r="K39" s="29"/>
      <c r="L39" s="17"/>
    </row>
    <row r="41" spans="1:12" x14ac:dyDescent="0.25">
      <c r="A41" s="4" t="s">
        <v>29</v>
      </c>
      <c r="B41" s="33" t="s">
        <v>30</v>
      </c>
      <c r="D41" s="4" t="s">
        <v>31</v>
      </c>
      <c r="E41" s="34">
        <v>1.88</v>
      </c>
      <c r="G41" s="4" t="s">
        <v>32</v>
      </c>
      <c r="H41" s="35">
        <f>7.31+7.31</f>
        <v>14.62</v>
      </c>
      <c r="I41" s="4" t="s">
        <v>33</v>
      </c>
    </row>
    <row r="42" spans="1:12" x14ac:dyDescent="0.25">
      <c r="A42" s="4" t="s">
        <v>34</v>
      </c>
      <c r="B42" s="36"/>
      <c r="D42" s="4" t="s">
        <v>35</v>
      </c>
      <c r="E42" s="106">
        <f>3.73/4</f>
        <v>0.9325</v>
      </c>
      <c r="G42" s="4" t="s">
        <v>36</v>
      </c>
      <c r="H42" s="35"/>
    </row>
    <row r="43" spans="1:12" x14ac:dyDescent="0.25">
      <c r="G43" s="4" t="s">
        <v>11</v>
      </c>
      <c r="H43" s="35"/>
      <c r="I43" s="4" t="s">
        <v>33</v>
      </c>
    </row>
    <row r="44" spans="1:12" x14ac:dyDescent="0.25">
      <c r="A44" s="199" t="s">
        <v>37</v>
      </c>
      <c r="B44" s="200"/>
      <c r="C44" s="37">
        <f>+E42*E41*F8</f>
        <v>210.37199999999999</v>
      </c>
      <c r="D44" s="4" t="s">
        <v>38</v>
      </c>
      <c r="E44" s="17">
        <f>+E41*E42</f>
        <v>1.7530999999999999</v>
      </c>
      <c r="F44" s="4" t="s">
        <v>39</v>
      </c>
      <c r="G44">
        <f>+E42*1.09363</f>
        <v>1.019809975</v>
      </c>
      <c r="H44" s="2" t="s">
        <v>132</v>
      </c>
      <c r="I44"/>
      <c r="J44" s="4">
        <f>+G44*1.1</f>
        <v>1.1217909725000001</v>
      </c>
    </row>
    <row r="45" spans="1:12" x14ac:dyDescent="0.25">
      <c r="D45" s="38" t="s">
        <v>40</v>
      </c>
      <c r="E45" s="17">
        <f>ROUNDDOWN(1000/(+E41*F8),2)</f>
        <v>4.43</v>
      </c>
      <c r="F45" s="4" t="s">
        <v>41</v>
      </c>
      <c r="G45" s="78"/>
      <c r="H45" t="s">
        <v>133</v>
      </c>
      <c r="I45"/>
    </row>
    <row r="46" spans="1:12" ht="15.75" x14ac:dyDescent="0.25">
      <c r="A46" s="3" t="s">
        <v>42</v>
      </c>
      <c r="D46" s="39" t="s">
        <v>43</v>
      </c>
      <c r="E46" s="40">
        <v>0.71319999999999995</v>
      </c>
      <c r="G46" s="78">
        <f>+C76/E45</f>
        <v>2.8267129356407001</v>
      </c>
      <c r="H46" t="s">
        <v>134</v>
      </c>
      <c r="I46">
        <f>+G46*1.2</f>
        <v>3.3920555227688403</v>
      </c>
    </row>
    <row r="47" spans="1:12" x14ac:dyDescent="0.25">
      <c r="A47" s="5"/>
    </row>
    <row r="48" spans="1:12" x14ac:dyDescent="0.25">
      <c r="A48" s="5" t="s">
        <v>44</v>
      </c>
      <c r="G48" s="4" t="s">
        <v>45</v>
      </c>
      <c r="H48" s="41">
        <f>+C76</f>
        <v>12.522338304888301</v>
      </c>
    </row>
    <row r="49" spans="1:11" x14ac:dyDescent="0.25">
      <c r="A49" s="4" t="s">
        <v>46</v>
      </c>
      <c r="C49" s="32">
        <v>0.1</v>
      </c>
      <c r="D49" s="42" t="s">
        <v>47</v>
      </c>
      <c r="E49" s="42" t="s">
        <v>26</v>
      </c>
      <c r="G49" s="4" t="s">
        <v>40</v>
      </c>
      <c r="H49" s="43">
        <f>+E45</f>
        <v>4.43</v>
      </c>
      <c r="I49" s="17" t="s">
        <v>48</v>
      </c>
    </row>
    <row r="50" spans="1:11" x14ac:dyDescent="0.25">
      <c r="A50" s="4" t="str">
        <f>+B9</f>
        <v>VISCOSA BORTEX</v>
      </c>
      <c r="B50" s="44">
        <f>ROUNDUP(((C44+H41)*C39*C9)/1000,0)</f>
        <v>413</v>
      </c>
      <c r="C50" s="44">
        <f>ROUNDUP(((+B50*100)/(1-$C$49))/100,0)</f>
        <v>459</v>
      </c>
      <c r="D50" s="45"/>
      <c r="E50" s="46">
        <f>+C50*D50</f>
        <v>0</v>
      </c>
      <c r="G50" s="4" t="s">
        <v>49</v>
      </c>
      <c r="H50" s="47">
        <f>+H48/H49</f>
        <v>2.8267129356407001</v>
      </c>
      <c r="I50" s="38" t="s">
        <v>50</v>
      </c>
      <c r="J50" s="4">
        <f>+H50*0.9144</f>
        <v>2.5847463083498563</v>
      </c>
      <c r="K50" s="48">
        <f>+J50*1.2</f>
        <v>3.1016955700198277</v>
      </c>
    </row>
    <row r="51" spans="1:11" x14ac:dyDescent="0.25">
      <c r="A51" s="4">
        <f>+B10</f>
        <v>0</v>
      </c>
      <c r="B51" s="44">
        <f>+((C44+H41)*C39*C10)/1000</f>
        <v>0</v>
      </c>
      <c r="C51" s="44">
        <f>ROUNDUP(((+B51*100)/(1-$C$49))/100,0)</f>
        <v>0</v>
      </c>
      <c r="D51" s="45"/>
      <c r="E51" s="46">
        <f>+C51*D51</f>
        <v>0</v>
      </c>
      <c r="G51" s="4" t="s">
        <v>51</v>
      </c>
      <c r="H51" s="41">
        <f>+E41</f>
        <v>1.88</v>
      </c>
      <c r="I51" s="17" t="s">
        <v>52</v>
      </c>
      <c r="J51" s="49">
        <f>+H51/2.544*100</f>
        <v>73.899371069182379</v>
      </c>
      <c r="K51" s="4" t="s">
        <v>53</v>
      </c>
    </row>
    <row r="52" spans="1:11" x14ac:dyDescent="0.25">
      <c r="A52" s="4">
        <f>+B11</f>
        <v>0</v>
      </c>
      <c r="B52" s="27">
        <f>+(C44*C39*C11)/1000</f>
        <v>0</v>
      </c>
      <c r="C52" s="27">
        <f>(+B52*C49)+B52</f>
        <v>0</v>
      </c>
      <c r="D52" s="45"/>
      <c r="E52" s="46">
        <f>+C52*D52</f>
        <v>0</v>
      </c>
      <c r="G52" s="4" t="s">
        <v>54</v>
      </c>
      <c r="H52" s="4">
        <v>1</v>
      </c>
    </row>
    <row r="53" spans="1:11" x14ac:dyDescent="0.25">
      <c r="A53" s="4" t="s">
        <v>26</v>
      </c>
      <c r="B53" s="44">
        <f>SUM(B50:B52)</f>
        <v>413</v>
      </c>
      <c r="C53" s="44">
        <f>SUM(C50:C52)</f>
        <v>459</v>
      </c>
      <c r="E53" s="46">
        <f>SUM(E49:E52)</f>
        <v>0</v>
      </c>
    </row>
    <row r="54" spans="1:11" x14ac:dyDescent="0.25">
      <c r="C54" s="27"/>
      <c r="E54" s="46"/>
    </row>
    <row r="55" spans="1:11" x14ac:dyDescent="0.25">
      <c r="A55" s="5" t="s">
        <v>55</v>
      </c>
      <c r="B55" s="45"/>
      <c r="C55" s="27"/>
      <c r="E55" s="46"/>
    </row>
    <row r="56" spans="1:11" x14ac:dyDescent="0.25">
      <c r="C56" s="27"/>
    </row>
    <row r="57" spans="1:11" x14ac:dyDescent="0.25">
      <c r="A57" s="30" t="s">
        <v>56</v>
      </c>
      <c r="B57" s="50" t="s">
        <v>47</v>
      </c>
      <c r="C57" s="51" t="s">
        <v>57</v>
      </c>
      <c r="D57" s="50" t="s">
        <v>26</v>
      </c>
      <c r="E57" s="50" t="s">
        <v>58</v>
      </c>
      <c r="G57" s="52" t="s">
        <v>59</v>
      </c>
    </row>
    <row r="58" spans="1:11" x14ac:dyDescent="0.25">
      <c r="C58" s="27"/>
    </row>
    <row r="59" spans="1:11" x14ac:dyDescent="0.25">
      <c r="A59" s="4" t="str">
        <f>+A16</f>
        <v>EVENING BLUE</v>
      </c>
      <c r="B59" s="84">
        <f>3.2+8+0.9</f>
        <v>12.1</v>
      </c>
      <c r="C59" s="44">
        <f>+D29*$C$53</f>
        <v>219.35842880523731</v>
      </c>
      <c r="D59" s="46">
        <f>+B59*C59</f>
        <v>2654.2369885433714</v>
      </c>
      <c r="E59" s="45"/>
      <c r="G59" t="s">
        <v>151</v>
      </c>
    </row>
    <row r="60" spans="1:11" x14ac:dyDescent="0.25">
      <c r="A60" s="4" t="str">
        <f>+A17</f>
        <v>WHITE</v>
      </c>
      <c r="B60" s="84">
        <f>1.6+8+0.9</f>
        <v>10.5</v>
      </c>
      <c r="C60" s="44">
        <f>+D30*$C$53</f>
        <v>239.64157119476266</v>
      </c>
      <c r="D60" s="46">
        <f>+B60*C60</f>
        <v>2516.2364975450078</v>
      </c>
      <c r="E60" s="45"/>
      <c r="G60" t="s">
        <v>152</v>
      </c>
    </row>
    <row r="61" spans="1:11" x14ac:dyDescent="0.25">
      <c r="A61" s="4">
        <f>+A18</f>
        <v>0</v>
      </c>
      <c r="B61" s="84"/>
      <c r="C61" s="44">
        <f>+D31*$C$53</f>
        <v>0</v>
      </c>
      <c r="D61" s="46">
        <f>+B61*C61</f>
        <v>0</v>
      </c>
      <c r="E61" s="45"/>
    </row>
    <row r="62" spans="1:11" x14ac:dyDescent="0.25">
      <c r="A62">
        <f>+A19</f>
        <v>0</v>
      </c>
      <c r="B62" s="84"/>
      <c r="C62" s="44">
        <f>+D32*$C$53</f>
        <v>0</v>
      </c>
      <c r="D62" s="46">
        <f>+B62*C62</f>
        <v>0</v>
      </c>
      <c r="E62" s="45"/>
    </row>
    <row r="63" spans="1:11" x14ac:dyDescent="0.25">
      <c r="A63">
        <f>+A20</f>
        <v>0</v>
      </c>
      <c r="B63" s="84"/>
      <c r="C63" s="44">
        <f>+D33*$C$53</f>
        <v>0</v>
      </c>
      <c r="D63" s="46">
        <f>+B63*C63</f>
        <v>0</v>
      </c>
      <c r="E63" s="45"/>
    </row>
    <row r="64" spans="1:11" x14ac:dyDescent="0.25">
      <c r="B64" s="45"/>
      <c r="C64" s="44"/>
      <c r="D64" s="46"/>
      <c r="E64" s="45"/>
    </row>
    <row r="65" spans="1:11" x14ac:dyDescent="0.25">
      <c r="B65" s="45"/>
      <c r="C65" s="27"/>
      <c r="D65" s="46"/>
      <c r="E65" s="45"/>
    </row>
    <row r="66" spans="1:11" x14ac:dyDescent="0.25">
      <c r="B66" s="45"/>
      <c r="C66" s="27"/>
      <c r="D66" s="46"/>
      <c r="E66" s="45"/>
    </row>
    <row r="67" spans="1:11" x14ac:dyDescent="0.25">
      <c r="B67" s="45"/>
      <c r="C67" s="27"/>
      <c r="D67" s="46"/>
      <c r="E67" s="45"/>
    </row>
    <row r="68" spans="1:11" x14ac:dyDescent="0.25">
      <c r="B68" s="45"/>
      <c r="C68" s="27"/>
      <c r="D68" s="46"/>
      <c r="E68" s="45"/>
    </row>
    <row r="69" spans="1:11" x14ac:dyDescent="0.25">
      <c r="A69" s="4" t="s">
        <v>26</v>
      </c>
      <c r="C69" s="44">
        <f>SUM(C59:C68)</f>
        <v>459</v>
      </c>
      <c r="D69" s="46">
        <f>SUM(D59:D68)</f>
        <v>5170.4734860883791</v>
      </c>
      <c r="E69" s="27"/>
      <c r="F69" s="44"/>
    </row>
    <row r="70" spans="1:11" x14ac:dyDescent="0.25">
      <c r="E70" s="53"/>
    </row>
    <row r="71" spans="1:11" x14ac:dyDescent="0.25">
      <c r="A71" s="5" t="s">
        <v>49</v>
      </c>
    </row>
    <row r="73" spans="1:11" x14ac:dyDescent="0.25">
      <c r="A73" s="4" t="s">
        <v>44</v>
      </c>
      <c r="B73" s="46">
        <f>+E53</f>
        <v>0</v>
      </c>
    </row>
    <row r="74" spans="1:11" x14ac:dyDescent="0.25">
      <c r="A74" s="4" t="s">
        <v>60</v>
      </c>
      <c r="B74" s="46">
        <f>+(B55*C53)</f>
        <v>0</v>
      </c>
    </row>
    <row r="75" spans="1:11" x14ac:dyDescent="0.25">
      <c r="A75" s="4" t="s">
        <v>61</v>
      </c>
      <c r="B75" s="46">
        <f>+D69</f>
        <v>5170.4734860883791</v>
      </c>
    </row>
    <row r="76" spans="1:11" x14ac:dyDescent="0.25">
      <c r="A76" s="4" t="s">
        <v>26</v>
      </c>
      <c r="B76" s="46">
        <f>IF(F8&gt;0,B73+B74+B75,E44*C39*J50)</f>
        <v>5170.4734860883791</v>
      </c>
      <c r="C76" s="54">
        <f>+B76/(B53-C49)</f>
        <v>12.522338304888301</v>
      </c>
      <c r="D76" s="4" t="s">
        <v>62</v>
      </c>
    </row>
    <row r="78" spans="1:11" x14ac:dyDescent="0.25">
      <c r="A78" s="5" t="s">
        <v>63</v>
      </c>
      <c r="B78" s="55">
        <f>IF(B76&gt;0,B76/C26,J50*E44)</f>
        <v>3.187714849622922</v>
      </c>
    </row>
    <row r="80" spans="1:11" x14ac:dyDescent="0.25">
      <c r="A80" s="31" t="s">
        <v>64</v>
      </c>
      <c r="B80" s="31" t="s">
        <v>65</v>
      </c>
      <c r="C80" s="31" t="s">
        <v>66</v>
      </c>
      <c r="D80" s="31" t="s">
        <v>67</v>
      </c>
      <c r="E80" s="31" t="s">
        <v>68</v>
      </c>
      <c r="F80" s="31" t="s">
        <v>69</v>
      </c>
      <c r="G80" s="31" t="s">
        <v>47</v>
      </c>
      <c r="H80" s="31" t="s">
        <v>70</v>
      </c>
      <c r="I80" s="31" t="s">
        <v>71</v>
      </c>
      <c r="J80" s="31" t="s">
        <v>72</v>
      </c>
      <c r="K80" s="31" t="s">
        <v>73</v>
      </c>
    </row>
    <row r="81" spans="1:13" x14ac:dyDescent="0.25">
      <c r="A81" s="56" t="s">
        <v>74</v>
      </c>
      <c r="B81" s="57"/>
      <c r="C81" s="26">
        <f>+G81/E81</f>
        <v>4.7025371828521431E-4</v>
      </c>
      <c r="D81" s="17" t="s">
        <v>75</v>
      </c>
      <c r="E81" s="17">
        <v>4572</v>
      </c>
      <c r="F81" s="17" t="s">
        <v>76</v>
      </c>
      <c r="G81" s="58">
        <v>2.15</v>
      </c>
      <c r="H81" s="59">
        <v>0.1</v>
      </c>
      <c r="I81" s="26">
        <v>150</v>
      </c>
      <c r="J81" s="60">
        <f>((+I81/E81)*G81)*H81+((+I81/E81)*G81)</f>
        <v>7.759186351706035E-2</v>
      </c>
      <c r="K81" s="46">
        <f>+J81*$C$39</f>
        <v>142.22588582677162</v>
      </c>
    </row>
    <row r="82" spans="1:13" x14ac:dyDescent="0.25">
      <c r="A82" s="61" t="s">
        <v>77</v>
      </c>
      <c r="B82" s="1" t="s">
        <v>142</v>
      </c>
      <c r="C82" s="26">
        <f t="shared" ref="C82:C92" si="3">+G82/E82</f>
        <v>0.1275</v>
      </c>
      <c r="D82" s="17" t="s">
        <v>78</v>
      </c>
      <c r="E82" s="17">
        <v>1000</v>
      </c>
      <c r="F82" s="17" t="s">
        <v>79</v>
      </c>
      <c r="G82" s="86">
        <f>75*1.7</f>
        <v>127.5</v>
      </c>
      <c r="H82" s="59">
        <v>0.1</v>
      </c>
      <c r="I82" s="26">
        <v>1</v>
      </c>
      <c r="J82" s="60">
        <f t="shared" ref="J82:J92" si="4">((+I82/E82)*G82)*H82+((+I82/E82)*G82)</f>
        <v>0.14025000000000001</v>
      </c>
      <c r="K82" s="46">
        <f t="shared" ref="K82:K92" si="5">+J82*$C$39</f>
        <v>257.07825000000003</v>
      </c>
    </row>
    <row r="83" spans="1:13" x14ac:dyDescent="0.25">
      <c r="A83" s="85" t="s">
        <v>136</v>
      </c>
      <c r="B83" s="1" t="s">
        <v>143</v>
      </c>
      <c r="C83" s="26">
        <f t="shared" si="3"/>
        <v>8.8740000000000013E-2</v>
      </c>
      <c r="D83" s="83" t="s">
        <v>78</v>
      </c>
      <c r="E83" s="17">
        <v>1000</v>
      </c>
      <c r="F83" s="17" t="s">
        <v>79</v>
      </c>
      <c r="G83" s="58">
        <f>52.2*1.7</f>
        <v>88.740000000000009</v>
      </c>
      <c r="H83" s="59">
        <v>0.1</v>
      </c>
      <c r="I83" s="26">
        <v>1</v>
      </c>
      <c r="J83" s="60">
        <f t="shared" si="4"/>
        <v>9.761400000000002E-2</v>
      </c>
      <c r="K83" s="46">
        <f t="shared" si="5"/>
        <v>178.92646200000004</v>
      </c>
    </row>
    <row r="84" spans="1:13" x14ac:dyDescent="0.25">
      <c r="A84" s="61" t="s">
        <v>137</v>
      </c>
      <c r="B84" s="1"/>
      <c r="C84" s="26">
        <f t="shared" si="3"/>
        <v>4.573E-2</v>
      </c>
      <c r="D84" s="83" t="s">
        <v>78</v>
      </c>
      <c r="E84" s="17">
        <v>1000</v>
      </c>
      <c r="F84" s="17" t="s">
        <v>79</v>
      </c>
      <c r="G84" s="58">
        <f>26.9*1.7</f>
        <v>45.73</v>
      </c>
      <c r="H84" s="59">
        <v>0.1</v>
      </c>
      <c r="I84" s="26">
        <v>1</v>
      </c>
      <c r="J84" s="60">
        <f t="shared" si="4"/>
        <v>5.0303E-2</v>
      </c>
      <c r="K84" s="46">
        <f t="shared" si="5"/>
        <v>92.205399</v>
      </c>
    </row>
    <row r="85" spans="1:13" x14ac:dyDescent="0.25">
      <c r="A85" s="95" t="s">
        <v>154</v>
      </c>
      <c r="B85" s="96"/>
      <c r="C85" s="26">
        <f t="shared" si="3"/>
        <v>9.4E-2</v>
      </c>
      <c r="D85" s="98" t="s">
        <v>78</v>
      </c>
      <c r="E85" s="98">
        <v>1000</v>
      </c>
      <c r="F85" s="98" t="s">
        <v>79</v>
      </c>
      <c r="G85" s="99">
        <v>94</v>
      </c>
      <c r="H85" s="100">
        <v>0.1</v>
      </c>
      <c r="I85" s="101">
        <v>18</v>
      </c>
      <c r="J85" s="102">
        <f>((+I85/E85)*G85)*H85+((+I85/E85)*G85)</f>
        <v>1.8612</v>
      </c>
      <c r="K85" s="103">
        <f>+J85*$C$39</f>
        <v>3411.5796</v>
      </c>
      <c r="L85" s="4">
        <f>250/2.65</f>
        <v>94.339622641509436</v>
      </c>
      <c r="M85" s="4">
        <f>+J85/I85</f>
        <v>0.10339999999999999</v>
      </c>
    </row>
    <row r="86" spans="1:13" x14ac:dyDescent="0.25">
      <c r="A86" s="61" t="s">
        <v>138</v>
      </c>
      <c r="B86" s="1"/>
      <c r="C86" s="26">
        <f t="shared" si="3"/>
        <v>0.41098901098901097</v>
      </c>
      <c r="D86" s="83" t="s">
        <v>139</v>
      </c>
      <c r="E86" s="17">
        <v>0.91</v>
      </c>
      <c r="F86" s="83" t="s">
        <v>76</v>
      </c>
      <c r="G86" s="58">
        <f>0.22*1.7</f>
        <v>0.374</v>
      </c>
      <c r="H86" s="59">
        <v>0.1</v>
      </c>
      <c r="I86" s="26">
        <v>0.9</v>
      </c>
      <c r="J86" s="60">
        <f t="shared" si="4"/>
        <v>0.40687912087912087</v>
      </c>
      <c r="K86" s="46">
        <f t="shared" si="5"/>
        <v>745.80942857142861</v>
      </c>
    </row>
    <row r="87" spans="1:13" x14ac:dyDescent="0.25">
      <c r="A87" s="56" t="s">
        <v>80</v>
      </c>
      <c r="B87" s="57"/>
      <c r="C87" s="26">
        <f t="shared" si="3"/>
        <v>2.5999999999999999E-2</v>
      </c>
      <c r="D87" s="17" t="s">
        <v>78</v>
      </c>
      <c r="E87" s="17">
        <v>1000</v>
      </c>
      <c r="F87" s="17" t="s">
        <v>79</v>
      </c>
      <c r="G87" s="58">
        <v>26</v>
      </c>
      <c r="H87" s="59">
        <v>0.1</v>
      </c>
      <c r="I87" s="26">
        <v>1</v>
      </c>
      <c r="J87" s="60">
        <f t="shared" si="4"/>
        <v>2.8600000000000004E-2</v>
      </c>
      <c r="K87" s="46">
        <f t="shared" si="5"/>
        <v>52.423800000000007</v>
      </c>
    </row>
    <row r="88" spans="1:13" x14ac:dyDescent="0.25">
      <c r="A88" s="61" t="s">
        <v>135</v>
      </c>
      <c r="B88" s="1" t="s">
        <v>141</v>
      </c>
      <c r="C88" s="26">
        <f t="shared" si="3"/>
        <v>0.71399999999999997</v>
      </c>
      <c r="D88" s="62" t="s">
        <v>78</v>
      </c>
      <c r="E88" s="17">
        <v>1000</v>
      </c>
      <c r="F88" s="17" t="s">
        <v>79</v>
      </c>
      <c r="G88" s="81">
        <f>420*1.7</f>
        <v>714</v>
      </c>
      <c r="H88" s="59">
        <v>0.1</v>
      </c>
      <c r="I88" s="26">
        <v>1</v>
      </c>
      <c r="J88" s="60">
        <f t="shared" si="4"/>
        <v>0.78539999999999999</v>
      </c>
      <c r="K88" s="46">
        <f t="shared" si="5"/>
        <v>1439.6381999999999</v>
      </c>
    </row>
    <row r="89" spans="1:13" x14ac:dyDescent="0.25">
      <c r="A89" s="56" t="s">
        <v>81</v>
      </c>
      <c r="B89" s="63"/>
      <c r="C89" s="26">
        <f t="shared" si="3"/>
        <v>1.0999999999999999E-2</v>
      </c>
      <c r="D89" s="17" t="s">
        <v>78</v>
      </c>
      <c r="E89" s="17">
        <v>1000</v>
      </c>
      <c r="F89" s="17" t="s">
        <v>79</v>
      </c>
      <c r="G89" s="58">
        <v>11</v>
      </c>
      <c r="H89" s="59">
        <v>0.1</v>
      </c>
      <c r="I89" s="64">
        <f>1/F11</f>
        <v>2.0833333333333332E-2</v>
      </c>
      <c r="J89" s="60">
        <f t="shared" si="4"/>
        <v>2.5208333333333333E-4</v>
      </c>
      <c r="K89" s="46">
        <f t="shared" si="5"/>
        <v>0.46206874999999997</v>
      </c>
    </row>
    <row r="90" spans="1:13" x14ac:dyDescent="0.25">
      <c r="A90" s="56" t="s">
        <v>82</v>
      </c>
      <c r="B90" s="57"/>
      <c r="C90" s="26">
        <f t="shared" si="3"/>
        <v>2.7</v>
      </c>
      <c r="D90" s="17" t="s">
        <v>79</v>
      </c>
      <c r="E90" s="17">
        <v>1</v>
      </c>
      <c r="F90" s="17" t="s">
        <v>79</v>
      </c>
      <c r="G90" s="58">
        <v>2.7</v>
      </c>
      <c r="H90" s="59">
        <v>0.1</v>
      </c>
      <c r="I90" s="64">
        <f>1/F11</f>
        <v>2.0833333333333332E-2</v>
      </c>
      <c r="J90" s="60">
        <f t="shared" si="4"/>
        <v>6.1874999999999999E-2</v>
      </c>
      <c r="K90" s="46">
        <f t="shared" si="5"/>
        <v>113.416875</v>
      </c>
    </row>
    <row r="91" spans="1:13" x14ac:dyDescent="0.25">
      <c r="A91" s="56" t="s">
        <v>83</v>
      </c>
      <c r="B91" s="57"/>
      <c r="C91" s="26">
        <f t="shared" si="3"/>
        <v>3.6150000000000009E-2</v>
      </c>
      <c r="D91" s="17" t="s">
        <v>78</v>
      </c>
      <c r="E91" s="17">
        <v>1000</v>
      </c>
      <c r="F91" s="17" t="s">
        <v>79</v>
      </c>
      <c r="G91" s="58">
        <f>+(12.69+11.41)*1.5</f>
        <v>36.150000000000006</v>
      </c>
      <c r="H91" s="59">
        <v>0.1</v>
      </c>
      <c r="I91" s="26">
        <f>1/F11</f>
        <v>2.0833333333333332E-2</v>
      </c>
      <c r="J91" s="60">
        <f t="shared" si="4"/>
        <v>8.2843750000000018E-4</v>
      </c>
      <c r="K91" s="46">
        <f t="shared" si="5"/>
        <v>1.5185259375000004</v>
      </c>
    </row>
    <row r="92" spans="1:13" x14ac:dyDescent="0.25">
      <c r="A92" s="56" t="s">
        <v>84</v>
      </c>
      <c r="B92" s="57"/>
      <c r="C92" s="26">
        <f t="shared" si="3"/>
        <v>0.01</v>
      </c>
      <c r="D92" s="17" t="s">
        <v>85</v>
      </c>
      <c r="E92" s="17">
        <v>100</v>
      </c>
      <c r="F92" s="17" t="s">
        <v>76</v>
      </c>
      <c r="G92" s="58">
        <v>1</v>
      </c>
      <c r="H92" s="59">
        <v>0.1</v>
      </c>
      <c r="I92" s="26">
        <f>5/F8</f>
        <v>4.1666666666666664E-2</v>
      </c>
      <c r="J92" s="60">
        <f t="shared" si="4"/>
        <v>4.5833333333333332E-4</v>
      </c>
      <c r="K92" s="46">
        <f t="shared" si="5"/>
        <v>0.84012500000000001</v>
      </c>
    </row>
    <row r="93" spans="1:13" x14ac:dyDescent="0.25">
      <c r="A93" s="4" t="s">
        <v>86</v>
      </c>
      <c r="B93" s="38"/>
      <c r="C93" s="38"/>
      <c r="D93" s="38"/>
      <c r="E93" s="65"/>
      <c r="F93" s="66"/>
      <c r="J93" s="67">
        <f>SUM(J81:J92)</f>
        <v>3.5112518385628482</v>
      </c>
      <c r="K93" s="46">
        <f>SUM(K81:K92)</f>
        <v>6436.1246200857004</v>
      </c>
    </row>
    <row r="94" spans="1:13" x14ac:dyDescent="0.25">
      <c r="B94" s="38"/>
      <c r="C94" s="38"/>
      <c r="D94" s="38"/>
      <c r="E94" s="65"/>
      <c r="F94" s="66"/>
      <c r="H94" s="68"/>
    </row>
    <row r="95" spans="1:13" x14ac:dyDescent="0.25">
      <c r="A95" s="31" t="s">
        <v>87</v>
      </c>
      <c r="B95" s="31" t="s">
        <v>67</v>
      </c>
      <c r="C95" s="31" t="s">
        <v>68</v>
      </c>
      <c r="D95" s="31" t="s">
        <v>69</v>
      </c>
      <c r="E95" s="31" t="s">
        <v>47</v>
      </c>
      <c r="F95" s="31" t="s">
        <v>70</v>
      </c>
      <c r="G95" s="31" t="s">
        <v>71</v>
      </c>
      <c r="H95" s="31" t="s">
        <v>72</v>
      </c>
      <c r="I95" s="31" t="s">
        <v>73</v>
      </c>
    </row>
    <row r="96" spans="1:13" x14ac:dyDescent="0.25">
      <c r="A96" s="4" t="s">
        <v>88</v>
      </c>
      <c r="B96" s="38"/>
      <c r="C96" s="4">
        <v>1</v>
      </c>
      <c r="E96" s="26"/>
      <c r="F96" s="17"/>
      <c r="G96" s="4">
        <v>2</v>
      </c>
      <c r="H96" s="68">
        <f>((+G96/C96)*E96)*F96+((+G96/C96)*E96)</f>
        <v>0</v>
      </c>
      <c r="I96" s="46">
        <f>+H96*$C$39</f>
        <v>0</v>
      </c>
    </row>
    <row r="97" spans="1:11" x14ac:dyDescent="0.25">
      <c r="A97" s="4" t="s">
        <v>89</v>
      </c>
      <c r="B97" s="38"/>
      <c r="C97" s="4">
        <v>1</v>
      </c>
      <c r="E97" s="26"/>
      <c r="F97" s="17"/>
      <c r="G97" s="4">
        <v>1</v>
      </c>
      <c r="H97" s="68">
        <f>((+G97/C97)*E97)*F97+((+G97/C97)*E97)</f>
        <v>0</v>
      </c>
      <c r="I97" s="46">
        <f>+H97*$C$39</f>
        <v>0</v>
      </c>
    </row>
    <row r="98" spans="1:11" x14ac:dyDescent="0.25">
      <c r="A98" s="4" t="s">
        <v>90</v>
      </c>
      <c r="H98" s="69">
        <f>SUM(H96:H97)</f>
        <v>0</v>
      </c>
      <c r="I98" s="46">
        <f>SUM(I96:I97)</f>
        <v>0</v>
      </c>
    </row>
    <row r="100" spans="1:11" x14ac:dyDescent="0.25">
      <c r="A100" s="30" t="s">
        <v>91</v>
      </c>
      <c r="B100" s="31" t="s">
        <v>67</v>
      </c>
      <c r="C100" s="31" t="s">
        <v>68</v>
      </c>
      <c r="D100" s="31" t="s">
        <v>69</v>
      </c>
      <c r="E100" s="31" t="s">
        <v>47</v>
      </c>
      <c r="F100" s="31" t="s">
        <v>70</v>
      </c>
      <c r="G100" s="31" t="s">
        <v>71</v>
      </c>
      <c r="H100" s="31" t="s">
        <v>72</v>
      </c>
      <c r="I100" s="31" t="s">
        <v>73</v>
      </c>
    </row>
    <row r="101" spans="1:11" x14ac:dyDescent="0.25">
      <c r="A101" s="4" t="s">
        <v>92</v>
      </c>
      <c r="B101" s="38" t="s">
        <v>93</v>
      </c>
      <c r="C101" s="4">
        <v>1</v>
      </c>
      <c r="D101" s="38" t="s">
        <v>94</v>
      </c>
      <c r="E101" s="45">
        <f>4.33*0.08</f>
        <v>0.34639999999999999</v>
      </c>
      <c r="F101" s="59">
        <v>0</v>
      </c>
      <c r="G101" s="4">
        <v>1</v>
      </c>
      <c r="H101" s="68">
        <f>((+G101/C101)*E101)*F101+((+G101/C101)*E101)</f>
        <v>0.34639999999999999</v>
      </c>
      <c r="I101" s="46">
        <f t="shared" ref="I101:I110" si="6">+H101*$C$39</f>
        <v>634.95119999999997</v>
      </c>
    </row>
    <row r="102" spans="1:11" x14ac:dyDescent="0.25">
      <c r="A102" s="4" t="s">
        <v>95</v>
      </c>
      <c r="B102" s="38" t="s">
        <v>96</v>
      </c>
      <c r="C102" s="4">
        <v>1</v>
      </c>
      <c r="D102" s="38" t="s">
        <v>96</v>
      </c>
      <c r="E102" s="4">
        <v>7.0000000000000007E-2</v>
      </c>
      <c r="F102" s="59">
        <v>0.1</v>
      </c>
      <c r="G102" s="45">
        <v>21.78</v>
      </c>
      <c r="H102" s="68">
        <f t="shared" ref="H102:H110" si="7">((+G102/C102)*E102)*F102+((+G102/C102)*E102)</f>
        <v>1.6770600000000002</v>
      </c>
      <c r="I102" s="46">
        <f t="shared" si="6"/>
        <v>3074.0509800000004</v>
      </c>
    </row>
    <row r="103" spans="1:11" x14ac:dyDescent="0.25">
      <c r="A103" s="4" t="s">
        <v>97</v>
      </c>
      <c r="B103" s="38" t="s">
        <v>93</v>
      </c>
      <c r="C103" s="4">
        <v>1</v>
      </c>
      <c r="D103" s="38" t="s">
        <v>94</v>
      </c>
      <c r="E103" s="45">
        <f>2*0.08</f>
        <v>0.16</v>
      </c>
      <c r="F103" s="59">
        <v>0</v>
      </c>
      <c r="G103" s="4">
        <v>1</v>
      </c>
      <c r="H103" s="68">
        <f t="shared" si="7"/>
        <v>0.16</v>
      </c>
      <c r="I103" s="46">
        <f t="shared" si="6"/>
        <v>293.28000000000003</v>
      </c>
    </row>
    <row r="104" spans="1:11" x14ac:dyDescent="0.25">
      <c r="A104" s="56" t="s">
        <v>98</v>
      </c>
      <c r="B104" s="38" t="s">
        <v>99</v>
      </c>
      <c r="C104" s="4">
        <v>1</v>
      </c>
      <c r="D104" s="38" t="s">
        <v>99</v>
      </c>
      <c r="E104" s="45"/>
      <c r="F104" s="59">
        <v>0</v>
      </c>
      <c r="G104" s="4">
        <f>+C44/1000</f>
        <v>0.21037199999999998</v>
      </c>
      <c r="H104" s="68">
        <f t="shared" si="7"/>
        <v>0</v>
      </c>
      <c r="I104" s="46">
        <f t="shared" si="6"/>
        <v>0</v>
      </c>
    </row>
    <row r="105" spans="1:11" x14ac:dyDescent="0.25">
      <c r="A105" s="56" t="s">
        <v>100</v>
      </c>
      <c r="B105" s="38" t="s">
        <v>99</v>
      </c>
      <c r="C105" s="4">
        <v>1</v>
      </c>
      <c r="D105" s="38" t="s">
        <v>99</v>
      </c>
      <c r="E105" s="45"/>
      <c r="F105" s="59">
        <v>0</v>
      </c>
      <c r="G105" s="4">
        <f>+C44/1000</f>
        <v>0.21037199999999998</v>
      </c>
      <c r="H105" s="68">
        <f t="shared" si="7"/>
        <v>0</v>
      </c>
      <c r="I105" s="46">
        <f t="shared" si="6"/>
        <v>0</v>
      </c>
      <c r="K105"/>
    </row>
    <row r="106" spans="1:11" x14ac:dyDescent="0.25">
      <c r="A106" s="82" t="s">
        <v>140</v>
      </c>
      <c r="B106" s="38" t="s">
        <v>93</v>
      </c>
      <c r="C106" s="4">
        <v>1</v>
      </c>
      <c r="D106" s="38" t="s">
        <v>94</v>
      </c>
      <c r="E106" s="70"/>
      <c r="F106" s="59">
        <v>0</v>
      </c>
      <c r="G106" s="4">
        <v>1</v>
      </c>
      <c r="H106" s="68">
        <f t="shared" si="7"/>
        <v>0</v>
      </c>
      <c r="I106" s="46">
        <f t="shared" si="6"/>
        <v>0</v>
      </c>
      <c r="K106"/>
    </row>
    <row r="107" spans="1:11" x14ac:dyDescent="0.25">
      <c r="A107" s="56" t="s">
        <v>101</v>
      </c>
      <c r="B107" s="38" t="s">
        <v>93</v>
      </c>
      <c r="C107" s="4">
        <v>1</v>
      </c>
      <c r="D107" s="38" t="s">
        <v>94</v>
      </c>
      <c r="E107" s="45"/>
      <c r="F107" s="59"/>
      <c r="G107" s="4">
        <v>1</v>
      </c>
      <c r="H107" s="68">
        <f t="shared" si="7"/>
        <v>0</v>
      </c>
      <c r="I107" s="46">
        <f t="shared" si="6"/>
        <v>0</v>
      </c>
      <c r="K107"/>
    </row>
    <row r="108" spans="1:11" x14ac:dyDescent="0.25">
      <c r="A108" s="82" t="s">
        <v>153</v>
      </c>
      <c r="B108" s="38" t="s">
        <v>93</v>
      </c>
      <c r="C108" s="4">
        <v>1</v>
      </c>
      <c r="D108" s="38" t="s">
        <v>94</v>
      </c>
      <c r="E108" s="45">
        <f>0.08*10</f>
        <v>0.8</v>
      </c>
      <c r="F108" s="59">
        <v>0.1</v>
      </c>
      <c r="G108" s="4">
        <v>1</v>
      </c>
      <c r="H108" s="68">
        <f>((+G108/C108)*E108)*F108+((+G108/C108)*E108)</f>
        <v>0.88000000000000012</v>
      </c>
      <c r="I108" s="46">
        <f t="shared" si="6"/>
        <v>1613.0400000000002</v>
      </c>
      <c r="K108"/>
    </row>
    <row r="109" spans="1:11" x14ac:dyDescent="0.25">
      <c r="A109" s="56" t="s">
        <v>102</v>
      </c>
      <c r="B109" s="38" t="s">
        <v>93</v>
      </c>
      <c r="C109" s="4">
        <v>1</v>
      </c>
      <c r="D109" s="38" t="s">
        <v>94</v>
      </c>
      <c r="E109" s="45"/>
      <c r="F109" s="59"/>
      <c r="G109" s="4">
        <v>1</v>
      </c>
      <c r="H109" s="68">
        <f t="shared" si="7"/>
        <v>0</v>
      </c>
      <c r="I109" s="46">
        <f t="shared" si="6"/>
        <v>0</v>
      </c>
    </row>
    <row r="110" spans="1:11" x14ac:dyDescent="0.25">
      <c r="A110" s="56" t="s">
        <v>103</v>
      </c>
      <c r="B110" s="38" t="s">
        <v>93</v>
      </c>
      <c r="C110" s="4">
        <v>1</v>
      </c>
      <c r="D110" s="38" t="s">
        <v>94</v>
      </c>
      <c r="E110" s="45"/>
      <c r="F110" s="59">
        <v>0</v>
      </c>
      <c r="G110" s="4">
        <v>1</v>
      </c>
      <c r="H110" s="68">
        <f t="shared" si="7"/>
        <v>0</v>
      </c>
      <c r="I110" s="46">
        <f t="shared" si="6"/>
        <v>0</v>
      </c>
    </row>
    <row r="111" spans="1:11" x14ac:dyDescent="0.25">
      <c r="A111" s="9" t="s">
        <v>104</v>
      </c>
      <c r="F111" s="54"/>
      <c r="H111" s="69">
        <f>SUM(H101:H110)</f>
        <v>3.0634600000000001</v>
      </c>
      <c r="I111" s="46">
        <f>SUM(I101:I110)</f>
        <v>5615.322180000001</v>
      </c>
    </row>
    <row r="112" spans="1:11" x14ac:dyDescent="0.25">
      <c r="F112" s="54"/>
      <c r="H112" s="68"/>
    </row>
    <row r="113" spans="1:11" x14ac:dyDescent="0.25">
      <c r="A113" s="5" t="s">
        <v>105</v>
      </c>
      <c r="C113" s="71">
        <f>+F124</f>
        <v>15.35</v>
      </c>
      <c r="D113" s="71"/>
    </row>
    <row r="114" spans="1:11" x14ac:dyDescent="0.25">
      <c r="A114" s="5" t="s">
        <v>106</v>
      </c>
      <c r="C114" s="71">
        <f>+B78+J93+H98+H111</f>
        <v>9.7624266881857693</v>
      </c>
    </row>
    <row r="115" spans="1:11" x14ac:dyDescent="0.25">
      <c r="A115" s="5" t="s">
        <v>107</v>
      </c>
      <c r="C115" s="71">
        <f>+C113-C114</f>
        <v>5.5875733118142303</v>
      </c>
    </row>
    <row r="116" spans="1:11" x14ac:dyDescent="0.25">
      <c r="A116" s="5"/>
      <c r="C116" s="72">
        <f>+C115/C114</f>
        <v>0.57235495745910836</v>
      </c>
    </row>
    <row r="117" spans="1:11" x14ac:dyDescent="0.25">
      <c r="A117" s="5"/>
      <c r="C117" s="25"/>
    </row>
    <row r="118" spans="1:11" x14ac:dyDescent="0.25">
      <c r="A118" s="5"/>
      <c r="C118" s="25"/>
    </row>
    <row r="119" spans="1:11" ht="15.75" x14ac:dyDescent="0.25">
      <c r="A119" s="3" t="s">
        <v>108</v>
      </c>
      <c r="B119" s="17"/>
    </row>
    <row r="120" spans="1:11" x14ac:dyDescent="0.25">
      <c r="A120" s="4" t="s">
        <v>109</v>
      </c>
      <c r="B120" s="17"/>
      <c r="C120" s="46">
        <f>((H12+F124)*C26)*F126</f>
        <v>0</v>
      </c>
    </row>
    <row r="121" spans="1:11" x14ac:dyDescent="0.25">
      <c r="A121" s="4" t="s">
        <v>110</v>
      </c>
      <c r="B121" s="12" t="s">
        <v>111</v>
      </c>
      <c r="C121" s="46">
        <v>500</v>
      </c>
    </row>
    <row r="122" spans="1:11" x14ac:dyDescent="0.25">
      <c r="A122" s="4" t="s">
        <v>112</v>
      </c>
      <c r="B122" s="17"/>
      <c r="C122" s="46">
        <f>((+F124*C26)*0.8)*0.12/4</f>
        <v>597.54480000000012</v>
      </c>
    </row>
    <row r="123" spans="1:11" x14ac:dyDescent="0.25">
      <c r="A123" s="4" t="s">
        <v>113</v>
      </c>
      <c r="B123" s="12"/>
      <c r="C123" s="73">
        <f>+B123*100</f>
        <v>0</v>
      </c>
    </row>
    <row r="124" spans="1:11" x14ac:dyDescent="0.25">
      <c r="A124" s="4" t="s">
        <v>114</v>
      </c>
      <c r="C124" s="73">
        <f>+B123*3*C76</f>
        <v>0</v>
      </c>
      <c r="E124" s="17" t="s">
        <v>115</v>
      </c>
      <c r="F124" s="74">
        <v>15.35</v>
      </c>
      <c r="I124" s="75">
        <f>+F124</f>
        <v>15.35</v>
      </c>
      <c r="J124" t="s">
        <v>115</v>
      </c>
    </row>
    <row r="125" spans="1:11" ht="15" customHeight="1" x14ac:dyDescent="0.25">
      <c r="A125" s="4" t="s">
        <v>116</v>
      </c>
      <c r="C125" s="4">
        <f>+B123*4*4*(F124+H12)</f>
        <v>0</v>
      </c>
      <c r="E125" s="17" t="s">
        <v>117</v>
      </c>
      <c r="F125" s="74"/>
      <c r="I125" s="202" t="s">
        <v>158</v>
      </c>
      <c r="J125" s="202"/>
      <c r="K125" s="202"/>
    </row>
    <row r="126" spans="1:11" x14ac:dyDescent="0.25">
      <c r="A126" s="4" t="s">
        <v>118</v>
      </c>
      <c r="C126" s="46">
        <v>500</v>
      </c>
      <c r="E126" s="17" t="s">
        <v>119</v>
      </c>
      <c r="F126" s="76"/>
      <c r="I126" s="202"/>
      <c r="J126" s="202"/>
      <c r="K126" s="202"/>
    </row>
    <row r="127" spans="1:11" ht="15" customHeight="1" x14ac:dyDescent="0.25">
      <c r="A127" s="4" t="s">
        <v>120</v>
      </c>
      <c r="C127" s="46">
        <f>SUM(C120:C126)</f>
        <v>1597.5448000000001</v>
      </c>
      <c r="E127" s="16" t="s">
        <v>121</v>
      </c>
      <c r="F127" s="76">
        <v>0.05</v>
      </c>
      <c r="I127" s="202"/>
      <c r="J127" s="202"/>
      <c r="K127" s="202"/>
    </row>
    <row r="128" spans="1:11" x14ac:dyDescent="0.25">
      <c r="C128" s="46"/>
      <c r="I128" s="202"/>
      <c r="J128" s="202"/>
      <c r="K128" s="202"/>
    </row>
    <row r="129" spans="1:11" ht="15.75" x14ac:dyDescent="0.25">
      <c r="A129" s="3" t="s">
        <v>122</v>
      </c>
      <c r="C129" s="46"/>
      <c r="E129" s="3" t="s">
        <v>123</v>
      </c>
      <c r="I129" s="202"/>
      <c r="J129" s="202"/>
      <c r="K129" s="202"/>
    </row>
    <row r="130" spans="1:11" x14ac:dyDescent="0.25">
      <c r="A130" s="4" t="s">
        <v>124</v>
      </c>
      <c r="C130" s="46">
        <f>+F124*C26</f>
        <v>24897.7</v>
      </c>
      <c r="E130" s="4" t="s">
        <v>125</v>
      </c>
      <c r="G130" s="46">
        <f>+B76</f>
        <v>5170.4734860883791</v>
      </c>
    </row>
    <row r="131" spans="1:11" x14ac:dyDescent="0.25">
      <c r="A131" s="4" t="s">
        <v>126</v>
      </c>
      <c r="C131" s="46">
        <f>+C130*F127</f>
        <v>1244.8850000000002</v>
      </c>
      <c r="E131" s="4" t="s">
        <v>127</v>
      </c>
      <c r="G131" s="46">
        <f>+K93+I98</f>
        <v>6436.1246200857004</v>
      </c>
    </row>
    <row r="132" spans="1:11" x14ac:dyDescent="0.25">
      <c r="A132" s="4" t="s">
        <v>128</v>
      </c>
      <c r="C132" s="46">
        <f>SUM(C130:C131)</f>
        <v>26142.584999999999</v>
      </c>
      <c r="E132" s="4" t="s">
        <v>91</v>
      </c>
      <c r="G132" s="46">
        <f>+I111</f>
        <v>5615.322180000001</v>
      </c>
    </row>
    <row r="133" spans="1:11" x14ac:dyDescent="0.25">
      <c r="E133" s="4" t="s">
        <v>108</v>
      </c>
      <c r="G133" s="46">
        <f>+C127</f>
        <v>1597.5448000000001</v>
      </c>
    </row>
    <row r="134" spans="1:11" x14ac:dyDescent="0.25">
      <c r="E134" s="4" t="s">
        <v>129</v>
      </c>
      <c r="G134" s="46">
        <f>SUM(G130:G133)</f>
        <v>18819.465086174077</v>
      </c>
    </row>
    <row r="135" spans="1:11" x14ac:dyDescent="0.25">
      <c r="G135" s="46"/>
    </row>
    <row r="136" spans="1:11" x14ac:dyDescent="0.25">
      <c r="A136" s="4" t="s">
        <v>107</v>
      </c>
      <c r="B136" s="46">
        <f>+C132-G134</f>
        <v>7323.1199138259217</v>
      </c>
      <c r="G136" s="46"/>
    </row>
    <row r="137" spans="1:11" x14ac:dyDescent="0.25">
      <c r="A137" s="4" t="s">
        <v>130</v>
      </c>
      <c r="B137" s="46">
        <f>+C130*0.02</f>
        <v>497.95400000000001</v>
      </c>
      <c r="G137" s="46"/>
    </row>
    <row r="138" spans="1:11" x14ac:dyDescent="0.25">
      <c r="A138" s="4" t="s">
        <v>131</v>
      </c>
      <c r="B138" s="46">
        <f>+B136-B137</f>
        <v>6825.165913825922</v>
      </c>
      <c r="C138" s="77">
        <f>+B138/G134</f>
        <v>0.36266524487139135</v>
      </c>
      <c r="G138" s="46"/>
    </row>
    <row r="139" spans="1:11" x14ac:dyDescent="0.25">
      <c r="G139" s="46"/>
    </row>
  </sheetData>
  <mergeCells count="4">
    <mergeCell ref="B6:C6"/>
    <mergeCell ref="B7:C7"/>
    <mergeCell ref="A44:B44"/>
    <mergeCell ref="I125:K12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1"/>
  <sheetViews>
    <sheetView topLeftCell="A109" zoomScale="133" zoomScaleNormal="133" workbookViewId="0">
      <selection activeCell="C122" sqref="C122"/>
    </sheetView>
  </sheetViews>
  <sheetFormatPr defaultColWidth="11.42578125" defaultRowHeight="12.75" x14ac:dyDescent="0.2"/>
  <cols>
    <col min="1" max="1" width="16.42578125" style="107" customWidth="1"/>
    <col min="2" max="2" width="14.140625" style="107" customWidth="1"/>
    <col min="3" max="3" width="11.28515625" style="107" customWidth="1"/>
    <col min="4" max="4" width="10" style="107" customWidth="1"/>
    <col min="5" max="5" width="11.5703125" style="107" customWidth="1"/>
    <col min="6" max="6" width="10.5703125" style="107" customWidth="1"/>
    <col min="7" max="7" width="12.28515625" style="107" customWidth="1"/>
    <col min="8" max="8" width="11.85546875" style="107" customWidth="1"/>
    <col min="9" max="9" width="10.28515625" style="107" customWidth="1"/>
    <col min="10" max="10" width="7.5703125" style="107" customWidth="1"/>
    <col min="11" max="11" width="8.7109375" style="107" customWidth="1"/>
    <col min="12" max="12" width="5.85546875" style="107" customWidth="1"/>
    <col min="13" max="13" width="9.28515625" style="107" customWidth="1"/>
    <col min="14" max="16384" width="11.42578125" style="107"/>
  </cols>
  <sheetData>
    <row r="1" spans="1:13" x14ac:dyDescent="0.2">
      <c r="J1" s="203" t="s">
        <v>146</v>
      </c>
      <c r="K1" s="203"/>
      <c r="L1" s="203"/>
    </row>
    <row r="2" spans="1:13" x14ac:dyDescent="0.2">
      <c r="A2" s="5" t="s">
        <v>0</v>
      </c>
      <c r="G2" s="5"/>
      <c r="H2" s="108"/>
      <c r="I2" s="109"/>
      <c r="J2" s="203"/>
      <c r="K2" s="203"/>
      <c r="L2" s="203"/>
      <c r="M2" s="88"/>
    </row>
    <row r="3" spans="1:13" x14ac:dyDescent="0.2">
      <c r="J3" s="203"/>
      <c r="K3" s="203"/>
      <c r="L3" s="203"/>
      <c r="M3" s="88"/>
    </row>
    <row r="4" spans="1:13" ht="13.9" customHeight="1" x14ac:dyDescent="0.2">
      <c r="A4" s="7" t="s">
        <v>1</v>
      </c>
      <c r="B4" s="110" t="s">
        <v>2</v>
      </c>
      <c r="C4" s="111"/>
      <c r="E4" s="107" t="s">
        <v>3</v>
      </c>
      <c r="F4" s="112">
        <v>41204</v>
      </c>
      <c r="G4" s="113"/>
      <c r="J4" s="203" t="s">
        <v>224</v>
      </c>
      <c r="K4" s="203"/>
      <c r="L4" s="203"/>
      <c r="M4" s="225"/>
    </row>
    <row r="5" spans="1:13" ht="28.9" customHeight="1" x14ac:dyDescent="0.2">
      <c r="A5" s="7" t="s">
        <v>4</v>
      </c>
      <c r="B5" s="114"/>
      <c r="C5" s="111"/>
      <c r="E5" s="107" t="s">
        <v>5</v>
      </c>
      <c r="F5" s="112"/>
      <c r="J5" s="203"/>
      <c r="K5" s="203"/>
      <c r="L5" s="203"/>
      <c r="M5" s="225"/>
    </row>
    <row r="6" spans="1:13" ht="13.9" customHeight="1" x14ac:dyDescent="0.2">
      <c r="A6" s="7" t="s">
        <v>6</v>
      </c>
      <c r="B6" s="195" t="s">
        <v>144</v>
      </c>
      <c r="C6" s="196"/>
      <c r="K6" s="226"/>
      <c r="L6" s="226"/>
      <c r="M6" s="226"/>
    </row>
    <row r="7" spans="1:13" x14ac:dyDescent="0.2">
      <c r="A7" s="107" t="s">
        <v>7</v>
      </c>
      <c r="B7" s="197" t="s">
        <v>145</v>
      </c>
      <c r="C7" s="208"/>
      <c r="J7" s="226"/>
      <c r="K7" s="226"/>
      <c r="L7" s="226"/>
      <c r="M7" s="226"/>
    </row>
    <row r="8" spans="1:13" x14ac:dyDescent="0.2">
      <c r="A8" s="107" t="s">
        <v>8</v>
      </c>
      <c r="B8" s="115" t="s">
        <v>9</v>
      </c>
      <c r="C8" s="13" t="s">
        <v>10</v>
      </c>
      <c r="E8" s="116" t="s">
        <v>11</v>
      </c>
      <c r="F8" s="115">
        <v>110</v>
      </c>
      <c r="G8" s="107" t="s">
        <v>12</v>
      </c>
    </row>
    <row r="9" spans="1:13" x14ac:dyDescent="0.2">
      <c r="A9" s="107" t="s">
        <v>13</v>
      </c>
      <c r="B9" s="117" t="s">
        <v>159</v>
      </c>
      <c r="C9" s="118">
        <v>1</v>
      </c>
      <c r="D9" s="119">
        <v>100023</v>
      </c>
      <c r="E9" s="116" t="s">
        <v>14</v>
      </c>
      <c r="F9" s="115">
        <v>1</v>
      </c>
      <c r="G9" s="107" t="s">
        <v>15</v>
      </c>
    </row>
    <row r="10" spans="1:13" ht="13.9" x14ac:dyDescent="0.3">
      <c r="B10" s="115"/>
      <c r="C10" s="118"/>
      <c r="E10" s="116" t="s">
        <v>16</v>
      </c>
      <c r="F10" s="115">
        <v>48</v>
      </c>
      <c r="G10" s="107" t="s">
        <v>15</v>
      </c>
    </row>
    <row r="11" spans="1:13" ht="13.9" x14ac:dyDescent="0.3">
      <c r="B11" s="115"/>
      <c r="C11" s="118"/>
      <c r="E11" s="116" t="s">
        <v>17</v>
      </c>
      <c r="F11" s="120">
        <f>+F9*F10</f>
        <v>48</v>
      </c>
      <c r="G11" s="107" t="s">
        <v>15</v>
      </c>
    </row>
    <row r="12" spans="1:13" ht="13.9" x14ac:dyDescent="0.3">
      <c r="D12" s="116"/>
      <c r="E12" s="120"/>
      <c r="F12" s="179" t="s">
        <v>220</v>
      </c>
      <c r="G12" s="121"/>
    </row>
    <row r="14" spans="1:13" ht="13.9" x14ac:dyDescent="0.3">
      <c r="A14" s="5" t="s">
        <v>18</v>
      </c>
      <c r="E14" s="18"/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  <c r="K14" s="18" t="s">
        <v>24</v>
      </c>
      <c r="L14" s="18" t="s">
        <v>25</v>
      </c>
    </row>
    <row r="15" spans="1:13" ht="13.9" x14ac:dyDescent="0.3">
      <c r="A15" s="19">
        <v>1.05</v>
      </c>
      <c r="C15" s="122"/>
      <c r="E15" s="123"/>
      <c r="F15" s="123"/>
      <c r="G15" s="123"/>
      <c r="H15" s="179" t="s">
        <v>221</v>
      </c>
    </row>
    <row r="16" spans="1:13" ht="13.9" x14ac:dyDescent="0.3">
      <c r="A16" s="22" t="s">
        <v>148</v>
      </c>
      <c r="B16" s="23">
        <f>+$A$15</f>
        <v>1.05</v>
      </c>
      <c r="C16" s="124">
        <f>SUM(E16:K16)</f>
        <v>794</v>
      </c>
      <c r="D16" s="125">
        <f>+C16/$C$26</f>
        <v>0.48951911220715166</v>
      </c>
      <c r="E16" s="115"/>
      <c r="F16" s="115"/>
      <c r="G16" s="115"/>
      <c r="H16" s="115">
        <f>492+253+49</f>
        <v>794</v>
      </c>
      <c r="I16" s="115"/>
      <c r="J16" s="115"/>
      <c r="K16" s="115"/>
      <c r="L16" s="115"/>
    </row>
    <row r="17" spans="1:12" ht="13.9" x14ac:dyDescent="0.3">
      <c r="A17" s="22" t="s">
        <v>149</v>
      </c>
      <c r="B17" s="23">
        <f t="shared" ref="B17:B25" si="0">+$A$15</f>
        <v>1.05</v>
      </c>
      <c r="C17" s="124">
        <f>SUM(E17:K17)</f>
        <v>828</v>
      </c>
      <c r="D17" s="125">
        <f>+C17/$C$26</f>
        <v>0.51048088779284828</v>
      </c>
      <c r="E17" s="115"/>
      <c r="F17" s="115"/>
      <c r="G17" s="115"/>
      <c r="H17" s="115">
        <f>+H16+34</f>
        <v>828</v>
      </c>
      <c r="I17" s="115"/>
      <c r="J17" s="115"/>
      <c r="K17" s="115"/>
      <c r="L17" s="115"/>
    </row>
    <row r="18" spans="1:12" ht="13.9" x14ac:dyDescent="0.3">
      <c r="A18" s="22"/>
      <c r="B18" s="23">
        <f t="shared" si="0"/>
        <v>1.05</v>
      </c>
      <c r="C18" s="124">
        <f>SUM(E18:K18)</f>
        <v>0</v>
      </c>
      <c r="D18" s="125">
        <f>+C18/$C$26</f>
        <v>0</v>
      </c>
      <c r="E18" s="115"/>
      <c r="F18" s="115"/>
      <c r="G18" s="115"/>
      <c r="H18" s="115"/>
      <c r="I18" s="115"/>
      <c r="J18" s="115"/>
      <c r="K18" s="115"/>
      <c r="L18" s="115"/>
    </row>
    <row r="19" spans="1:12" ht="13.9" x14ac:dyDescent="0.3">
      <c r="A19" s="22"/>
      <c r="B19" s="23">
        <f t="shared" si="0"/>
        <v>1.05</v>
      </c>
      <c r="C19" s="124">
        <f>SUM(E19:K19)</f>
        <v>0</v>
      </c>
      <c r="D19" s="125">
        <f>+C19/$C$26</f>
        <v>0</v>
      </c>
      <c r="E19" s="115"/>
      <c r="F19" s="115"/>
      <c r="G19" s="115"/>
      <c r="H19" s="115"/>
      <c r="I19" s="115"/>
      <c r="J19" s="115"/>
      <c r="K19" s="115"/>
      <c r="L19" s="115"/>
    </row>
    <row r="20" spans="1:12" ht="13.9" x14ac:dyDescent="0.3">
      <c r="A20" s="126"/>
      <c r="B20" s="23">
        <f t="shared" si="0"/>
        <v>1.05</v>
      </c>
      <c r="C20" s="124">
        <f>SUM(E20:K20)</f>
        <v>0</v>
      </c>
      <c r="D20" s="125">
        <f>+C20/$C$26</f>
        <v>0</v>
      </c>
      <c r="E20" s="115"/>
      <c r="F20" s="115"/>
      <c r="G20" s="115"/>
      <c r="H20" s="115"/>
      <c r="I20" s="115"/>
      <c r="J20" s="115"/>
      <c r="K20" s="115"/>
      <c r="L20" s="115"/>
    </row>
    <row r="21" spans="1:12" ht="13.9" x14ac:dyDescent="0.3">
      <c r="A21" s="126"/>
      <c r="B21" s="23">
        <f t="shared" si="0"/>
        <v>1.05</v>
      </c>
      <c r="C21" s="124"/>
      <c r="D21" s="125"/>
      <c r="E21" s="115"/>
      <c r="F21" s="115"/>
      <c r="G21" s="115"/>
      <c r="H21" s="115"/>
      <c r="I21" s="115"/>
      <c r="J21" s="115"/>
      <c r="K21" s="115"/>
      <c r="L21" s="115"/>
    </row>
    <row r="22" spans="1:12" ht="13.9" x14ac:dyDescent="0.3">
      <c r="A22" s="126"/>
      <c r="B22" s="23">
        <f t="shared" si="0"/>
        <v>1.05</v>
      </c>
      <c r="C22" s="124"/>
      <c r="D22" s="125"/>
      <c r="E22" s="115"/>
      <c r="F22" s="115"/>
      <c r="G22" s="115"/>
      <c r="H22" s="115"/>
      <c r="I22" s="115"/>
      <c r="J22" s="115"/>
      <c r="K22" s="115"/>
      <c r="L22" s="115"/>
    </row>
    <row r="23" spans="1:12" ht="13.9" x14ac:dyDescent="0.3">
      <c r="A23" s="126"/>
      <c r="B23" s="23">
        <f t="shared" si="0"/>
        <v>1.05</v>
      </c>
      <c r="C23" s="124"/>
      <c r="D23" s="125"/>
      <c r="E23" s="115"/>
      <c r="F23" s="115"/>
      <c r="G23" s="115"/>
      <c r="H23" s="115"/>
      <c r="I23" s="115"/>
      <c r="J23" s="115"/>
      <c r="K23" s="115"/>
      <c r="L23" s="115"/>
    </row>
    <row r="24" spans="1:12" ht="13.9" x14ac:dyDescent="0.3">
      <c r="A24" s="126"/>
      <c r="B24" s="23">
        <f t="shared" si="0"/>
        <v>1.05</v>
      </c>
      <c r="C24" s="124"/>
      <c r="D24" s="125"/>
      <c r="E24" s="115"/>
      <c r="F24" s="115"/>
      <c r="G24" s="115"/>
      <c r="H24" s="115"/>
      <c r="I24" s="115"/>
      <c r="J24" s="115"/>
      <c r="K24" s="115"/>
      <c r="L24" s="115"/>
    </row>
    <row r="25" spans="1:12" ht="13.9" x14ac:dyDescent="0.3">
      <c r="A25" s="126"/>
      <c r="B25" s="23">
        <f t="shared" si="0"/>
        <v>1.05</v>
      </c>
      <c r="C25" s="124"/>
      <c r="D25" s="125"/>
      <c r="E25" s="115"/>
      <c r="F25" s="115"/>
      <c r="G25" s="115"/>
      <c r="H25" s="115"/>
      <c r="I25" s="115"/>
      <c r="J25" s="115"/>
      <c r="K25" s="115"/>
      <c r="L25" s="115"/>
    </row>
    <row r="26" spans="1:12" ht="13.9" x14ac:dyDescent="0.3">
      <c r="A26" s="107" t="s">
        <v>26</v>
      </c>
      <c r="C26" s="127">
        <f>SUM(C16:C25)</f>
        <v>1622</v>
      </c>
      <c r="D26" s="128">
        <f>SUM(D16:D25)</f>
        <v>1</v>
      </c>
      <c r="E26" s="129"/>
      <c r="F26" s="129"/>
      <c r="G26" s="129"/>
      <c r="H26" s="129">
        <f>SUM(H16:H25)</f>
        <v>1622</v>
      </c>
      <c r="I26" s="129"/>
      <c r="J26" s="129"/>
      <c r="K26" s="129"/>
      <c r="L26" s="129"/>
    </row>
    <row r="27" spans="1:12" ht="13.9" x14ac:dyDescent="0.3">
      <c r="C27" s="127"/>
      <c r="E27" s="127"/>
      <c r="F27" s="127"/>
      <c r="G27" s="127"/>
      <c r="H27" s="127"/>
    </row>
    <row r="28" spans="1:12" ht="13.9" x14ac:dyDescent="0.3">
      <c r="A28" s="30" t="s">
        <v>27</v>
      </c>
      <c r="D28" s="13" t="s">
        <v>28</v>
      </c>
      <c r="E28" s="31">
        <f>E14</f>
        <v>0</v>
      </c>
      <c r="F28" s="31" t="str">
        <f t="shared" ref="F28:L28" si="1">F14</f>
        <v>XS</v>
      </c>
      <c r="G28" s="31" t="str">
        <f t="shared" si="1"/>
        <v>S</v>
      </c>
      <c r="H28" s="31" t="str">
        <f t="shared" si="1"/>
        <v>M</v>
      </c>
      <c r="I28" s="31" t="str">
        <f t="shared" si="1"/>
        <v>L</v>
      </c>
      <c r="J28" s="31" t="str">
        <f t="shared" si="1"/>
        <v>XL</v>
      </c>
      <c r="K28" s="31" t="str">
        <f t="shared" si="1"/>
        <v>XXL</v>
      </c>
      <c r="L28" s="31" t="str">
        <f t="shared" si="1"/>
        <v>XXXL</v>
      </c>
    </row>
    <row r="29" spans="1:12" ht="13.9" x14ac:dyDescent="0.3">
      <c r="A29" s="107" t="str">
        <f>+A16</f>
        <v>EVENING BLUE</v>
      </c>
      <c r="B29" s="32">
        <f>IF(A29="white",$A$15*1.1,$A$15*1.05)</f>
        <v>1.1025</v>
      </c>
      <c r="C29" s="124">
        <f>SUM(E29:K29)</f>
        <v>876</v>
      </c>
      <c r="D29" s="125">
        <f>+C29/$C$39</f>
        <v>0.47790507364975449</v>
      </c>
      <c r="E29" s="121"/>
      <c r="F29" s="121"/>
      <c r="G29" s="121"/>
      <c r="H29" s="121">
        <f>ROUNDUP(+H16*$B29,0)</f>
        <v>876</v>
      </c>
      <c r="I29" s="121"/>
      <c r="J29" s="121"/>
      <c r="K29" s="121"/>
      <c r="L29" s="121"/>
    </row>
    <row r="30" spans="1:12" ht="13.9" x14ac:dyDescent="0.3">
      <c r="A30" s="107" t="str">
        <f>+A17</f>
        <v>WHITE</v>
      </c>
      <c r="B30" s="32">
        <f t="shared" ref="B30:B38" si="2">IF(A30="white",$A$15*1.1,$A$15*1.05)</f>
        <v>1.1550000000000002</v>
      </c>
      <c r="C30" s="124">
        <f>SUM(E30:K30)</f>
        <v>957</v>
      </c>
      <c r="D30" s="125">
        <f>+C30/$C$39</f>
        <v>0.52209492635024546</v>
      </c>
      <c r="E30" s="121"/>
      <c r="F30" s="121"/>
      <c r="G30" s="121"/>
      <c r="H30" s="121">
        <f>ROUNDUP(+H17*$B30,0)</f>
        <v>957</v>
      </c>
      <c r="I30" s="121"/>
      <c r="J30" s="121"/>
      <c r="K30" s="121"/>
      <c r="L30" s="121"/>
    </row>
    <row r="31" spans="1:12" ht="13.9" x14ac:dyDescent="0.3">
      <c r="A31" s="107">
        <f>+A18</f>
        <v>0</v>
      </c>
      <c r="B31" s="32">
        <f t="shared" si="2"/>
        <v>1.1025</v>
      </c>
      <c r="C31" s="124">
        <f>SUM(E31:K31)</f>
        <v>0</v>
      </c>
      <c r="D31" s="125">
        <f>+C31/$C$39</f>
        <v>0</v>
      </c>
      <c r="E31" s="121"/>
      <c r="F31" s="121"/>
      <c r="G31" s="121"/>
      <c r="H31" s="121">
        <f>ROUNDUP(+H18*$B31,0)</f>
        <v>0</v>
      </c>
      <c r="I31" s="121"/>
      <c r="J31" s="121"/>
      <c r="K31" s="121"/>
      <c r="L31" s="121"/>
    </row>
    <row r="32" spans="1:12" ht="13.9" x14ac:dyDescent="0.3">
      <c r="B32" s="32">
        <f t="shared" si="2"/>
        <v>1.1025</v>
      </c>
      <c r="C32" s="124">
        <f>SUM(E32:K32)</f>
        <v>0</v>
      </c>
      <c r="D32" s="125">
        <f>+C32/$C$39</f>
        <v>0</v>
      </c>
      <c r="E32" s="121"/>
      <c r="F32" s="121"/>
      <c r="G32" s="121"/>
      <c r="H32" s="121">
        <f>ROUNDUP(+H19*$B32,0)</f>
        <v>0</v>
      </c>
      <c r="I32" s="121"/>
      <c r="J32" s="121"/>
      <c r="K32" s="121"/>
      <c r="L32" s="121"/>
    </row>
    <row r="33" spans="1:12" ht="13.9" x14ac:dyDescent="0.3">
      <c r="A33" s="130">
        <f>+A20</f>
        <v>0</v>
      </c>
      <c r="B33" s="32">
        <f t="shared" si="2"/>
        <v>1.1025</v>
      </c>
      <c r="C33" s="124">
        <f>SUM(E33:K33)</f>
        <v>0</v>
      </c>
      <c r="D33" s="125">
        <f>+C33/$C$39</f>
        <v>0</v>
      </c>
      <c r="E33" s="121"/>
      <c r="F33" s="121"/>
      <c r="G33" s="121"/>
      <c r="H33" s="121">
        <f>ROUNDUP(+H20*$B33,0)</f>
        <v>0</v>
      </c>
      <c r="I33" s="121"/>
      <c r="J33" s="121"/>
      <c r="K33" s="121"/>
      <c r="L33" s="121"/>
    </row>
    <row r="34" spans="1:12" ht="13.9" x14ac:dyDescent="0.3">
      <c r="B34" s="32">
        <f t="shared" si="2"/>
        <v>1.1025</v>
      </c>
      <c r="C34" s="124"/>
      <c r="D34" s="125"/>
      <c r="E34" s="121"/>
      <c r="F34" s="121"/>
      <c r="G34" s="121"/>
      <c r="H34" s="121"/>
      <c r="I34" s="121"/>
      <c r="J34" s="121"/>
      <c r="K34" s="121"/>
      <c r="L34" s="121"/>
    </row>
    <row r="35" spans="1:12" ht="13.9" x14ac:dyDescent="0.3">
      <c r="B35" s="32">
        <f t="shared" si="2"/>
        <v>1.1025</v>
      </c>
      <c r="C35" s="124"/>
      <c r="D35" s="125"/>
      <c r="E35" s="121"/>
      <c r="F35" s="121"/>
      <c r="G35" s="121"/>
      <c r="H35" s="121"/>
      <c r="I35" s="121"/>
      <c r="J35" s="121"/>
      <c r="K35" s="121"/>
      <c r="L35" s="121"/>
    </row>
    <row r="36" spans="1:12" ht="13.9" x14ac:dyDescent="0.3">
      <c r="B36" s="32">
        <f t="shared" si="2"/>
        <v>1.1025</v>
      </c>
      <c r="C36" s="124"/>
      <c r="D36" s="125"/>
      <c r="E36" s="121"/>
      <c r="F36" s="121"/>
      <c r="G36" s="121"/>
      <c r="H36" s="121"/>
      <c r="I36" s="121"/>
      <c r="J36" s="121"/>
      <c r="K36" s="121"/>
      <c r="L36" s="121"/>
    </row>
    <row r="37" spans="1:12" ht="13.9" x14ac:dyDescent="0.3">
      <c r="B37" s="32">
        <f t="shared" si="2"/>
        <v>1.1025</v>
      </c>
      <c r="C37" s="124"/>
      <c r="D37" s="125"/>
      <c r="E37" s="121"/>
      <c r="F37" s="121"/>
      <c r="G37" s="121"/>
      <c r="H37" s="121"/>
      <c r="I37" s="121"/>
      <c r="J37" s="121"/>
      <c r="K37" s="121"/>
      <c r="L37" s="121"/>
    </row>
    <row r="38" spans="1:12" ht="13.9" x14ac:dyDescent="0.3">
      <c r="B38" s="32">
        <f t="shared" si="2"/>
        <v>1.1025</v>
      </c>
      <c r="C38" s="124"/>
      <c r="D38" s="125"/>
      <c r="E38" s="121"/>
      <c r="F38" s="121"/>
      <c r="G38" s="121"/>
      <c r="H38" s="121"/>
      <c r="I38" s="121"/>
      <c r="J38" s="121"/>
      <c r="K38" s="121"/>
      <c r="L38" s="121"/>
    </row>
    <row r="39" spans="1:12" ht="13.9" x14ac:dyDescent="0.3">
      <c r="C39" s="127">
        <f>SUM(C29:C38)</f>
        <v>1833</v>
      </c>
      <c r="E39" s="129"/>
      <c r="F39" s="129"/>
      <c r="G39" s="129"/>
      <c r="H39" s="129">
        <f>SUM(H29:H38)</f>
        <v>1833</v>
      </c>
      <c r="I39" s="129"/>
      <c r="J39" s="129"/>
      <c r="K39" s="129"/>
      <c r="L39" s="121"/>
    </row>
    <row r="41" spans="1:12" ht="25.5" x14ac:dyDescent="0.2">
      <c r="A41" s="107" t="s">
        <v>29</v>
      </c>
      <c r="B41" s="131" t="s">
        <v>30</v>
      </c>
      <c r="D41" s="170" t="s">
        <v>31</v>
      </c>
      <c r="E41" s="132">
        <v>1.85</v>
      </c>
      <c r="G41" s="107" t="s">
        <v>32</v>
      </c>
      <c r="H41" s="133">
        <f>6.59+6.59</f>
        <v>13.18</v>
      </c>
      <c r="I41" s="107" t="s">
        <v>33</v>
      </c>
      <c r="J41" s="212" t="s">
        <v>218</v>
      </c>
      <c r="K41" s="133"/>
    </row>
    <row r="42" spans="1:12" ht="25.5" x14ac:dyDescent="0.2">
      <c r="A42" s="107" t="s">
        <v>34</v>
      </c>
      <c r="B42" s="134"/>
      <c r="D42" s="170" t="s">
        <v>35</v>
      </c>
      <c r="E42" s="135">
        <f>3.76/4</f>
        <v>0.94</v>
      </c>
      <c r="F42" s="179" t="s">
        <v>216</v>
      </c>
      <c r="G42" s="107" t="s">
        <v>36</v>
      </c>
      <c r="H42" s="136"/>
    </row>
    <row r="43" spans="1:12" ht="13.9" x14ac:dyDescent="0.3">
      <c r="E43" s="179" t="s">
        <v>219</v>
      </c>
      <c r="G43" s="107" t="s">
        <v>11</v>
      </c>
      <c r="H43" s="136"/>
      <c r="I43" s="107" t="s">
        <v>33</v>
      </c>
    </row>
    <row r="44" spans="1:12" x14ac:dyDescent="0.2">
      <c r="A44" s="209" t="s">
        <v>37</v>
      </c>
      <c r="B44" s="210"/>
      <c r="C44" s="137">
        <f>+E42*E41*F8</f>
        <v>191.29</v>
      </c>
      <c r="D44" s="107" t="s">
        <v>38</v>
      </c>
      <c r="E44" s="121">
        <f>+E41*E42</f>
        <v>1.7389999999999999</v>
      </c>
      <c r="F44" s="107" t="s">
        <v>39</v>
      </c>
      <c r="G44" s="107">
        <f>+E42*1.09363</f>
        <v>1.0280122</v>
      </c>
      <c r="H44" s="2" t="s">
        <v>132</v>
      </c>
      <c r="J44" s="107">
        <f>+G44*1.1</f>
        <v>1.1308134200000002</v>
      </c>
      <c r="K44" s="179" t="s">
        <v>214</v>
      </c>
    </row>
    <row r="45" spans="1:12" ht="24.75" customHeight="1" x14ac:dyDescent="0.2">
      <c r="A45" s="227" t="s">
        <v>225</v>
      </c>
      <c r="B45" s="228"/>
      <c r="C45" s="179" t="s">
        <v>217</v>
      </c>
      <c r="D45" s="138" t="s">
        <v>40</v>
      </c>
      <c r="E45" s="121">
        <f>ROUNDDOWN(1000/(+E41*F8),2)</f>
        <v>4.91</v>
      </c>
      <c r="F45" s="107" t="s">
        <v>41</v>
      </c>
      <c r="G45" s="179" t="s">
        <v>213</v>
      </c>
      <c r="H45" s="107" t="s">
        <v>133</v>
      </c>
    </row>
    <row r="46" spans="1:12" ht="27" customHeight="1" x14ac:dyDescent="0.2">
      <c r="A46" s="5" t="s">
        <v>42</v>
      </c>
      <c r="C46" s="194"/>
      <c r="E46" s="206" t="s">
        <v>215</v>
      </c>
      <c r="F46" s="207"/>
      <c r="G46" s="219">
        <f>+C76/E45</f>
        <v>2.551859458592415</v>
      </c>
      <c r="H46" s="107" t="s">
        <v>134</v>
      </c>
      <c r="I46" s="107">
        <f>+G46*1.2</f>
        <v>3.0622313503108978</v>
      </c>
    </row>
    <row r="47" spans="1:12" ht="13.9" x14ac:dyDescent="0.3">
      <c r="A47" s="5"/>
      <c r="D47" s="39" t="s">
        <v>43</v>
      </c>
      <c r="E47" s="40">
        <v>0.71960000000000002</v>
      </c>
      <c r="G47" s="179" t="s">
        <v>211</v>
      </c>
      <c r="I47" s="179" t="s">
        <v>212</v>
      </c>
    </row>
    <row r="48" spans="1:12" ht="13.9" x14ac:dyDescent="0.3">
      <c r="A48" s="5" t="s">
        <v>44</v>
      </c>
      <c r="B48" s="186" t="s">
        <v>202</v>
      </c>
      <c r="C48" s="187"/>
      <c r="D48" s="187"/>
      <c r="E48" s="187"/>
      <c r="G48" s="107" t="s">
        <v>45</v>
      </c>
      <c r="H48" s="139">
        <f>+C76</f>
        <v>12.529629941688759</v>
      </c>
      <c r="J48" s="139" t="s">
        <v>208</v>
      </c>
    </row>
    <row r="49" spans="1:13" ht="13.9" x14ac:dyDescent="0.3">
      <c r="A49" s="107" t="s">
        <v>46</v>
      </c>
      <c r="C49" s="32">
        <v>0.1</v>
      </c>
      <c r="D49" s="42" t="s">
        <v>47</v>
      </c>
      <c r="E49" s="42" t="s">
        <v>26</v>
      </c>
      <c r="G49" s="107" t="s">
        <v>40</v>
      </c>
      <c r="H49" s="193">
        <f>+E45</f>
        <v>4.91</v>
      </c>
      <c r="I49" s="121" t="s">
        <v>48</v>
      </c>
      <c r="J49" s="193" t="s">
        <v>207</v>
      </c>
    </row>
    <row r="50" spans="1:13" ht="14.45" x14ac:dyDescent="0.3">
      <c r="A50" s="107" t="str">
        <f>+B9</f>
        <v>VISCOSA VORTEX</v>
      </c>
      <c r="B50" s="140">
        <f>ROUNDUP(((C44+H41)*C39*C9)/1000,0)</f>
        <v>375</v>
      </c>
      <c r="C50" s="188">
        <f>ROUNDUP(((+B50*100)/(1-$C$49))/100,0)</f>
        <v>417</v>
      </c>
      <c r="D50" s="142"/>
      <c r="E50" s="143">
        <f>+C50*D50</f>
        <v>0</v>
      </c>
      <c r="G50" s="107" t="s">
        <v>49</v>
      </c>
      <c r="H50" s="192">
        <f>+H48/H49</f>
        <v>2.551859458592415</v>
      </c>
      <c r="I50" s="138" t="s">
        <v>50</v>
      </c>
      <c r="J50" s="215">
        <f>+H50*0.9144</f>
        <v>2.3334202889369045</v>
      </c>
      <c r="K50" s="171" t="s">
        <v>210</v>
      </c>
      <c r="L50" s="213"/>
      <c r="M50" s="214">
        <f>+J50*1.2</f>
        <v>2.8001043467242854</v>
      </c>
    </row>
    <row r="51" spans="1:13" x14ac:dyDescent="0.2">
      <c r="A51" s="107">
        <f>+B10</f>
        <v>0</v>
      </c>
      <c r="B51" s="141">
        <f>+((C44+H41)*C39*C10)/1000</f>
        <v>0</v>
      </c>
      <c r="C51" s="141">
        <f>ROUNDUP(((+B51*100)/(1-$C$49))/100,0)</f>
        <v>0</v>
      </c>
      <c r="D51" s="142"/>
      <c r="E51" s="143">
        <f>+C51*D51</f>
        <v>0</v>
      </c>
      <c r="G51" s="107" t="s">
        <v>51</v>
      </c>
      <c r="H51" s="139">
        <f>+E41</f>
        <v>1.85</v>
      </c>
      <c r="I51" s="121" t="s">
        <v>52</v>
      </c>
      <c r="J51" s="216">
        <f>+H51/2.544*100</f>
        <v>72.720125786163521</v>
      </c>
      <c r="K51" s="107" t="s">
        <v>53</v>
      </c>
      <c r="M51" s="214" t="s">
        <v>209</v>
      </c>
    </row>
    <row r="52" spans="1:13" x14ac:dyDescent="0.2">
      <c r="A52" s="107">
        <f>+B11</f>
        <v>0</v>
      </c>
      <c r="B52" s="127">
        <f>+(C44*C39*C11)/1000</f>
        <v>0</v>
      </c>
      <c r="C52" s="127">
        <f>(+B52*C49)+B52</f>
        <v>0</v>
      </c>
      <c r="D52" s="142"/>
      <c r="E52" s="143">
        <f>+C52*D52</f>
        <v>0</v>
      </c>
      <c r="G52" s="107" t="s">
        <v>54</v>
      </c>
      <c r="H52" s="107">
        <v>1</v>
      </c>
      <c r="J52" s="217" t="s">
        <v>206</v>
      </c>
      <c r="K52" s="218"/>
    </row>
    <row r="53" spans="1:13" ht="13.9" x14ac:dyDescent="0.3">
      <c r="A53" s="107" t="s">
        <v>26</v>
      </c>
      <c r="B53" s="141">
        <f>SUM(B50:B52)</f>
        <v>375</v>
      </c>
      <c r="C53" s="141">
        <f>SUM(C50:C52)</f>
        <v>417</v>
      </c>
      <c r="E53" s="143">
        <f>SUM(E49:E52)</f>
        <v>0</v>
      </c>
      <c r="H53" s="139" t="s">
        <v>204</v>
      </c>
      <c r="I53" s="192" t="s">
        <v>205</v>
      </c>
    </row>
    <row r="54" spans="1:13" ht="13.9" x14ac:dyDescent="0.3">
      <c r="C54" s="189" t="s">
        <v>203</v>
      </c>
      <c r="D54" s="190"/>
      <c r="E54" s="191"/>
      <c r="F54" s="190"/>
    </row>
    <row r="55" spans="1:13" ht="13.9" x14ac:dyDescent="0.3">
      <c r="A55" s="5" t="s">
        <v>55</v>
      </c>
      <c r="B55" s="142"/>
      <c r="C55" s="127"/>
      <c r="E55" s="143"/>
    </row>
    <row r="56" spans="1:13" ht="13.9" x14ac:dyDescent="0.3">
      <c r="C56" s="127"/>
    </row>
    <row r="57" spans="1:13" x14ac:dyDescent="0.2">
      <c r="A57" s="30" t="s">
        <v>56</v>
      </c>
      <c r="B57" s="50" t="s">
        <v>47</v>
      </c>
      <c r="C57" s="51" t="s">
        <v>57</v>
      </c>
      <c r="D57" s="50" t="s">
        <v>26</v>
      </c>
      <c r="E57" s="50" t="s">
        <v>58</v>
      </c>
      <c r="G57" s="52" t="s">
        <v>59</v>
      </c>
    </row>
    <row r="58" spans="1:13" ht="13.9" x14ac:dyDescent="0.3">
      <c r="B58" s="179" t="s">
        <v>199</v>
      </c>
      <c r="C58" s="179" t="s">
        <v>200</v>
      </c>
      <c r="D58" s="179" t="s">
        <v>201</v>
      </c>
    </row>
    <row r="59" spans="1:13" x14ac:dyDescent="0.2">
      <c r="A59" s="107" t="str">
        <f>+A16</f>
        <v>EVENING BLUE</v>
      </c>
      <c r="B59" s="142">
        <f>3.2+8+0.9</f>
        <v>12.1</v>
      </c>
      <c r="C59" s="141">
        <f>+D29*$C$53</f>
        <v>199.28641571194763</v>
      </c>
      <c r="D59" s="143">
        <f>+B59*C59</f>
        <v>2411.3656301145661</v>
      </c>
      <c r="E59" s="142"/>
      <c r="G59" s="107" t="s">
        <v>151</v>
      </c>
    </row>
    <row r="60" spans="1:13" ht="13.9" x14ac:dyDescent="0.3">
      <c r="A60" s="107" t="str">
        <f>+A17</f>
        <v>WHITE</v>
      </c>
      <c r="B60" s="142">
        <f>1.6+8+0.9</f>
        <v>10.5</v>
      </c>
      <c r="C60" s="141">
        <f>+D30*$C$53</f>
        <v>217.71358428805235</v>
      </c>
      <c r="D60" s="143">
        <f>+B60*C60</f>
        <v>2285.9926350245496</v>
      </c>
      <c r="E60" s="142"/>
      <c r="G60" s="107" t="s">
        <v>152</v>
      </c>
    </row>
    <row r="61" spans="1:13" x14ac:dyDescent="0.2">
      <c r="A61" s="107">
        <f>+A18</f>
        <v>0</v>
      </c>
      <c r="B61" s="179" t="s">
        <v>198</v>
      </c>
      <c r="C61" s="141">
        <f>+D31*$C$53</f>
        <v>0</v>
      </c>
      <c r="D61" s="143">
        <v>0</v>
      </c>
      <c r="E61" s="142"/>
      <c r="G61" s="107" t="s">
        <v>161</v>
      </c>
    </row>
    <row r="62" spans="1:13" ht="13.9" x14ac:dyDescent="0.3">
      <c r="A62" s="107">
        <f>+A19</f>
        <v>0</v>
      </c>
      <c r="B62" s="142"/>
      <c r="C62" s="141">
        <f>+D32*$C$53</f>
        <v>0</v>
      </c>
      <c r="D62" s="143">
        <f>+B62*C62</f>
        <v>0</v>
      </c>
      <c r="E62" s="142"/>
    </row>
    <row r="63" spans="1:13" ht="13.9" x14ac:dyDescent="0.3">
      <c r="A63" s="107">
        <f>+A20</f>
        <v>0</v>
      </c>
      <c r="B63" s="142"/>
      <c r="C63" s="141">
        <f>+D33*$C$53</f>
        <v>0</v>
      </c>
      <c r="D63" s="143">
        <f>+B63*C63</f>
        <v>0</v>
      </c>
      <c r="E63" s="142"/>
    </row>
    <row r="64" spans="1:13" ht="13.9" x14ac:dyDescent="0.3">
      <c r="B64" s="142"/>
      <c r="C64" s="141"/>
      <c r="D64" s="143"/>
      <c r="E64" s="142"/>
    </row>
    <row r="65" spans="1:11" ht="11.25" customHeight="1" x14ac:dyDescent="0.3">
      <c r="B65" s="142"/>
      <c r="C65" s="127"/>
      <c r="D65" s="143"/>
      <c r="E65" s="142"/>
    </row>
    <row r="66" spans="1:11" ht="11.25" customHeight="1" x14ac:dyDescent="0.3">
      <c r="B66" s="142"/>
      <c r="C66" s="127"/>
      <c r="D66" s="143"/>
      <c r="E66" s="142"/>
    </row>
    <row r="67" spans="1:11" ht="11.25" customHeight="1" x14ac:dyDescent="0.3">
      <c r="B67" s="142"/>
      <c r="C67" s="127"/>
      <c r="D67" s="143"/>
      <c r="E67" s="142"/>
    </row>
    <row r="68" spans="1:11" ht="11.25" customHeight="1" x14ac:dyDescent="0.3">
      <c r="B68" s="142"/>
      <c r="C68" s="127"/>
      <c r="D68" s="143"/>
      <c r="E68" s="142"/>
    </row>
    <row r="69" spans="1:11" ht="13.9" x14ac:dyDescent="0.3">
      <c r="A69" s="107" t="s">
        <v>26</v>
      </c>
      <c r="C69" s="141">
        <f>SUM(C59:C68)</f>
        <v>417</v>
      </c>
      <c r="D69" s="143">
        <f>SUM(D59:D68)</f>
        <v>4697.3582651391152</v>
      </c>
      <c r="E69" s="127"/>
      <c r="F69" s="141"/>
    </row>
    <row r="70" spans="1:11" ht="12" customHeight="1" x14ac:dyDescent="0.3">
      <c r="E70" s="144"/>
    </row>
    <row r="71" spans="1:11" ht="13.9" x14ac:dyDescent="0.3">
      <c r="A71" s="5" t="s">
        <v>49</v>
      </c>
    </row>
    <row r="72" spans="1:11" ht="8.4499999999999993" customHeight="1" x14ac:dyDescent="0.3"/>
    <row r="73" spans="1:11" ht="13.9" x14ac:dyDescent="0.3">
      <c r="A73" s="107" t="s">
        <v>44</v>
      </c>
      <c r="B73" s="143">
        <f>+E53</f>
        <v>0</v>
      </c>
      <c r="C73" s="179" t="s">
        <v>196</v>
      </c>
    </row>
    <row r="74" spans="1:11" ht="13.9" x14ac:dyDescent="0.3">
      <c r="A74" s="107" t="s">
        <v>60</v>
      </c>
      <c r="B74" s="143">
        <f>+(B55*C53)</f>
        <v>0</v>
      </c>
      <c r="C74" s="179" t="s">
        <v>195</v>
      </c>
    </row>
    <row r="75" spans="1:11" x14ac:dyDescent="0.2">
      <c r="A75" s="107" t="s">
        <v>61</v>
      </c>
      <c r="B75" s="143">
        <f>+D69</f>
        <v>4697.3582651391152</v>
      </c>
      <c r="C75" s="179" t="s">
        <v>194</v>
      </c>
    </row>
    <row r="76" spans="1:11" ht="14.45" x14ac:dyDescent="0.3">
      <c r="A76" s="107" t="s">
        <v>26</v>
      </c>
      <c r="B76" s="182">
        <f>IF(F8&gt;0,B73+B74+B75,E44*C39*J50)</f>
        <v>4697.3582651391152</v>
      </c>
      <c r="C76" s="145">
        <f>+B76/(B53-C49)</f>
        <v>12.529629941688759</v>
      </c>
      <c r="D76" s="107" t="s">
        <v>62</v>
      </c>
      <c r="F76" s="179" t="s">
        <v>192</v>
      </c>
      <c r="G76" s="179"/>
    </row>
    <row r="77" spans="1:11" ht="13.9" x14ac:dyDescent="0.3">
      <c r="B77" s="183" t="s">
        <v>193</v>
      </c>
      <c r="C77" s="184"/>
      <c r="D77" s="185"/>
    </row>
    <row r="78" spans="1:11" ht="13.9" x14ac:dyDescent="0.3">
      <c r="A78" s="5" t="s">
        <v>63</v>
      </c>
      <c r="B78" s="55">
        <f>IF(B76&gt;0,B76/C26,J50*E44)</f>
        <v>2.8960285235136345</v>
      </c>
      <c r="C78" s="179" t="s">
        <v>191</v>
      </c>
      <c r="D78" s="179"/>
    </row>
    <row r="79" spans="1:11" ht="27.6" x14ac:dyDescent="0.3">
      <c r="A79" s="169" t="s">
        <v>64</v>
      </c>
      <c r="B79" s="169" t="s">
        <v>65</v>
      </c>
      <c r="C79" s="169" t="s">
        <v>66</v>
      </c>
      <c r="D79" s="169" t="s">
        <v>67</v>
      </c>
      <c r="E79" s="169" t="s">
        <v>68</v>
      </c>
      <c r="F79" s="169" t="s">
        <v>69</v>
      </c>
      <c r="G79" s="169" t="s">
        <v>47</v>
      </c>
      <c r="H79" s="169" t="s">
        <v>70</v>
      </c>
      <c r="I79" s="169" t="s">
        <v>71</v>
      </c>
      <c r="J79" s="169" t="s">
        <v>72</v>
      </c>
      <c r="K79" s="169" t="s">
        <v>73</v>
      </c>
    </row>
    <row r="80" spans="1:11" ht="13.9" x14ac:dyDescent="0.3">
      <c r="A80" s="146" t="s">
        <v>74</v>
      </c>
      <c r="B80" s="147"/>
      <c r="C80" s="146">
        <f>+G80/E80</f>
        <v>4.7025371828521431E-4</v>
      </c>
      <c r="D80" s="121" t="s">
        <v>75</v>
      </c>
      <c r="E80" s="121">
        <v>4572</v>
      </c>
      <c r="F80" s="121" t="s">
        <v>76</v>
      </c>
      <c r="G80" s="148">
        <v>2.15</v>
      </c>
      <c r="H80" s="149">
        <v>0.1</v>
      </c>
      <c r="I80" s="126">
        <v>150</v>
      </c>
      <c r="J80" s="150">
        <f>((+I80/E80)*G80)*H80+((+I80/E80)*G80)</f>
        <v>7.759186351706035E-2</v>
      </c>
      <c r="K80" s="143">
        <f>+J80*$C$39</f>
        <v>142.22588582677162</v>
      </c>
    </row>
    <row r="81" spans="1:13" ht="13.9" x14ac:dyDescent="0.3">
      <c r="A81" s="61" t="s">
        <v>77</v>
      </c>
      <c r="B81" s="147" t="s">
        <v>142</v>
      </c>
      <c r="C81" s="146">
        <f t="shared" ref="C81:C91" si="3">+G81/E81</f>
        <v>0.1275</v>
      </c>
      <c r="D81" s="121" t="s">
        <v>78</v>
      </c>
      <c r="E81" s="121">
        <v>1000</v>
      </c>
      <c r="F81" s="121" t="s">
        <v>79</v>
      </c>
      <c r="G81" s="148">
        <f>75*1.7</f>
        <v>127.5</v>
      </c>
      <c r="H81" s="149">
        <v>0.1</v>
      </c>
      <c r="I81" s="126">
        <v>1</v>
      </c>
      <c r="J81" s="150">
        <f t="shared" ref="J81:J91" si="4">((+I81/E81)*G81)*H81+((+I81/E81)*G81)</f>
        <v>0.14025000000000001</v>
      </c>
      <c r="K81" s="143">
        <f t="shared" ref="K81:K91" si="5">+J81*$C$39</f>
        <v>257.07825000000003</v>
      </c>
    </row>
    <row r="82" spans="1:13" ht="13.9" x14ac:dyDescent="0.3">
      <c r="A82" s="151" t="s">
        <v>136</v>
      </c>
      <c r="B82" s="147" t="s">
        <v>143</v>
      </c>
      <c r="C82" s="146">
        <f t="shared" si="3"/>
        <v>8.8740000000000013E-2</v>
      </c>
      <c r="D82" s="121" t="s">
        <v>78</v>
      </c>
      <c r="E82" s="121">
        <v>1000</v>
      </c>
      <c r="F82" s="121" t="s">
        <v>79</v>
      </c>
      <c r="G82" s="148">
        <f>52.2*1.7</f>
        <v>88.740000000000009</v>
      </c>
      <c r="H82" s="149">
        <v>0.1</v>
      </c>
      <c r="I82" s="126">
        <v>1</v>
      </c>
      <c r="J82" s="150">
        <f t="shared" si="4"/>
        <v>9.761400000000002E-2</v>
      </c>
      <c r="K82" s="143">
        <f t="shared" si="5"/>
        <v>178.92646200000004</v>
      </c>
    </row>
    <row r="83" spans="1:13" ht="13.9" x14ac:dyDescent="0.3">
      <c r="A83" s="61" t="s">
        <v>137</v>
      </c>
      <c r="B83" s="147"/>
      <c r="C83" s="146">
        <f t="shared" si="3"/>
        <v>4.573E-2</v>
      </c>
      <c r="D83" s="121" t="s">
        <v>78</v>
      </c>
      <c r="E83" s="121">
        <v>1000</v>
      </c>
      <c r="F83" s="121" t="s">
        <v>79</v>
      </c>
      <c r="G83" s="148">
        <f>26.9*1.7</f>
        <v>45.73</v>
      </c>
      <c r="H83" s="149">
        <v>0.1</v>
      </c>
      <c r="I83" s="126">
        <v>1</v>
      </c>
      <c r="J83" s="150">
        <f t="shared" si="4"/>
        <v>5.0303E-2</v>
      </c>
      <c r="K83" s="143">
        <f t="shared" si="5"/>
        <v>92.205399</v>
      </c>
    </row>
    <row r="84" spans="1:13" ht="15" x14ac:dyDescent="0.25">
      <c r="A84" s="95" t="s">
        <v>154</v>
      </c>
      <c r="B84" s="152"/>
      <c r="C84" s="146">
        <f t="shared" si="3"/>
        <v>9.4E-2</v>
      </c>
      <c r="D84" s="153" t="s">
        <v>78</v>
      </c>
      <c r="E84" s="153">
        <v>1000</v>
      </c>
      <c r="F84" s="153" t="s">
        <v>79</v>
      </c>
      <c r="G84" s="154">
        <v>94</v>
      </c>
      <c r="H84" s="155">
        <v>0.1</v>
      </c>
      <c r="I84" s="156">
        <v>18</v>
      </c>
      <c r="J84" s="157">
        <f>((+I84/E84)*G84)*H84+((+I84/E84)*G84)</f>
        <v>1.8612</v>
      </c>
      <c r="K84" s="158">
        <f>+J84*$C$39</f>
        <v>3411.5796</v>
      </c>
      <c r="L84" s="107">
        <f>250/2.65</f>
        <v>94.339622641509436</v>
      </c>
      <c r="M84" s="221">
        <f>+J84/I84</f>
        <v>0.10339999999999999</v>
      </c>
    </row>
    <row r="85" spans="1:13" x14ac:dyDescent="0.2">
      <c r="A85" s="61" t="s">
        <v>138</v>
      </c>
      <c r="B85" s="147"/>
      <c r="C85" s="146">
        <f t="shared" si="3"/>
        <v>0.41098901098901097</v>
      </c>
      <c r="D85" s="121" t="s">
        <v>139</v>
      </c>
      <c r="E85" s="121">
        <v>0.91</v>
      </c>
      <c r="F85" s="121" t="s">
        <v>76</v>
      </c>
      <c r="G85" s="148">
        <f>0.22*1.7</f>
        <v>0.374</v>
      </c>
      <c r="H85" s="149">
        <v>0.1</v>
      </c>
      <c r="I85" s="126">
        <v>0.9</v>
      </c>
      <c r="J85" s="150">
        <f t="shared" si="4"/>
        <v>0.40687912087912087</v>
      </c>
      <c r="K85" s="143">
        <f t="shared" si="5"/>
        <v>745.80942857142861</v>
      </c>
      <c r="L85" s="223" t="s">
        <v>222</v>
      </c>
      <c r="M85" s="224"/>
    </row>
    <row r="86" spans="1:13" ht="15" x14ac:dyDescent="0.25">
      <c r="A86" s="146" t="s">
        <v>80</v>
      </c>
      <c r="B86" s="147"/>
      <c r="C86" s="146">
        <f t="shared" si="3"/>
        <v>2.5999999999999999E-2</v>
      </c>
      <c r="D86" s="121" t="s">
        <v>78</v>
      </c>
      <c r="E86" s="121">
        <v>1000</v>
      </c>
      <c r="F86" s="121" t="s">
        <v>79</v>
      </c>
      <c r="G86" s="148">
        <v>26</v>
      </c>
      <c r="H86" s="149">
        <v>0.1</v>
      </c>
      <c r="I86" s="126">
        <v>1</v>
      </c>
      <c r="J86" s="150">
        <f t="shared" si="4"/>
        <v>2.8600000000000004E-2</v>
      </c>
      <c r="K86" s="143">
        <f t="shared" si="5"/>
        <v>52.423800000000007</v>
      </c>
      <c r="M86" s="222" t="s">
        <v>223</v>
      </c>
    </row>
    <row r="87" spans="1:13" ht="13.9" x14ac:dyDescent="0.3">
      <c r="A87" s="61" t="s">
        <v>135</v>
      </c>
      <c r="B87" s="147" t="s">
        <v>141</v>
      </c>
      <c r="C87" s="146">
        <f t="shared" si="3"/>
        <v>0.71399999999999997</v>
      </c>
      <c r="D87" s="62" t="s">
        <v>78</v>
      </c>
      <c r="E87" s="121">
        <v>1000</v>
      </c>
      <c r="F87" s="121" t="s">
        <v>79</v>
      </c>
      <c r="G87" s="159">
        <f>420*1.7</f>
        <v>714</v>
      </c>
      <c r="H87" s="149">
        <v>0.1</v>
      </c>
      <c r="I87" s="126">
        <v>1</v>
      </c>
      <c r="J87" s="150">
        <f t="shared" si="4"/>
        <v>0.78539999999999999</v>
      </c>
      <c r="K87" s="143">
        <f t="shared" si="5"/>
        <v>1439.6381999999999</v>
      </c>
    </row>
    <row r="88" spans="1:13" ht="13.9" x14ac:dyDescent="0.3">
      <c r="A88" s="146" t="s">
        <v>81</v>
      </c>
      <c r="B88" s="63"/>
      <c r="C88" s="146">
        <f t="shared" si="3"/>
        <v>1.0999999999999999E-2</v>
      </c>
      <c r="D88" s="121" t="s">
        <v>78</v>
      </c>
      <c r="E88" s="121">
        <v>1000</v>
      </c>
      <c r="F88" s="121" t="s">
        <v>79</v>
      </c>
      <c r="G88" s="148">
        <v>11</v>
      </c>
      <c r="H88" s="149">
        <v>0.1</v>
      </c>
      <c r="I88" s="130">
        <f>1/F11</f>
        <v>2.0833333333333332E-2</v>
      </c>
      <c r="J88" s="150">
        <f t="shared" si="4"/>
        <v>2.5208333333333333E-4</v>
      </c>
      <c r="K88" s="143">
        <f t="shared" si="5"/>
        <v>0.46206874999999997</v>
      </c>
    </row>
    <row r="89" spans="1:13" ht="13.9" x14ac:dyDescent="0.3">
      <c r="A89" s="146" t="s">
        <v>82</v>
      </c>
      <c r="B89" s="147"/>
      <c r="C89" s="146">
        <f t="shared" si="3"/>
        <v>2.7</v>
      </c>
      <c r="D89" s="121" t="s">
        <v>79</v>
      </c>
      <c r="E89" s="121">
        <v>1</v>
      </c>
      <c r="F89" s="121" t="s">
        <v>79</v>
      </c>
      <c r="G89" s="148">
        <v>2.7</v>
      </c>
      <c r="H89" s="149">
        <v>0.1</v>
      </c>
      <c r="I89" s="130">
        <f>1/F11</f>
        <v>2.0833333333333332E-2</v>
      </c>
      <c r="J89" s="150">
        <f t="shared" si="4"/>
        <v>6.1874999999999999E-2</v>
      </c>
      <c r="K89" s="143">
        <f t="shared" si="5"/>
        <v>113.416875</v>
      </c>
    </row>
    <row r="90" spans="1:13" ht="13.9" x14ac:dyDescent="0.3">
      <c r="A90" s="146" t="s">
        <v>83</v>
      </c>
      <c r="B90" s="147"/>
      <c r="C90" s="146">
        <f t="shared" si="3"/>
        <v>3.6150000000000009E-2</v>
      </c>
      <c r="D90" s="121" t="s">
        <v>78</v>
      </c>
      <c r="E90" s="121">
        <v>1000</v>
      </c>
      <c r="F90" s="121" t="s">
        <v>79</v>
      </c>
      <c r="G90" s="148">
        <f>+(12.69+11.41)*1.5</f>
        <v>36.150000000000006</v>
      </c>
      <c r="H90" s="149">
        <v>0.1</v>
      </c>
      <c r="I90" s="126">
        <f>1/F11</f>
        <v>2.0833333333333332E-2</v>
      </c>
      <c r="J90" s="150">
        <f t="shared" si="4"/>
        <v>8.2843750000000018E-4</v>
      </c>
      <c r="K90" s="143">
        <f t="shared" si="5"/>
        <v>1.5185259375000004</v>
      </c>
    </row>
    <row r="91" spans="1:13" ht="13.9" x14ac:dyDescent="0.3">
      <c r="A91" s="146" t="s">
        <v>84</v>
      </c>
      <c r="B91" s="147"/>
      <c r="C91" s="146">
        <f t="shared" si="3"/>
        <v>0.01</v>
      </c>
      <c r="D91" s="121" t="s">
        <v>85</v>
      </c>
      <c r="E91" s="121">
        <v>100</v>
      </c>
      <c r="F91" s="121" t="s">
        <v>76</v>
      </c>
      <c r="G91" s="148">
        <v>1</v>
      </c>
      <c r="H91" s="149">
        <v>0.1</v>
      </c>
      <c r="I91" s="126">
        <f>5/F8</f>
        <v>4.5454545454545456E-2</v>
      </c>
      <c r="J91" s="150">
        <f t="shared" si="4"/>
        <v>5.0000000000000001E-4</v>
      </c>
      <c r="K91" s="143">
        <f t="shared" si="5"/>
        <v>0.91649999999999998</v>
      </c>
    </row>
    <row r="92" spans="1:13" ht="13.9" x14ac:dyDescent="0.3">
      <c r="A92" s="107" t="s">
        <v>86</v>
      </c>
      <c r="B92" s="138"/>
      <c r="C92" s="138"/>
      <c r="D92" s="138"/>
      <c r="E92" s="160"/>
      <c r="F92" s="161"/>
      <c r="J92" s="67">
        <f>SUM(J80:J91)</f>
        <v>3.5112935052295149</v>
      </c>
      <c r="K92" s="143">
        <f>SUM(K80:K91)</f>
        <v>6436.2009950857009</v>
      </c>
    </row>
    <row r="93" spans="1:13" x14ac:dyDescent="0.2">
      <c r="B93" s="138"/>
      <c r="C93" s="138"/>
      <c r="D93" s="138"/>
      <c r="E93" s="160"/>
      <c r="F93" s="179" t="s">
        <v>186</v>
      </c>
      <c r="G93" s="179" t="s">
        <v>185</v>
      </c>
      <c r="H93" s="179"/>
      <c r="I93" s="179" t="s">
        <v>188</v>
      </c>
      <c r="J93" s="220" t="s">
        <v>189</v>
      </c>
      <c r="K93" s="179"/>
      <c r="L93" s="179"/>
      <c r="M93" s="179"/>
    </row>
    <row r="94" spans="1:13" ht="13.9" x14ac:dyDescent="0.3">
      <c r="B94" s="138"/>
      <c r="C94" s="138"/>
      <c r="D94" s="138"/>
      <c r="E94" s="160"/>
      <c r="F94" s="161"/>
      <c r="H94" s="162"/>
      <c r="K94" s="179" t="s">
        <v>190</v>
      </c>
      <c r="L94" s="177"/>
    </row>
    <row r="95" spans="1:13" ht="13.9" x14ac:dyDescent="0.3">
      <c r="A95" s="31" t="s">
        <v>87</v>
      </c>
      <c r="B95" s="31" t="s">
        <v>67</v>
      </c>
      <c r="C95" s="31" t="s">
        <v>68</v>
      </c>
      <c r="D95" s="31" t="s">
        <v>69</v>
      </c>
      <c r="E95" s="31" t="s">
        <v>47</v>
      </c>
      <c r="F95" s="31" t="s">
        <v>70</v>
      </c>
      <c r="G95" s="31" t="s">
        <v>71</v>
      </c>
      <c r="H95" s="31" t="s">
        <v>72</v>
      </c>
      <c r="I95" s="31" t="s">
        <v>73</v>
      </c>
    </row>
    <row r="96" spans="1:13" ht="13.9" x14ac:dyDescent="0.3">
      <c r="A96" s="107" t="s">
        <v>88</v>
      </c>
      <c r="B96" s="138"/>
      <c r="C96" s="107">
        <v>1</v>
      </c>
      <c r="E96" s="126"/>
      <c r="F96" s="121"/>
      <c r="G96" s="107">
        <v>2</v>
      </c>
      <c r="H96" s="162">
        <f>((+G96/C96)*E96)*F96+((+G96/C96)*E96)</f>
        <v>0</v>
      </c>
      <c r="I96" s="143">
        <f>+H96*$C$39</f>
        <v>0</v>
      </c>
      <c r="J96" s="175" t="s">
        <v>180</v>
      </c>
      <c r="K96" s="177"/>
    </row>
    <row r="97" spans="1:12" x14ac:dyDescent="0.2">
      <c r="A97" s="107" t="s">
        <v>89</v>
      </c>
      <c r="B97" s="138"/>
      <c r="C97" s="107">
        <v>1</v>
      </c>
      <c r="E97" s="126"/>
      <c r="F97" s="121"/>
      <c r="G97" s="107">
        <v>1</v>
      </c>
      <c r="H97" s="162">
        <f>((+G97/C97)*E97)*F97+((+G97/C97)*E97)</f>
        <v>0</v>
      </c>
      <c r="I97" s="143">
        <f>+H97*$C$39</f>
        <v>0</v>
      </c>
    </row>
    <row r="98" spans="1:12" x14ac:dyDescent="0.2">
      <c r="A98" s="107" t="s">
        <v>90</v>
      </c>
      <c r="H98" s="69">
        <f>SUM(H96:H97)</f>
        <v>0</v>
      </c>
      <c r="I98" s="143">
        <f>SUM(I96:I97)</f>
        <v>0</v>
      </c>
    </row>
    <row r="99" spans="1:12" ht="15" x14ac:dyDescent="0.25">
      <c r="H99" s="175" t="s">
        <v>179</v>
      </c>
      <c r="I99" s="174"/>
      <c r="J99" s="174"/>
      <c r="K99" s="174"/>
      <c r="L99" s="174"/>
    </row>
    <row r="100" spans="1:12" x14ac:dyDescent="0.2">
      <c r="H100" s="171"/>
      <c r="I100" s="172"/>
      <c r="J100" s="172"/>
      <c r="K100" s="172"/>
    </row>
    <row r="101" spans="1:12" x14ac:dyDescent="0.2">
      <c r="A101" s="30" t="s">
        <v>91</v>
      </c>
      <c r="B101" s="31" t="s">
        <v>67</v>
      </c>
      <c r="C101" s="31" t="s">
        <v>68</v>
      </c>
      <c r="D101" s="31" t="s">
        <v>69</v>
      </c>
      <c r="E101" s="31" t="s">
        <v>47</v>
      </c>
      <c r="F101" s="31" t="s">
        <v>70</v>
      </c>
      <c r="G101" s="31" t="s">
        <v>71</v>
      </c>
      <c r="H101" s="31" t="s">
        <v>72</v>
      </c>
      <c r="I101" s="31" t="s">
        <v>73</v>
      </c>
    </row>
    <row r="102" spans="1:12" x14ac:dyDescent="0.2">
      <c r="A102" s="107" t="s">
        <v>92</v>
      </c>
      <c r="B102" s="138" t="s">
        <v>93</v>
      </c>
      <c r="C102" s="107">
        <v>1</v>
      </c>
      <c r="D102" s="138" t="s">
        <v>94</v>
      </c>
      <c r="E102" s="142">
        <f>4.33*0.08</f>
        <v>0.34639999999999999</v>
      </c>
      <c r="F102" s="149">
        <v>0</v>
      </c>
      <c r="G102" s="107">
        <v>1</v>
      </c>
      <c r="H102" s="162">
        <f>((+G102/C102)*E102)*F102+((+G102/C102)*E102)</f>
        <v>0.34639999999999999</v>
      </c>
      <c r="I102" s="143">
        <f t="shared" ref="I102:I111" si="6">+H102*$C$39</f>
        <v>634.95119999999997</v>
      </c>
    </row>
    <row r="103" spans="1:12" x14ac:dyDescent="0.2">
      <c r="A103" s="107" t="s">
        <v>95</v>
      </c>
      <c r="B103" s="138" t="s">
        <v>96</v>
      </c>
      <c r="C103" s="107">
        <v>1</v>
      </c>
      <c r="D103" s="138" t="s">
        <v>96</v>
      </c>
      <c r="E103" s="107">
        <v>0.08</v>
      </c>
      <c r="F103" s="149">
        <v>0.1</v>
      </c>
      <c r="G103" s="142">
        <v>21.78</v>
      </c>
      <c r="H103" s="162">
        <f t="shared" ref="H103:H111" si="7">((+G103/C103)*E103)*F103+((+G103/C103)*E103)</f>
        <v>1.9166400000000001</v>
      </c>
      <c r="I103" s="143">
        <f t="shared" si="6"/>
        <v>3513.2011200000002</v>
      </c>
    </row>
    <row r="104" spans="1:12" x14ac:dyDescent="0.2">
      <c r="A104" s="107" t="s">
        <v>97</v>
      </c>
      <c r="B104" s="138" t="s">
        <v>93</v>
      </c>
      <c r="C104" s="107">
        <v>1</v>
      </c>
      <c r="D104" s="138" t="s">
        <v>94</v>
      </c>
      <c r="E104" s="142">
        <f>2*0.08</f>
        <v>0.16</v>
      </c>
      <c r="F104" s="149">
        <v>0</v>
      </c>
      <c r="G104" s="107">
        <v>1</v>
      </c>
      <c r="H104" s="162">
        <f t="shared" si="7"/>
        <v>0.16</v>
      </c>
      <c r="I104" s="143">
        <f t="shared" si="6"/>
        <v>293.28000000000003</v>
      </c>
    </row>
    <row r="105" spans="1:12" x14ac:dyDescent="0.2">
      <c r="A105" s="146" t="s">
        <v>98</v>
      </c>
      <c r="B105" s="138" t="s">
        <v>99</v>
      </c>
      <c r="C105" s="107">
        <v>1</v>
      </c>
      <c r="D105" s="138" t="s">
        <v>99</v>
      </c>
      <c r="E105" s="142"/>
      <c r="F105" s="149">
        <v>0</v>
      </c>
      <c r="G105" s="107">
        <f>+C44/1000</f>
        <v>0.19128999999999999</v>
      </c>
      <c r="H105" s="162">
        <f t="shared" si="7"/>
        <v>0</v>
      </c>
      <c r="I105" s="143">
        <f t="shared" si="6"/>
        <v>0</v>
      </c>
    </row>
    <row r="106" spans="1:12" x14ac:dyDescent="0.2">
      <c r="A106" s="146" t="s">
        <v>100</v>
      </c>
      <c r="B106" s="138" t="s">
        <v>99</v>
      </c>
      <c r="C106" s="107">
        <v>1</v>
      </c>
      <c r="D106" s="138" t="s">
        <v>99</v>
      </c>
      <c r="E106" s="142"/>
      <c r="F106" s="149">
        <v>0</v>
      </c>
      <c r="G106" s="107">
        <f>+C44/1000</f>
        <v>0.19128999999999999</v>
      </c>
      <c r="H106" s="162">
        <f t="shared" si="7"/>
        <v>0</v>
      </c>
      <c r="I106" s="143">
        <f t="shared" si="6"/>
        <v>0</v>
      </c>
    </row>
    <row r="107" spans="1:12" x14ac:dyDescent="0.2">
      <c r="A107" s="146" t="s">
        <v>140</v>
      </c>
      <c r="B107" s="138" t="s">
        <v>93</v>
      </c>
      <c r="C107" s="107">
        <v>1</v>
      </c>
      <c r="D107" s="138" t="s">
        <v>94</v>
      </c>
      <c r="E107" s="70"/>
      <c r="F107" s="149">
        <v>0</v>
      </c>
      <c r="G107" s="107">
        <v>1</v>
      </c>
      <c r="H107" s="162">
        <f t="shared" si="7"/>
        <v>0</v>
      </c>
      <c r="I107" s="143">
        <f t="shared" si="6"/>
        <v>0</v>
      </c>
    </row>
    <row r="108" spans="1:12" x14ac:dyDescent="0.2">
      <c r="A108" s="146" t="s">
        <v>101</v>
      </c>
      <c r="B108" s="138" t="s">
        <v>93</v>
      </c>
      <c r="C108" s="107">
        <v>1</v>
      </c>
      <c r="D108" s="138" t="s">
        <v>94</v>
      </c>
      <c r="E108" s="142"/>
      <c r="F108" s="149"/>
      <c r="G108" s="107">
        <v>1</v>
      </c>
      <c r="H108" s="162">
        <f t="shared" si="7"/>
        <v>0</v>
      </c>
      <c r="I108" s="143">
        <f t="shared" si="6"/>
        <v>0</v>
      </c>
    </row>
    <row r="109" spans="1:12" x14ac:dyDescent="0.2">
      <c r="A109" s="146" t="s">
        <v>153</v>
      </c>
      <c r="B109" s="138" t="s">
        <v>93</v>
      </c>
      <c r="C109" s="107">
        <v>1</v>
      </c>
      <c r="D109" s="138" t="s">
        <v>94</v>
      </c>
      <c r="E109" s="142">
        <f>0.08*10</f>
        <v>0.8</v>
      </c>
      <c r="F109" s="149">
        <v>0.1</v>
      </c>
      <c r="G109" s="107">
        <v>1</v>
      </c>
      <c r="H109" s="162">
        <f>((+G109/C109)*E109)*F109+((+G109/C109)*E109)</f>
        <v>0.88000000000000012</v>
      </c>
      <c r="I109" s="143">
        <f t="shared" si="6"/>
        <v>1613.0400000000002</v>
      </c>
    </row>
    <row r="110" spans="1:12" x14ac:dyDescent="0.2">
      <c r="A110" s="146" t="s">
        <v>102</v>
      </c>
      <c r="B110" s="138" t="s">
        <v>93</v>
      </c>
      <c r="C110" s="107">
        <v>1</v>
      </c>
      <c r="D110" s="138" t="s">
        <v>94</v>
      </c>
      <c r="E110" s="142"/>
      <c r="F110" s="149"/>
      <c r="G110" s="107">
        <v>1</v>
      </c>
      <c r="H110" s="162">
        <f t="shared" si="7"/>
        <v>0</v>
      </c>
      <c r="I110" s="143">
        <f t="shared" si="6"/>
        <v>0</v>
      </c>
    </row>
    <row r="111" spans="1:12" x14ac:dyDescent="0.2">
      <c r="A111" s="146" t="s">
        <v>103</v>
      </c>
      <c r="B111" s="138" t="s">
        <v>93</v>
      </c>
      <c r="C111" s="107">
        <v>1</v>
      </c>
      <c r="D111" s="138" t="s">
        <v>94</v>
      </c>
      <c r="E111" s="142"/>
      <c r="F111" s="149">
        <v>0</v>
      </c>
      <c r="G111" s="107">
        <v>1</v>
      </c>
      <c r="H111" s="162">
        <f t="shared" si="7"/>
        <v>0</v>
      </c>
      <c r="I111" s="143">
        <f t="shared" si="6"/>
        <v>0</v>
      </c>
    </row>
    <row r="112" spans="1:12" x14ac:dyDescent="0.2">
      <c r="A112" s="111" t="s">
        <v>104</v>
      </c>
      <c r="E112" s="175" t="s">
        <v>177</v>
      </c>
      <c r="F112" s="145"/>
      <c r="H112" s="69">
        <f>SUM(H102:H111)</f>
        <v>3.3030400000000002</v>
      </c>
      <c r="I112" s="143">
        <f>SUM(I102:I111)</f>
        <v>6054.4723199999999</v>
      </c>
    </row>
    <row r="113" spans="1:12" ht="15" x14ac:dyDescent="0.25">
      <c r="F113" s="145"/>
      <c r="G113" s="175" t="s">
        <v>178</v>
      </c>
      <c r="I113" s="175" t="s">
        <v>175</v>
      </c>
      <c r="J113" s="174"/>
    </row>
    <row r="114" spans="1:12" ht="15" x14ac:dyDescent="0.25">
      <c r="A114" s="5" t="s">
        <v>105</v>
      </c>
      <c r="C114" s="163">
        <f>+F126</f>
        <v>15.35</v>
      </c>
      <c r="D114" s="179" t="s">
        <v>181</v>
      </c>
      <c r="H114" s="178" t="s">
        <v>176</v>
      </c>
      <c r="I114" s="174"/>
      <c r="J114" s="174"/>
      <c r="K114" s="174"/>
      <c r="L114" s="174"/>
    </row>
    <row r="115" spans="1:12" ht="15" x14ac:dyDescent="0.25">
      <c r="A115" s="5" t="s">
        <v>106</v>
      </c>
      <c r="C115" s="163">
        <f>+B78+J92+H98+H112</f>
        <v>9.7103620287431482</v>
      </c>
      <c r="D115" s="180" t="s">
        <v>182</v>
      </c>
      <c r="E115" s="174"/>
    </row>
    <row r="116" spans="1:12" ht="15" x14ac:dyDescent="0.25">
      <c r="A116" s="5" t="s">
        <v>107</v>
      </c>
      <c r="C116" s="163">
        <f>+C114-C115</f>
        <v>5.6396379712568514</v>
      </c>
      <c r="D116" s="180" t="s">
        <v>183</v>
      </c>
      <c r="E116" s="174"/>
    </row>
    <row r="117" spans="1:12" ht="15" x14ac:dyDescent="0.25">
      <c r="A117" s="5"/>
      <c r="C117" s="164">
        <f>+C116/C115</f>
        <v>0.58078555202815774</v>
      </c>
      <c r="D117" s="175" t="s">
        <v>184</v>
      </c>
      <c r="E117" s="174"/>
    </row>
    <row r="118" spans="1:12" x14ac:dyDescent="0.2">
      <c r="A118" s="5"/>
      <c r="C118" s="125"/>
    </row>
    <row r="119" spans="1:12" x14ac:dyDescent="0.2">
      <c r="A119" s="5"/>
      <c r="C119" s="125"/>
    </row>
    <row r="120" spans="1:12" x14ac:dyDescent="0.2">
      <c r="A120" s="5"/>
      <c r="C120" s="125"/>
    </row>
    <row r="121" spans="1:12" x14ac:dyDescent="0.2">
      <c r="A121" s="5" t="s">
        <v>108</v>
      </c>
      <c r="B121" s="121"/>
    </row>
    <row r="122" spans="1:12" ht="15" x14ac:dyDescent="0.25">
      <c r="A122" s="107" t="s">
        <v>109</v>
      </c>
      <c r="B122" s="121"/>
      <c r="C122" s="143">
        <f>((H12+F126)*C26)*F128</f>
        <v>0</v>
      </c>
      <c r="D122" s="175" t="s">
        <v>171</v>
      </c>
      <c r="E122" s="174"/>
    </row>
    <row r="123" spans="1:12" x14ac:dyDescent="0.2">
      <c r="A123" s="107" t="s">
        <v>110</v>
      </c>
      <c r="B123" s="115" t="s">
        <v>111</v>
      </c>
      <c r="C123" s="143">
        <v>500</v>
      </c>
      <c r="D123" s="173"/>
    </row>
    <row r="124" spans="1:12" x14ac:dyDescent="0.2">
      <c r="A124" s="107" t="s">
        <v>112</v>
      </c>
      <c r="B124" s="121"/>
      <c r="C124" s="143">
        <f>((+F126*C26)*0.8)*0.12/4</f>
        <v>597.54480000000012</v>
      </c>
      <c r="D124" s="175" t="s">
        <v>170</v>
      </c>
      <c r="E124" s="177"/>
    </row>
    <row r="125" spans="1:12" x14ac:dyDescent="0.2">
      <c r="A125" s="107" t="s">
        <v>113</v>
      </c>
      <c r="B125" s="115"/>
      <c r="C125" s="165">
        <f>+B125*100</f>
        <v>0</v>
      </c>
      <c r="D125" s="175" t="s">
        <v>169</v>
      </c>
    </row>
    <row r="126" spans="1:12" x14ac:dyDescent="0.2">
      <c r="A126" s="107" t="s">
        <v>114</v>
      </c>
      <c r="B126" s="175" t="s">
        <v>168</v>
      </c>
      <c r="C126" s="165">
        <f>+B125*3*C76</f>
        <v>0</v>
      </c>
      <c r="E126" s="121" t="s">
        <v>115</v>
      </c>
      <c r="F126" s="166">
        <v>15.35</v>
      </c>
      <c r="I126" s="167">
        <f>+F126</f>
        <v>15.35</v>
      </c>
      <c r="J126" s="107" t="s">
        <v>115</v>
      </c>
    </row>
    <row r="127" spans="1:12" ht="27" customHeight="1" x14ac:dyDescent="0.2">
      <c r="A127" s="107" t="s">
        <v>116</v>
      </c>
      <c r="B127" s="176" t="s">
        <v>187</v>
      </c>
      <c r="C127" s="107">
        <f>+B125*4*4*(F126+H12)</f>
        <v>0</v>
      </c>
      <c r="D127" s="181"/>
      <c r="E127" s="121" t="s">
        <v>117</v>
      </c>
      <c r="F127" s="166"/>
      <c r="I127" s="211" t="s">
        <v>160</v>
      </c>
      <c r="J127" s="211"/>
      <c r="K127" s="211"/>
    </row>
    <row r="128" spans="1:12" x14ac:dyDescent="0.2">
      <c r="A128" s="107" t="s">
        <v>118</v>
      </c>
      <c r="C128" s="143">
        <v>500</v>
      </c>
      <c r="E128" s="121" t="s">
        <v>119</v>
      </c>
      <c r="F128" s="168"/>
      <c r="I128" s="211"/>
      <c r="J128" s="211"/>
      <c r="K128" s="211"/>
    </row>
    <row r="129" spans="1:11" ht="15" customHeight="1" x14ac:dyDescent="0.2">
      <c r="A129" s="107" t="s">
        <v>120</v>
      </c>
      <c r="C129" s="143">
        <f>SUM(C122:C128)</f>
        <v>1597.5448000000001</v>
      </c>
      <c r="E129" s="120" t="s">
        <v>121</v>
      </c>
      <c r="F129" s="168">
        <v>0.05</v>
      </c>
      <c r="I129" s="211"/>
      <c r="J129" s="211"/>
      <c r="K129" s="211"/>
    </row>
    <row r="130" spans="1:11" x14ac:dyDescent="0.2">
      <c r="C130" s="143"/>
      <c r="I130" s="211"/>
      <c r="J130" s="211"/>
      <c r="K130" s="211"/>
    </row>
    <row r="131" spans="1:11" x14ac:dyDescent="0.2">
      <c r="A131" s="5" t="s">
        <v>122</v>
      </c>
      <c r="C131" s="143"/>
      <c r="E131" s="5" t="s">
        <v>123</v>
      </c>
      <c r="I131" s="211"/>
      <c r="J131" s="211"/>
      <c r="K131" s="211"/>
    </row>
    <row r="132" spans="1:11" x14ac:dyDescent="0.2">
      <c r="A132" s="107" t="s">
        <v>124</v>
      </c>
      <c r="B132" s="175" t="s">
        <v>162</v>
      </c>
      <c r="C132" s="143">
        <f>+F126*C26</f>
        <v>24897.7</v>
      </c>
      <c r="E132" s="107" t="s">
        <v>125</v>
      </c>
      <c r="G132" s="143">
        <f>+B76</f>
        <v>4697.3582651391152</v>
      </c>
      <c r="H132" s="175" t="s">
        <v>164</v>
      </c>
    </row>
    <row r="133" spans="1:11" x14ac:dyDescent="0.2">
      <c r="A133" s="107" t="s">
        <v>126</v>
      </c>
      <c r="B133" s="175" t="s">
        <v>163</v>
      </c>
      <c r="C133" s="143">
        <f>+C132*F129</f>
        <v>1244.8850000000002</v>
      </c>
      <c r="E133" s="107" t="s">
        <v>127</v>
      </c>
      <c r="G133" s="143">
        <f>+K92+I98</f>
        <v>6436.2009950857009</v>
      </c>
      <c r="H133" s="175" t="s">
        <v>165</v>
      </c>
    </row>
    <row r="134" spans="1:11" x14ac:dyDescent="0.2">
      <c r="A134" s="107" t="s">
        <v>128</v>
      </c>
      <c r="C134" s="143">
        <f>SUM(C132:C133)</f>
        <v>26142.584999999999</v>
      </c>
      <c r="E134" s="107" t="s">
        <v>91</v>
      </c>
      <c r="G134" s="143">
        <f>+I112</f>
        <v>6054.4723199999999</v>
      </c>
      <c r="H134" s="175" t="s">
        <v>166</v>
      </c>
    </row>
    <row r="135" spans="1:11" x14ac:dyDescent="0.2">
      <c r="E135" s="107" t="s">
        <v>108</v>
      </c>
      <c r="G135" s="143">
        <f>+C129</f>
        <v>1597.5448000000001</v>
      </c>
      <c r="H135" s="175" t="s">
        <v>167</v>
      </c>
    </row>
    <row r="136" spans="1:11" x14ac:dyDescent="0.2">
      <c r="E136" s="107" t="s">
        <v>129</v>
      </c>
      <c r="G136" s="143">
        <f>SUM(G132:G135)</f>
        <v>18785.576380224815</v>
      </c>
    </row>
    <row r="137" spans="1:11" x14ac:dyDescent="0.2">
      <c r="G137" s="143"/>
    </row>
    <row r="138" spans="1:11" x14ac:dyDescent="0.2">
      <c r="A138" s="107" t="s">
        <v>107</v>
      </c>
      <c r="B138" s="143">
        <f>+C134-G136</f>
        <v>7357.0086197751843</v>
      </c>
      <c r="C138" s="175" t="s">
        <v>173</v>
      </c>
      <c r="G138" s="143"/>
    </row>
    <row r="139" spans="1:11" x14ac:dyDescent="0.2">
      <c r="A139" s="107" t="s">
        <v>130</v>
      </c>
      <c r="B139" s="143">
        <f>+C132*0.02</f>
        <v>497.95400000000001</v>
      </c>
      <c r="C139" s="175" t="s">
        <v>172</v>
      </c>
      <c r="G139" s="143"/>
    </row>
    <row r="140" spans="1:11" x14ac:dyDescent="0.2">
      <c r="A140" s="107" t="s">
        <v>131</v>
      </c>
      <c r="B140" s="143">
        <f>+B138-B139</f>
        <v>6859.0546197751846</v>
      </c>
      <c r="C140" s="77">
        <f>+B140/G136</f>
        <v>0.36512345860175832</v>
      </c>
      <c r="D140" s="204" t="s">
        <v>174</v>
      </c>
      <c r="E140" s="205"/>
      <c r="G140" s="143"/>
    </row>
    <row r="141" spans="1:11" x14ac:dyDescent="0.2">
      <c r="B141" s="175" t="s">
        <v>197</v>
      </c>
      <c r="G141" s="143"/>
    </row>
  </sheetData>
  <mergeCells count="10">
    <mergeCell ref="J1:L3"/>
    <mergeCell ref="J4:L5"/>
    <mergeCell ref="A45:B45"/>
    <mergeCell ref="D140:E140"/>
    <mergeCell ref="E46:F46"/>
    <mergeCell ref="B6:C6"/>
    <mergeCell ref="B7:C7"/>
    <mergeCell ref="A44:B44"/>
    <mergeCell ref="I127:K131"/>
    <mergeCell ref="L85:M85"/>
  </mergeCells>
  <printOptions headings="1" gridLines="1"/>
  <pageMargins left="0" right="0" top="0" bottom="0" header="0" footer="0"/>
  <pageSetup paperSize="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P31P1200000 16.8.12</vt:lpstr>
      <vt:lpstr>P31P1200000 20.8.12tela cruda</vt:lpstr>
      <vt:lpstr>P31P1200000 12.10.12 x rev cons</vt:lpstr>
      <vt:lpstr>P31P1200000 16.10.12xlav de tel</vt:lpstr>
      <vt:lpstr>P31P1200000 22.10.12 ACT DE RUT</vt:lpstr>
    </vt:vector>
  </TitlesOfParts>
  <Company>El Modelador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lavellaneda</dc:creator>
  <cp:lastModifiedBy>mabel</cp:lastModifiedBy>
  <cp:lastPrinted>2012-11-20T13:01:56Z</cp:lastPrinted>
  <dcterms:created xsi:type="dcterms:W3CDTF">2010-11-22T16:07:00Z</dcterms:created>
  <dcterms:modified xsi:type="dcterms:W3CDTF">2012-11-21T18:26:44Z</dcterms:modified>
</cp:coreProperties>
</file>