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2A10B7FA-4DA7-4830-B41A-9F7E7AB42057}" xr6:coauthVersionLast="46" xr6:coauthVersionMax="46" xr10:uidLastSave="{00000000-0000-0000-0000-000000000000}"/>
  <bookViews>
    <workbookView xWindow="3480" yWindow="1170" windowWidth="21600" windowHeight="11385" activeTab="1" xr2:uid="{2202C1BA-8378-4109-9FCC-5C7E0CDB8A0F}"/>
  </bookViews>
  <sheets>
    <sheet name="정보" sheetId="3" r:id="rId1"/>
    <sheet name="원가계산" sheetId="7" r:id="rId2"/>
    <sheet name="상품가" sheetId="2" r:id="rId3"/>
    <sheet name="쿠팡" sheetId="4" r:id="rId4"/>
    <sheet name="CAFE24" sheetId="6" r:id="rId5"/>
  </sheets>
  <definedNames>
    <definedName name="_xlnm._FilterDatabase" localSheetId="4" hidden="1">CAFE24!$B$9:$C$40</definedName>
    <definedName name="_xlnm._FilterDatabase" localSheetId="3" hidden="1">쿠팡!$B$9:$D$53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4" i="7" l="1"/>
  <c r="O22" i="7"/>
  <c r="O26" i="7"/>
  <c r="O25" i="7"/>
  <c r="O23" i="7"/>
  <c r="N23" i="7"/>
  <c r="N24" i="7"/>
  <c r="N25" i="7"/>
  <c r="N26" i="7"/>
  <c r="N22" i="7"/>
  <c r="M26" i="7"/>
  <c r="M25" i="7"/>
  <c r="M24" i="7"/>
  <c r="M23" i="7"/>
  <c r="M22" i="7"/>
  <c r="M20" i="7"/>
  <c r="L20" i="7"/>
  <c r="K20" i="7"/>
  <c r="J20" i="7"/>
  <c r="E14" i="7"/>
  <c r="E13" i="7"/>
  <c r="E12" i="7"/>
  <c r="D34" i="7"/>
  <c r="D33" i="7"/>
  <c r="D35" i="7"/>
  <c r="L4" i="7"/>
  <c r="O4" i="7"/>
  <c r="L5" i="7"/>
  <c r="O5" i="7"/>
  <c r="L6" i="7"/>
  <c r="O6" i="7"/>
  <c r="L7" i="7"/>
  <c r="O7" i="7"/>
  <c r="L8" i="7"/>
  <c r="O8" i="7"/>
  <c r="L9" i="7"/>
  <c r="O9" i="7"/>
  <c r="L10" i="7"/>
  <c r="O10" i="7"/>
  <c r="O3" i="7"/>
  <c r="L3" i="7"/>
  <c r="E26" i="7"/>
  <c r="P4" i="7" s="1"/>
  <c r="E25" i="7"/>
  <c r="E11" i="7"/>
  <c r="N10" i="7" s="1"/>
  <c r="E10" i="7"/>
  <c r="N8" i="7" s="1"/>
  <c r="E9" i="7"/>
  <c r="N7" i="7" s="1"/>
  <c r="E24" i="7"/>
  <c r="N5" i="7" s="1"/>
  <c r="E23" i="7"/>
  <c r="N4" i="7" s="1"/>
  <c r="E21" i="7"/>
  <c r="Q4" i="7" s="1"/>
  <c r="E20" i="7"/>
  <c r="E19" i="7"/>
  <c r="E18" i="7"/>
  <c r="E17" i="7"/>
  <c r="E16" i="7"/>
  <c r="E15" i="7"/>
  <c r="E6" i="7"/>
  <c r="E7" i="7" s="1"/>
  <c r="M5" i="7" s="1"/>
  <c r="Q3" i="7" l="1"/>
  <c r="P3" i="7"/>
  <c r="N6" i="7"/>
  <c r="N9" i="7"/>
  <c r="M3" i="7"/>
  <c r="M10" i="7"/>
  <c r="M8" i="7"/>
  <c r="M6" i="7"/>
  <c r="M4" i="7"/>
  <c r="R4" i="7" s="1"/>
  <c r="N3" i="7"/>
  <c r="R7" i="7"/>
  <c r="M9" i="7"/>
  <c r="R9" i="7" s="1"/>
  <c r="M7" i="7"/>
  <c r="P10" i="7"/>
  <c r="P9" i="7"/>
  <c r="P8" i="7"/>
  <c r="P7" i="7"/>
  <c r="P6" i="7"/>
  <c r="P5" i="7"/>
  <c r="R5" i="7" s="1"/>
  <c r="AY8" i="2"/>
  <c r="AV7" i="2"/>
  <c r="AY7" i="2" s="1"/>
  <c r="AY6" i="2"/>
  <c r="AV6" i="2"/>
  <c r="AY5" i="2"/>
  <c r="AY4" i="2"/>
  <c r="AY9" i="2" s="1"/>
  <c r="AY2" i="2"/>
  <c r="AW3" i="2" s="1"/>
  <c r="AY3" i="2" s="1"/>
  <c r="AV2" i="2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2" i="3"/>
  <c r="V2" i="3"/>
  <c r="W2" i="3" s="1"/>
  <c r="V3" i="3"/>
  <c r="W3" i="3"/>
  <c r="V4" i="3"/>
  <c r="W4" i="3" s="1"/>
  <c r="V5" i="3"/>
  <c r="W5" i="3" s="1"/>
  <c r="V6" i="3"/>
  <c r="W6" i="3" s="1"/>
  <c r="V7" i="3"/>
  <c r="W7" i="3" s="1"/>
  <c r="V8" i="3"/>
  <c r="W8" i="3" s="1"/>
  <c r="V9" i="3"/>
  <c r="W9" i="3"/>
  <c r="V10" i="3"/>
  <c r="W10" i="3" s="1"/>
  <c r="V11" i="3"/>
  <c r="W11" i="3" s="1"/>
  <c r="V12" i="3"/>
  <c r="W12" i="3" s="1"/>
  <c r="V13" i="3"/>
  <c r="W13" i="3"/>
  <c r="V14" i="3"/>
  <c r="W14" i="3" s="1"/>
  <c r="V15" i="3"/>
  <c r="W15" i="3" s="1"/>
  <c r="V16" i="3"/>
  <c r="W16" i="3" s="1"/>
  <c r="V17" i="3"/>
  <c r="W17" i="3"/>
  <c r="V18" i="3"/>
  <c r="W18" i="3" s="1"/>
  <c r="K25" i="7" l="1"/>
  <c r="L25" i="7"/>
  <c r="J25" i="7"/>
  <c r="K19" i="7"/>
  <c r="J19" i="7"/>
  <c r="L19" i="7"/>
  <c r="M19" i="7"/>
  <c r="K23" i="7"/>
  <c r="L23" i="7"/>
  <c r="J23" i="7"/>
  <c r="J17" i="7"/>
  <c r="K17" i="7"/>
  <c r="L17" i="7"/>
  <c r="R3" i="7"/>
  <c r="R6" i="7"/>
  <c r="R10" i="7"/>
  <c r="R8" i="7"/>
  <c r="G12" i="6"/>
  <c r="O8" i="3"/>
  <c r="E18" i="6"/>
  <c r="E19" i="6"/>
  <c r="E20" i="6"/>
  <c r="E13" i="6"/>
  <c r="F13" i="6" s="1"/>
  <c r="E14" i="6"/>
  <c r="F14" i="6" s="1"/>
  <c r="E15" i="6"/>
  <c r="F15" i="6" s="1"/>
  <c r="O40" i="6"/>
  <c r="M40" i="6" a="1"/>
  <c r="M40" i="6" s="1"/>
  <c r="G40" i="6" a="1"/>
  <c r="G40" i="6" s="1"/>
  <c r="E40" i="6"/>
  <c r="F40" i="6" s="1"/>
  <c r="O38" i="6"/>
  <c r="M38" i="6" a="1"/>
  <c r="M38" i="6" s="1"/>
  <c r="G38" i="6" a="1"/>
  <c r="G38" i="6" s="1"/>
  <c r="E38" i="6"/>
  <c r="F38" i="6" s="1"/>
  <c r="U38" i="6" s="1" a="1"/>
  <c r="U38" i="6" s="1"/>
  <c r="O36" i="6"/>
  <c r="M36" i="6" a="1"/>
  <c r="M36" i="6" s="1"/>
  <c r="G36" i="6" a="1"/>
  <c r="G36" i="6" s="1"/>
  <c r="O34" i="6"/>
  <c r="M34" i="6" a="1"/>
  <c r="M34" i="6" s="1"/>
  <c r="G34" i="6" a="1"/>
  <c r="G34" i="6" s="1"/>
  <c r="O32" i="6"/>
  <c r="M32" i="6" a="1"/>
  <c r="M32" i="6" s="1"/>
  <c r="G32" i="6" a="1"/>
  <c r="G32" i="6" s="1"/>
  <c r="O28" i="6"/>
  <c r="M28" i="6" a="1"/>
  <c r="M28" i="6" s="1"/>
  <c r="G28" i="6" a="1"/>
  <c r="G28" i="6" s="1"/>
  <c r="O26" i="6"/>
  <c r="M26" i="6" a="1"/>
  <c r="M26" i="6" s="1"/>
  <c r="G26" i="6" a="1"/>
  <c r="G26" i="6" s="1"/>
  <c r="O22" i="6"/>
  <c r="M22" i="6" a="1"/>
  <c r="M22" i="6" s="1"/>
  <c r="G22" i="6" a="1"/>
  <c r="G22" i="6" s="1"/>
  <c r="E22" i="6"/>
  <c r="F22" i="6" s="1"/>
  <c r="U22" i="6" s="1"/>
  <c r="Y22" i="6" s="1"/>
  <c r="O17" i="6"/>
  <c r="M17" i="6" a="1"/>
  <c r="M17" i="6" s="1"/>
  <c r="G17" i="6" a="1"/>
  <c r="G17" i="6" s="1"/>
  <c r="E17" i="6"/>
  <c r="F17" i="6" s="1"/>
  <c r="O12" i="6"/>
  <c r="M12" i="6" a="1"/>
  <c r="M12" i="6" s="1"/>
  <c r="E12" i="6"/>
  <c r="F12" i="6" s="1"/>
  <c r="O11" i="6"/>
  <c r="M11" i="6" a="1"/>
  <c r="M11" i="6" s="1"/>
  <c r="G11" i="6" a="1"/>
  <c r="G11" i="6" s="1"/>
  <c r="E11" i="6"/>
  <c r="F11" i="6" s="1"/>
  <c r="L26" i="7" l="1"/>
  <c r="J26" i="7"/>
  <c r="K26" i="7"/>
  <c r="L22" i="7"/>
  <c r="J22" i="7"/>
  <c r="K22" i="7"/>
  <c r="L24" i="7"/>
  <c r="J24" i="7"/>
  <c r="K24" i="7"/>
  <c r="K16" i="7"/>
  <c r="L16" i="7"/>
  <c r="J16" i="7"/>
  <c r="I12" i="6"/>
  <c r="K12" i="6" s="1"/>
  <c r="N12" i="6" s="1"/>
  <c r="P12" i="6" s="1"/>
  <c r="R12" i="6" s="1"/>
  <c r="I11" i="6"/>
  <c r="K11" i="6" s="1"/>
  <c r="U11" i="6" a="1"/>
  <c r="U11" i="6" s="1"/>
  <c r="I17" i="6"/>
  <c r="K17" i="6" s="1"/>
  <c r="U17" i="6" a="1"/>
  <c r="U17" i="6" s="1"/>
  <c r="I40" i="6"/>
  <c r="K40" i="6" s="1"/>
  <c r="U40" i="6" a="1"/>
  <c r="U40" i="6" s="1"/>
  <c r="U12" i="6" a="1"/>
  <c r="U12" i="6" s="1"/>
  <c r="T22" i="6"/>
  <c r="X22" i="6" s="1"/>
  <c r="I22" i="6"/>
  <c r="K22" i="6" s="1"/>
  <c r="T38" i="6"/>
  <c r="X38" i="6" s="1" a="1"/>
  <c r="X38" i="6" s="1"/>
  <c r="Y38" i="6" a="1"/>
  <c r="Y38" i="6" s="1"/>
  <c r="I38" i="6"/>
  <c r="K38" i="6" s="1"/>
  <c r="O7" i="3"/>
  <c r="S12" i="6" l="1"/>
  <c r="W12" i="6" s="1"/>
  <c r="V12" i="6" s="1"/>
  <c r="Z12" i="6" s="1"/>
  <c r="N22" i="6"/>
  <c r="P22" i="6" s="1"/>
  <c r="R22" i="6" s="1"/>
  <c r="T12" i="6"/>
  <c r="X12" i="6" s="1" a="1"/>
  <c r="X12" i="6" s="1"/>
  <c r="Y12" i="6" a="1"/>
  <c r="Y12" i="6" s="1"/>
  <c r="T40" i="6"/>
  <c r="X40" i="6" s="1" a="1"/>
  <c r="X40" i="6" s="1"/>
  <c r="Y40" i="6" a="1"/>
  <c r="Y40" i="6" s="1"/>
  <c r="Y11" i="6" a="1"/>
  <c r="Y11" i="6" s="1"/>
  <c r="T11" i="6"/>
  <c r="X11" i="6" s="1" a="1"/>
  <c r="X11" i="6" s="1"/>
  <c r="N38" i="6"/>
  <c r="P38" i="6" s="1"/>
  <c r="R38" i="6" s="1"/>
  <c r="N40" i="6"/>
  <c r="S40" i="6" s="1"/>
  <c r="W40" i="6" s="1"/>
  <c r="Y17" i="6" a="1"/>
  <c r="Y17" i="6" s="1"/>
  <c r="T17" i="6"/>
  <c r="X17" i="6" s="1" a="1"/>
  <c r="X17" i="6" s="1"/>
  <c r="N11" i="6"/>
  <c r="S11" i="6" s="1"/>
  <c r="W11" i="6" s="1"/>
  <c r="N17" i="6"/>
  <c r="S17" i="6" s="1"/>
  <c r="W17" i="6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4" i="4" a="1"/>
  <c r="I24" i="4" s="1"/>
  <c r="I25" i="4" a="1"/>
  <c r="I25" i="4" s="1"/>
  <c r="I26" i="4" a="1"/>
  <c r="I26" i="4" s="1"/>
  <c r="I27" i="4" a="1"/>
  <c r="I27" i="4" s="1"/>
  <c r="I29" i="4" a="1"/>
  <c r="I29" i="4" s="1"/>
  <c r="I30" i="4" a="1"/>
  <c r="I30" i="4" s="1"/>
  <c r="I31" i="4" a="1"/>
  <c r="I31" i="4" s="1"/>
  <c r="AA12" i="6" l="1"/>
  <c r="AB12" i="6" s="1"/>
  <c r="P11" i="6"/>
  <c r="R11" i="6" s="1"/>
  <c r="P17" i="6"/>
  <c r="R17" i="6" s="1"/>
  <c r="S38" i="6"/>
  <c r="W38" i="6" s="1"/>
  <c r="AA38" i="6" s="1"/>
  <c r="AA40" i="6"/>
  <c r="P40" i="6"/>
  <c r="R40" i="6" s="1"/>
  <c r="S22" i="6"/>
  <c r="W22" i="6" s="1"/>
  <c r="AA17" i="6"/>
  <c r="AA11" i="6"/>
  <c r="Q26" i="3"/>
  <c r="Q25" i="3"/>
  <c r="V11" i="6" l="1"/>
  <c r="Z11" i="6" s="1"/>
  <c r="AB11" i="6" s="1"/>
  <c r="V17" i="6"/>
  <c r="Z17" i="6" s="1"/>
  <c r="AB17" i="6" s="1"/>
  <c r="V38" i="6"/>
  <c r="Z38" i="6" s="1"/>
  <c r="AB38" i="6" s="1"/>
  <c r="AA22" i="6"/>
  <c r="V22" i="6"/>
  <c r="Z22" i="6" s="1"/>
  <c r="V40" i="6"/>
  <c r="Z40" i="6" s="1"/>
  <c r="AB40" i="6" s="1"/>
  <c r="I11" i="4" a="1"/>
  <c r="I11" i="4" s="1"/>
  <c r="I12" i="4" a="1"/>
  <c r="I12" i="4" s="1"/>
  <c r="I14" i="4" a="1"/>
  <c r="I14" i="4" s="1"/>
  <c r="AB22" i="6" l="1"/>
  <c r="AC14" i="2"/>
  <c r="Z16" i="2" s="1"/>
  <c r="W16" i="2" l="1"/>
  <c r="G12" i="4"/>
  <c r="H12" i="4" s="1"/>
  <c r="Q12" i="4"/>
  <c r="G14" i="4"/>
  <c r="H14" i="4" s="1"/>
  <c r="O14" i="4" a="1"/>
  <c r="O14" i="4" s="1"/>
  <c r="Q14" i="4"/>
  <c r="G16" i="4"/>
  <c r="H16" i="4" s="1"/>
  <c r="W16" i="4" s="1"/>
  <c r="AA16" i="4" s="1"/>
  <c r="O16" i="4" a="1"/>
  <c r="O16" i="4" s="1"/>
  <c r="Q16" i="4"/>
  <c r="G17" i="4"/>
  <c r="H17" i="4" s="1"/>
  <c r="W17" i="4" s="1"/>
  <c r="O17" i="4" a="1"/>
  <c r="O17" i="4" s="1"/>
  <c r="Q17" i="4"/>
  <c r="G18" i="4"/>
  <c r="H18" i="4" s="1"/>
  <c r="W18" i="4" s="1"/>
  <c r="O18" i="4" a="1"/>
  <c r="O18" i="4" s="1"/>
  <c r="Q18" i="4"/>
  <c r="G19" i="4"/>
  <c r="H19" i="4" s="1"/>
  <c r="W19" i="4" s="1"/>
  <c r="O19" i="4" a="1"/>
  <c r="O19" i="4" s="1"/>
  <c r="Q19" i="4"/>
  <c r="G20" i="4"/>
  <c r="H20" i="4" s="1"/>
  <c r="W20" i="4" s="1"/>
  <c r="O20" i="4" a="1"/>
  <c r="O20" i="4" s="1"/>
  <c r="Q20" i="4"/>
  <c r="G21" i="4"/>
  <c r="H21" i="4" s="1"/>
  <c r="W21" i="4" s="1"/>
  <c r="O21" i="4" a="1"/>
  <c r="O21" i="4" s="1"/>
  <c r="Q21" i="4"/>
  <c r="G22" i="4"/>
  <c r="H22" i="4" s="1"/>
  <c r="W22" i="4" s="1"/>
  <c r="O22" i="4" a="1"/>
  <c r="O22" i="4" s="1"/>
  <c r="Q22" i="4"/>
  <c r="O24" i="4" a="1"/>
  <c r="O24" i="4" s="1"/>
  <c r="Q24" i="4"/>
  <c r="O25" i="4" a="1"/>
  <c r="O25" i="4" s="1"/>
  <c r="Q25" i="4"/>
  <c r="O26" i="4" a="1"/>
  <c r="O26" i="4" s="1"/>
  <c r="Q26" i="4"/>
  <c r="O27" i="4" a="1"/>
  <c r="O27" i="4" s="1"/>
  <c r="Q27" i="4"/>
  <c r="O29" i="4" a="1"/>
  <c r="O29" i="4" s="1"/>
  <c r="Q29" i="4"/>
  <c r="O30" i="4" a="1"/>
  <c r="O30" i="4" s="1"/>
  <c r="Q30" i="4"/>
  <c r="O31" i="4" a="1"/>
  <c r="O31" i="4" s="1"/>
  <c r="Q31" i="4"/>
  <c r="I33" i="4" a="1"/>
  <c r="I33" i="4" s="1"/>
  <c r="O33" i="4" a="1"/>
  <c r="O33" i="4" s="1"/>
  <c r="Q33" i="4"/>
  <c r="I34" i="4" a="1"/>
  <c r="I34" i="4" s="1"/>
  <c r="O34" i="4" a="1"/>
  <c r="O34" i="4" s="1"/>
  <c r="Q34" i="4"/>
  <c r="I35" i="4" a="1"/>
  <c r="I35" i="4" s="1"/>
  <c r="O35" i="4" a="1"/>
  <c r="O35" i="4" s="1"/>
  <c r="Q35" i="4"/>
  <c r="I37" i="4" a="1"/>
  <c r="I37" i="4" s="1"/>
  <c r="O37" i="4" a="1"/>
  <c r="O37" i="4" s="1"/>
  <c r="Q37" i="4"/>
  <c r="I38" i="4" a="1"/>
  <c r="I38" i="4" s="1"/>
  <c r="O38" i="4" a="1"/>
  <c r="O38" i="4" s="1"/>
  <c r="Q38" i="4"/>
  <c r="I39" i="4" a="1"/>
  <c r="I39" i="4" s="1"/>
  <c r="O39" i="4" a="1"/>
  <c r="O39" i="4" s="1"/>
  <c r="Q39" i="4"/>
  <c r="I41" i="4" a="1"/>
  <c r="I41" i="4" s="1"/>
  <c r="O41" i="4" a="1"/>
  <c r="O41" i="4" s="1"/>
  <c r="Q41" i="4"/>
  <c r="I42" i="4" a="1"/>
  <c r="I42" i="4" s="1"/>
  <c r="O42" i="4" a="1"/>
  <c r="O42" i="4" s="1"/>
  <c r="Q42" i="4"/>
  <c r="I43" i="4" a="1"/>
  <c r="I43" i="4" s="1"/>
  <c r="O43" i="4" a="1"/>
  <c r="O43" i="4" s="1"/>
  <c r="Q43" i="4"/>
  <c r="I45" i="4" a="1"/>
  <c r="I45" i="4" s="1"/>
  <c r="O45" i="4" a="1"/>
  <c r="O45" i="4" s="1"/>
  <c r="Q45" i="4"/>
  <c r="I46" i="4" a="1"/>
  <c r="I46" i="4" s="1"/>
  <c r="O46" i="4" a="1"/>
  <c r="O46" i="4" s="1"/>
  <c r="Q46" i="4"/>
  <c r="I47" i="4" a="1"/>
  <c r="I47" i="4" s="1"/>
  <c r="O47" i="4" a="1"/>
  <c r="O47" i="4" s="1"/>
  <c r="Q47" i="4"/>
  <c r="G49" i="4"/>
  <c r="H49" i="4" s="1"/>
  <c r="I49" i="4" a="1"/>
  <c r="I49" i="4" s="1"/>
  <c r="O49" i="4" a="1"/>
  <c r="O49" i="4" s="1"/>
  <c r="Q49" i="4"/>
  <c r="G50" i="4"/>
  <c r="H50" i="4" s="1"/>
  <c r="I50" i="4" a="1"/>
  <c r="I50" i="4" s="1"/>
  <c r="O50" i="4" a="1"/>
  <c r="O50" i="4" s="1"/>
  <c r="Q50" i="4"/>
  <c r="G52" i="4"/>
  <c r="H52" i="4" s="1"/>
  <c r="I52" i="4" a="1"/>
  <c r="I52" i="4" s="1"/>
  <c r="O52" i="4" a="1"/>
  <c r="O52" i="4" s="1"/>
  <c r="Q52" i="4"/>
  <c r="G53" i="4"/>
  <c r="H53" i="4" s="1"/>
  <c r="I53" i="4" a="1"/>
  <c r="I53" i="4" s="1"/>
  <c r="O53" i="4" a="1"/>
  <c r="O53" i="4" s="1"/>
  <c r="Q53" i="4"/>
  <c r="O11" i="4" a="1"/>
  <c r="O11" i="4" s="1"/>
  <c r="V19" i="4" l="1"/>
  <c r="Z19" i="4" s="1"/>
  <c r="AA19" i="4"/>
  <c r="V20" i="4"/>
  <c r="Z20" i="4" s="1"/>
  <c r="AA20" i="4"/>
  <c r="V21" i="4"/>
  <c r="Z21" i="4" s="1"/>
  <c r="AA21" i="4"/>
  <c r="V17" i="4"/>
  <c r="Z17" i="4" s="1"/>
  <c r="AA17" i="4"/>
  <c r="W12" i="4" a="1"/>
  <c r="W12" i="4" s="1"/>
  <c r="V22" i="4"/>
  <c r="Z22" i="4" s="1"/>
  <c r="AA22" i="4"/>
  <c r="V18" i="4"/>
  <c r="Z18" i="4" s="1"/>
  <c r="AA18" i="4"/>
  <c r="K17" i="4"/>
  <c r="M17" i="4" s="1"/>
  <c r="P17" i="4" s="1"/>
  <c r="U17" i="4" s="1"/>
  <c r="Y17" i="4" s="1"/>
  <c r="K22" i="4"/>
  <c r="M22" i="4" s="1"/>
  <c r="P22" i="4" s="1"/>
  <c r="U22" i="4" s="1"/>
  <c r="Y22" i="4" s="1"/>
  <c r="K19" i="4"/>
  <c r="M19" i="4" s="1"/>
  <c r="P19" i="4" s="1"/>
  <c r="R19" i="4" s="1"/>
  <c r="T19" i="4" s="1"/>
  <c r="K52" i="4"/>
  <c r="M52" i="4" s="1"/>
  <c r="P52" i="4" s="1"/>
  <c r="R52" i="4" s="1"/>
  <c r="T52" i="4" s="1"/>
  <c r="K49" i="4"/>
  <c r="M49" i="4" s="1"/>
  <c r="P49" i="4" s="1"/>
  <c r="R49" i="4" s="1"/>
  <c r="T49" i="4" s="1"/>
  <c r="K21" i="4"/>
  <c r="M21" i="4" s="1"/>
  <c r="P21" i="4" s="1"/>
  <c r="R21" i="4" s="1"/>
  <c r="T21" i="4" s="1"/>
  <c r="K53" i="4"/>
  <c r="M53" i="4" s="1"/>
  <c r="W53" i="4" a="1"/>
  <c r="W53" i="4" s="1"/>
  <c r="K50" i="4"/>
  <c r="M50" i="4" s="1"/>
  <c r="W50" i="4" a="1"/>
  <c r="W50" i="4" s="1"/>
  <c r="W52" i="4" a="1"/>
  <c r="W52" i="4" s="1"/>
  <c r="W49" i="4" a="1"/>
  <c r="W49" i="4" s="1"/>
  <c r="K16" i="4"/>
  <c r="M16" i="4" s="1"/>
  <c r="K18" i="4"/>
  <c r="M18" i="4" s="1"/>
  <c r="K20" i="4"/>
  <c r="M20" i="4" s="1"/>
  <c r="K14" i="4"/>
  <c r="M14" i="4" s="1"/>
  <c r="W14" i="4" a="1"/>
  <c r="W14" i="4" s="1"/>
  <c r="K12" i="4" l="1"/>
  <c r="M12" i="4" s="1"/>
  <c r="AA12" i="4" a="1"/>
  <c r="AA12" i="4" s="1"/>
  <c r="V12" i="4"/>
  <c r="Z12" i="4" s="1" a="1"/>
  <c r="Z12" i="4" s="1"/>
  <c r="U52" i="4"/>
  <c r="Y52" i="4" s="1"/>
  <c r="AC52" i="4" s="1"/>
  <c r="R22" i="4"/>
  <c r="T22" i="4" s="1"/>
  <c r="U19" i="4"/>
  <c r="Y19" i="4" s="1"/>
  <c r="AC19" i="4" s="1"/>
  <c r="U49" i="4"/>
  <c r="Y49" i="4" s="1"/>
  <c r="X49" i="4" s="1"/>
  <c r="AB49" i="4" s="1"/>
  <c r="AC17" i="4"/>
  <c r="AA52" i="4" a="1"/>
  <c r="AA52" i="4" s="1"/>
  <c r="V52" i="4"/>
  <c r="Z52" i="4" s="1" a="1"/>
  <c r="Z52" i="4" s="1"/>
  <c r="P14" i="4"/>
  <c r="U14" i="4" s="1"/>
  <c r="Y14" i="4" s="1"/>
  <c r="P18" i="4"/>
  <c r="R18" i="4" s="1"/>
  <c r="T18" i="4" s="1"/>
  <c r="R17" i="4"/>
  <c r="T17" i="4" s="1"/>
  <c r="U21" i="4"/>
  <c r="Y21" i="4" s="1"/>
  <c r="V53" i="4"/>
  <c r="Z53" i="4" s="1" a="1"/>
  <c r="Z53" i="4" s="1"/>
  <c r="AA53" i="4" a="1"/>
  <c r="AA53" i="4" s="1"/>
  <c r="V16" i="4"/>
  <c r="Z16" i="4" s="1"/>
  <c r="V49" i="4"/>
  <c r="Z49" i="4" s="1" a="1"/>
  <c r="Z49" i="4" s="1"/>
  <c r="AA49" i="4" a="1"/>
  <c r="AA49" i="4" s="1"/>
  <c r="AC22" i="4"/>
  <c r="V50" i="4"/>
  <c r="Z50" i="4" s="1" a="1"/>
  <c r="Z50" i="4" s="1"/>
  <c r="AA50" i="4" a="1"/>
  <c r="AA50" i="4" s="1"/>
  <c r="P53" i="4"/>
  <c r="R53" i="4" s="1"/>
  <c r="T53" i="4" s="1"/>
  <c r="V14" i="4"/>
  <c r="Z14" i="4" s="1" a="1"/>
  <c r="Z14" i="4" s="1"/>
  <c r="AA14" i="4" a="1"/>
  <c r="AA14" i="4" s="1"/>
  <c r="P16" i="4"/>
  <c r="R16" i="4" s="1"/>
  <c r="T16" i="4" s="1"/>
  <c r="P20" i="4"/>
  <c r="U20" i="4" s="1"/>
  <c r="Y20" i="4" s="1"/>
  <c r="P50" i="4"/>
  <c r="R50" i="4" s="1"/>
  <c r="T50" i="4" s="1"/>
  <c r="P12" i="4" l="1"/>
  <c r="R12" i="4" s="1"/>
  <c r="T12" i="4" s="1"/>
  <c r="X22" i="4"/>
  <c r="AB22" i="4" s="1"/>
  <c r="AC49" i="4"/>
  <c r="X52" i="4"/>
  <c r="AB52" i="4" s="1"/>
  <c r="X19" i="4"/>
  <c r="AB19" i="4" s="1"/>
  <c r="U50" i="4"/>
  <c r="Y50" i="4" s="1"/>
  <c r="X50" i="4" s="1"/>
  <c r="AB50" i="4" s="1"/>
  <c r="R20" i="4"/>
  <c r="T20" i="4" s="1"/>
  <c r="U53" i="4"/>
  <c r="Y53" i="4" s="1"/>
  <c r="X53" i="4" s="1"/>
  <c r="AB53" i="4" s="1"/>
  <c r="AC20" i="4"/>
  <c r="AC14" i="4"/>
  <c r="U16" i="4"/>
  <c r="Y16" i="4" s="1"/>
  <c r="U18" i="4"/>
  <c r="Y18" i="4" s="1"/>
  <c r="AC21" i="4"/>
  <c r="X21" i="4"/>
  <c r="AB21" i="4" s="1"/>
  <c r="R14" i="4"/>
  <c r="T14" i="4" s="1"/>
  <c r="X17" i="4"/>
  <c r="AB17" i="4" s="1"/>
  <c r="U12" i="4" l="1"/>
  <c r="Y12" i="4" s="1"/>
  <c r="AC53" i="4"/>
  <c r="AC50" i="4"/>
  <c r="X20" i="4"/>
  <c r="AB20" i="4" s="1"/>
  <c r="X14" i="4"/>
  <c r="AB14" i="4" s="1"/>
  <c r="X18" i="4"/>
  <c r="AB18" i="4" s="1"/>
  <c r="AC18" i="4"/>
  <c r="X16" i="4"/>
  <c r="AB16" i="4" s="1"/>
  <c r="AC16" i="4"/>
  <c r="AC12" i="4" l="1"/>
  <c r="X12" i="4"/>
  <c r="AB12" i="4" s="1"/>
  <c r="G11" i="4"/>
  <c r="O38" i="2" l="1"/>
  <c r="O2" i="2"/>
  <c r="O42" i="2"/>
  <c r="N44" i="2" s="1"/>
  <c r="H44" i="2"/>
  <c r="L44" i="2" l="1"/>
  <c r="N40" i="2"/>
  <c r="H40" i="2"/>
  <c r="L40" i="2" l="1"/>
  <c r="H28" i="2"/>
  <c r="O26" i="2"/>
  <c r="L28" i="2" s="1"/>
  <c r="H11" i="4" l="1"/>
  <c r="W11" i="4" s="1" a="1"/>
  <c r="W11" i="4" s="1"/>
  <c r="AA11" i="4" s="1" a="1"/>
  <c r="AA11" i="4" s="1"/>
  <c r="Q11" i="4"/>
  <c r="C12" i="3"/>
  <c r="O11" i="3"/>
  <c r="C11" i="3"/>
  <c r="O10" i="3"/>
  <c r="C10" i="3"/>
  <c r="O9" i="3"/>
  <c r="C9" i="3"/>
  <c r="C7" i="3"/>
  <c r="O6" i="3"/>
  <c r="C6" i="3"/>
  <c r="L4" i="2"/>
  <c r="AC2" i="2"/>
  <c r="W4" i="2" s="1"/>
  <c r="H4" i="2"/>
  <c r="V4" i="2"/>
  <c r="E6" i="2"/>
  <c r="E7" i="2" s="1"/>
  <c r="O6" i="2"/>
  <c r="L8" i="2" s="1"/>
  <c r="AC6" i="2"/>
  <c r="Z8" i="2" s="1"/>
  <c r="H8" i="2"/>
  <c r="V8" i="2"/>
  <c r="E9" i="2"/>
  <c r="O10" i="2"/>
  <c r="AC10" i="2"/>
  <c r="AB12" i="2" s="1"/>
  <c r="E11" i="2"/>
  <c r="E12" i="2"/>
  <c r="H12" i="2"/>
  <c r="V12" i="2"/>
  <c r="E13" i="2"/>
  <c r="K44" i="2" s="1"/>
  <c r="E14" i="2"/>
  <c r="O14" i="2"/>
  <c r="N16" i="2" s="1"/>
  <c r="E15" i="2"/>
  <c r="E16" i="2"/>
  <c r="H16" i="2"/>
  <c r="V16" i="2"/>
  <c r="E17" i="2"/>
  <c r="K28" i="2" s="1"/>
  <c r="O18" i="2"/>
  <c r="L20" i="2" s="1"/>
  <c r="AC18" i="2"/>
  <c r="E19" i="2"/>
  <c r="J28" i="2" s="1"/>
  <c r="E20" i="2"/>
  <c r="H20" i="2"/>
  <c r="V20" i="2"/>
  <c r="E21" i="2"/>
  <c r="O22" i="2"/>
  <c r="L24" i="2" s="1"/>
  <c r="AC22" i="2"/>
  <c r="E23" i="2"/>
  <c r="H24" i="2"/>
  <c r="V24" i="2"/>
  <c r="AC26" i="2"/>
  <c r="Z28" i="2" s="1"/>
  <c r="V28" i="2"/>
  <c r="O30" i="2"/>
  <c r="L32" i="2" s="1"/>
  <c r="AC30" i="2"/>
  <c r="H32" i="2"/>
  <c r="V32" i="2"/>
  <c r="O34" i="2"/>
  <c r="N36" i="2" s="1"/>
  <c r="H36" i="2"/>
  <c r="K4" i="2" l="1"/>
  <c r="K40" i="2"/>
  <c r="E28" i="6"/>
  <c r="F28" i="6" s="1"/>
  <c r="G31" i="4"/>
  <c r="H31" i="4" s="1"/>
  <c r="G30" i="4"/>
  <c r="H30" i="4" s="1"/>
  <c r="G29" i="4"/>
  <c r="H29" i="4" s="1"/>
  <c r="E26" i="6"/>
  <c r="F26" i="6" s="1"/>
  <c r="I26" i="6" s="1"/>
  <c r="K26" i="6" s="1"/>
  <c r="G27" i="4"/>
  <c r="H27" i="4" s="1"/>
  <c r="K27" i="4" s="1"/>
  <c r="M27" i="4" s="1"/>
  <c r="G26" i="4"/>
  <c r="H26" i="4" s="1"/>
  <c r="K26" i="4" s="1"/>
  <c r="M26" i="4" s="1"/>
  <c r="G24" i="4"/>
  <c r="H24" i="4" s="1"/>
  <c r="K24" i="4" s="1"/>
  <c r="M24" i="4" s="1"/>
  <c r="G25" i="4"/>
  <c r="H25" i="4" s="1"/>
  <c r="K25" i="4" s="1"/>
  <c r="M25" i="4" s="1"/>
  <c r="I44" i="2"/>
  <c r="I40" i="2"/>
  <c r="I28" i="2"/>
  <c r="E32" i="6"/>
  <c r="F32" i="6" s="1"/>
  <c r="I32" i="6" s="1"/>
  <c r="K32" i="6" s="1"/>
  <c r="G33" i="4"/>
  <c r="H33" i="4" s="1"/>
  <c r="K33" i="4" s="1"/>
  <c r="M33" i="4" s="1"/>
  <c r="G34" i="4"/>
  <c r="H34" i="4" s="1"/>
  <c r="K34" i="4" s="1"/>
  <c r="M34" i="4" s="1"/>
  <c r="G35" i="4"/>
  <c r="H35" i="4" s="1"/>
  <c r="K35" i="4" s="1"/>
  <c r="M35" i="4" s="1"/>
  <c r="E34" i="6"/>
  <c r="F34" i="6" s="1"/>
  <c r="I34" i="6" s="1"/>
  <c r="K34" i="6" s="1"/>
  <c r="G42" i="4"/>
  <c r="H42" i="4" s="1"/>
  <c r="K42" i="4" s="1"/>
  <c r="M42" i="4" s="1"/>
  <c r="G43" i="4"/>
  <c r="H43" i="4" s="1"/>
  <c r="K43" i="4" s="1"/>
  <c r="M43" i="4" s="1"/>
  <c r="G41" i="4"/>
  <c r="H41" i="4" s="1"/>
  <c r="J44" i="2"/>
  <c r="J40" i="2"/>
  <c r="G37" i="4"/>
  <c r="H37" i="4" s="1"/>
  <c r="G39" i="4"/>
  <c r="H39" i="4" s="1"/>
  <c r="K39" i="4" s="1"/>
  <c r="M39" i="4" s="1"/>
  <c r="G38" i="4"/>
  <c r="H38" i="4" s="1"/>
  <c r="E36" i="6"/>
  <c r="F36" i="6" s="1"/>
  <c r="G46" i="4"/>
  <c r="H46" i="4" s="1"/>
  <c r="G45" i="4"/>
  <c r="H45" i="4" s="1"/>
  <c r="G47" i="4"/>
  <c r="H47" i="4" s="1"/>
  <c r="K8" i="2"/>
  <c r="J8" i="2"/>
  <c r="K24" i="2"/>
  <c r="Z12" i="2"/>
  <c r="AB4" i="2"/>
  <c r="Z4" i="2"/>
  <c r="J32" i="2"/>
  <c r="N32" i="2"/>
  <c r="N24" i="2"/>
  <c r="Y24" i="2"/>
  <c r="I20" i="2"/>
  <c r="AB16" i="2"/>
  <c r="W12" i="2"/>
  <c r="I4" i="2"/>
  <c r="Y32" i="2"/>
  <c r="N28" i="2"/>
  <c r="K32" i="2"/>
  <c r="N12" i="2"/>
  <c r="L12" i="2"/>
  <c r="V11" i="4"/>
  <c r="Z11" i="4" s="1" a="1"/>
  <c r="Z11" i="4" s="1"/>
  <c r="Z20" i="2"/>
  <c r="W20" i="2"/>
  <c r="AB20" i="2"/>
  <c r="K12" i="2"/>
  <c r="J24" i="2"/>
  <c r="K11" i="4"/>
  <c r="M11" i="4" s="1"/>
  <c r="N8" i="2"/>
  <c r="W32" i="2"/>
  <c r="AB32" i="2"/>
  <c r="Y12" i="2"/>
  <c r="Y16" i="2"/>
  <c r="L36" i="2"/>
  <c r="Y28" i="2"/>
  <c r="W28" i="2"/>
  <c r="AB28" i="2"/>
  <c r="Z24" i="2"/>
  <c r="L16" i="2"/>
  <c r="Y20" i="2"/>
  <c r="N4" i="2"/>
  <c r="X12" i="2"/>
  <c r="X16" i="2"/>
  <c r="X8" i="2"/>
  <c r="X24" i="2"/>
  <c r="X28" i="2"/>
  <c r="X32" i="2"/>
  <c r="K36" i="2"/>
  <c r="X20" i="2"/>
  <c r="N20" i="2"/>
  <c r="K20" i="2"/>
  <c r="K16" i="2"/>
  <c r="J20" i="2"/>
  <c r="J12" i="2"/>
  <c r="J16" i="2"/>
  <c r="J36" i="2"/>
  <c r="Y8" i="2"/>
  <c r="I12" i="2"/>
  <c r="I16" i="2"/>
  <c r="I36" i="2"/>
  <c r="I8" i="2"/>
  <c r="I24" i="2"/>
  <c r="I32" i="2"/>
  <c r="X4" i="2"/>
  <c r="Z32" i="2"/>
  <c r="W24" i="2"/>
  <c r="AB24" i="2"/>
  <c r="W8" i="2"/>
  <c r="AB8" i="2"/>
  <c r="Y4" i="2"/>
  <c r="J4" i="2"/>
  <c r="W26" i="4" l="1" a="1"/>
  <c r="W26" i="4" s="1"/>
  <c r="V26" i="4" s="1"/>
  <c r="Z26" i="4" s="1" a="1"/>
  <c r="Z26" i="4" s="1"/>
  <c r="W27" i="4" a="1"/>
  <c r="W27" i="4" s="1"/>
  <c r="V27" i="4" s="1"/>
  <c r="Z27" i="4" s="1" a="1"/>
  <c r="Z27" i="4" s="1"/>
  <c r="W24" i="4" a="1"/>
  <c r="W24" i="4" s="1"/>
  <c r="V24" i="4" s="1"/>
  <c r="Z24" i="4" s="1" a="1"/>
  <c r="Z24" i="4" s="1"/>
  <c r="M44" i="2"/>
  <c r="O44" i="2" s="1"/>
  <c r="U26" i="6" a="1"/>
  <c r="U26" i="6" s="1"/>
  <c r="Y26" i="6" s="1" a="1"/>
  <c r="Y26" i="6" s="1"/>
  <c r="W33" i="4" a="1"/>
  <c r="W33" i="4" s="1"/>
  <c r="V33" i="4" s="1"/>
  <c r="Z33" i="4" s="1" a="1"/>
  <c r="Z33" i="4" s="1"/>
  <c r="W39" i="4" a="1"/>
  <c r="W39" i="4" s="1"/>
  <c r="V39" i="4" s="1"/>
  <c r="Z39" i="4" s="1" a="1"/>
  <c r="Z39" i="4" s="1"/>
  <c r="P42" i="4"/>
  <c r="U42" i="4" s="1"/>
  <c r="Y42" i="4" s="1"/>
  <c r="W29" i="4" a="1"/>
  <c r="W29" i="4" s="1"/>
  <c r="K29" i="4"/>
  <c r="M29" i="4" s="1"/>
  <c r="W45" i="4" a="1"/>
  <c r="W45" i="4" s="1"/>
  <c r="K45" i="4"/>
  <c r="M45" i="4" s="1"/>
  <c r="P34" i="4"/>
  <c r="R34" i="4" s="1"/>
  <c r="T34" i="4" s="1"/>
  <c r="W42" i="4" a="1"/>
  <c r="W42" i="4" s="1"/>
  <c r="P24" i="4"/>
  <c r="U24" i="4" s="1"/>
  <c r="Y24" i="4" s="1"/>
  <c r="N26" i="6"/>
  <c r="S26" i="6" s="1"/>
  <c r="W26" i="6" s="1"/>
  <c r="W30" i="4"/>
  <c r="K30" i="4"/>
  <c r="M30" i="4" s="1"/>
  <c r="U28" i="6"/>
  <c r="I28" i="6"/>
  <c r="K28" i="6" s="1"/>
  <c r="W37" i="4" a="1"/>
  <c r="W37" i="4" s="1"/>
  <c r="K37" i="4"/>
  <c r="M37" i="4" s="1"/>
  <c r="P25" i="4"/>
  <c r="U25" i="4" s="1"/>
  <c r="Y25" i="4" s="1"/>
  <c r="I36" i="6"/>
  <c r="K36" i="6" s="1"/>
  <c r="U36" i="6" a="1"/>
  <c r="U36" i="6" s="1"/>
  <c r="K46" i="4"/>
  <c r="M46" i="4" s="1"/>
  <c r="W46" i="4" a="1"/>
  <c r="W46" i="4" s="1"/>
  <c r="W38" i="4" a="1"/>
  <c r="W38" i="4" s="1"/>
  <c r="K38" i="4"/>
  <c r="M38" i="4" s="1"/>
  <c r="W41" i="4" a="1"/>
  <c r="W41" i="4" s="1"/>
  <c r="K41" i="4"/>
  <c r="M41" i="4" s="1"/>
  <c r="P33" i="4"/>
  <c r="R33" i="4" s="1"/>
  <c r="T33" i="4" s="1"/>
  <c r="W43" i="4" a="1"/>
  <c r="W43" i="4" s="1"/>
  <c r="W34" i="4" a="1"/>
  <c r="W34" i="4" s="1"/>
  <c r="P26" i="4"/>
  <c r="R26" i="4" s="1"/>
  <c r="T26" i="4" s="1"/>
  <c r="W31" i="4"/>
  <c r="K31" i="4"/>
  <c r="M31" i="4" s="1"/>
  <c r="K47" i="4"/>
  <c r="M47" i="4" s="1"/>
  <c r="W47" i="4" a="1"/>
  <c r="W47" i="4" s="1"/>
  <c r="AA26" i="4" a="1"/>
  <c r="AA26" i="4" s="1"/>
  <c r="P35" i="4"/>
  <c r="U35" i="4" s="1"/>
  <c r="Y35" i="4" s="1"/>
  <c r="P39" i="4"/>
  <c r="U39" i="4" s="1"/>
  <c r="Y39" i="4" s="1"/>
  <c r="W25" i="4" a="1"/>
  <c r="W25" i="4" s="1"/>
  <c r="P43" i="4"/>
  <c r="R43" i="4" s="1"/>
  <c r="T43" i="4" s="1"/>
  <c r="N34" i="6"/>
  <c r="P34" i="6" s="1"/>
  <c r="R34" i="6" s="1"/>
  <c r="N32" i="6"/>
  <c r="P32" i="6" s="1"/>
  <c r="R32" i="6" s="1"/>
  <c r="M40" i="2"/>
  <c r="U34" i="6" a="1"/>
  <c r="U34" i="6" s="1"/>
  <c r="W35" i="4" a="1"/>
  <c r="W35" i="4" s="1"/>
  <c r="U32" i="6" a="1"/>
  <c r="U32" i="6" s="1"/>
  <c r="P27" i="4"/>
  <c r="U27" i="4" s="1"/>
  <c r="Y27" i="4" s="1"/>
  <c r="M8" i="2"/>
  <c r="Q8" i="2" s="1"/>
  <c r="R8" i="2" s="1"/>
  <c r="S8" i="2" s="1"/>
  <c r="M24" i="2"/>
  <c r="Q24" i="2" s="1"/>
  <c r="R24" i="2" s="1"/>
  <c r="S24" i="2" s="1"/>
  <c r="AA28" i="2"/>
  <c r="AE28" i="2" s="1"/>
  <c r="AF28" i="2" s="1"/>
  <c r="AG28" i="2" s="1"/>
  <c r="M28" i="2"/>
  <c r="Q28" i="2" s="1"/>
  <c r="R28" i="2" s="1"/>
  <c r="S28" i="2" s="1"/>
  <c r="M4" i="2"/>
  <c r="Q4" i="2" s="1"/>
  <c r="R4" i="2" s="1"/>
  <c r="S4" i="2" s="1"/>
  <c r="M32" i="2"/>
  <c r="Q32" i="2" s="1"/>
  <c r="R32" i="2" s="1"/>
  <c r="S32" i="2" s="1"/>
  <c r="M16" i="2"/>
  <c r="O16" i="2" s="1"/>
  <c r="AA32" i="2"/>
  <c r="AE32" i="2" s="1"/>
  <c r="AF32" i="2" s="1"/>
  <c r="AG32" i="2" s="1"/>
  <c r="M12" i="2"/>
  <c r="O12" i="2" s="1"/>
  <c r="M36" i="2"/>
  <c r="Q36" i="2" s="1"/>
  <c r="R36" i="2" s="1"/>
  <c r="S36" i="2" s="1"/>
  <c r="AA8" i="2"/>
  <c r="AE8" i="2" s="1"/>
  <c r="AF8" i="2" s="1"/>
  <c r="AG8" i="2" s="1"/>
  <c r="AA16" i="2"/>
  <c r="AE16" i="2" s="1"/>
  <c r="AF16" i="2" s="1"/>
  <c r="AG16" i="2" s="1"/>
  <c r="P11" i="4"/>
  <c r="U11" i="4" s="1"/>
  <c r="Y11" i="4" s="1"/>
  <c r="AA20" i="2"/>
  <c r="AC20" i="2" s="1"/>
  <c r="AA12" i="2"/>
  <c r="AE12" i="2" s="1"/>
  <c r="AF12" i="2" s="1"/>
  <c r="AG12" i="2" s="1"/>
  <c r="AA24" i="2"/>
  <c r="AE24" i="2" s="1"/>
  <c r="AF24" i="2" s="1"/>
  <c r="AG24" i="2" s="1"/>
  <c r="AA4" i="2"/>
  <c r="M20" i="2"/>
  <c r="Q20" i="2" s="1"/>
  <c r="R20" i="2" s="1"/>
  <c r="S20" i="2" s="1"/>
  <c r="AA24" i="4" l="1" a="1"/>
  <c r="AA24" i="4" s="1"/>
  <c r="Q44" i="2"/>
  <c r="R44" i="2" s="1"/>
  <c r="S44" i="2" s="1"/>
  <c r="AA27" i="4" a="1"/>
  <c r="AA27" i="4" s="1"/>
  <c r="T26" i="6"/>
  <c r="X26" i="6" s="1" a="1"/>
  <c r="X26" i="6" s="1"/>
  <c r="O24" i="2"/>
  <c r="U33" i="4"/>
  <c r="Y33" i="4" s="1"/>
  <c r="X33" i="4" s="1"/>
  <c r="AB33" i="4" s="1"/>
  <c r="U34" i="4"/>
  <c r="Y34" i="4" s="1"/>
  <c r="AC34" i="4" s="1"/>
  <c r="AA33" i="4" a="1"/>
  <c r="AA33" i="4" s="1"/>
  <c r="O8" i="2"/>
  <c r="R27" i="4"/>
  <c r="T27" i="4" s="1"/>
  <c r="X27" i="4" s="1"/>
  <c r="AB27" i="4" s="1"/>
  <c r="U43" i="4"/>
  <c r="Y43" i="4" s="1"/>
  <c r="AC43" i="4" s="1"/>
  <c r="R24" i="4"/>
  <c r="T24" i="4" s="1"/>
  <c r="R42" i="4"/>
  <c r="T42" i="4" s="1"/>
  <c r="P26" i="6"/>
  <c r="R26" i="6" s="1"/>
  <c r="R39" i="4"/>
  <c r="T39" i="4" s="1"/>
  <c r="AA39" i="4" a="1"/>
  <c r="AA39" i="4" s="1"/>
  <c r="AA26" i="6"/>
  <c r="AC27" i="4"/>
  <c r="AA31" i="4"/>
  <c r="V31" i="4"/>
  <c r="Z31" i="4" s="1"/>
  <c r="AA34" i="4" a="1"/>
  <c r="AA34" i="4" s="1"/>
  <c r="V34" i="4"/>
  <c r="Z34" i="4" s="1" a="1"/>
  <c r="Z34" i="4" s="1"/>
  <c r="AA41" i="4" a="1"/>
  <c r="AA41" i="4" s="1"/>
  <c r="V41" i="4"/>
  <c r="Z41" i="4" s="1" a="1"/>
  <c r="Z41" i="4" s="1"/>
  <c r="V38" i="4"/>
  <c r="Z38" i="4" s="1" a="1"/>
  <c r="Z38" i="4" s="1"/>
  <c r="AA38" i="4" a="1"/>
  <c r="AA38" i="4" s="1"/>
  <c r="N36" i="6"/>
  <c r="S36" i="6" s="1"/>
  <c r="W36" i="6" s="1"/>
  <c r="AC25" i="4"/>
  <c r="P37" i="4"/>
  <c r="U37" i="4" s="1"/>
  <c r="Y37" i="4" s="1"/>
  <c r="AC37" i="4" s="1"/>
  <c r="P30" i="4"/>
  <c r="R30" i="4" s="1"/>
  <c r="T30" i="4" s="1"/>
  <c r="P29" i="4"/>
  <c r="R29" i="4" s="1"/>
  <c r="T29" i="4" s="1"/>
  <c r="V35" i="4"/>
  <c r="Z35" i="4" s="1" a="1"/>
  <c r="Z35" i="4" s="1"/>
  <c r="AA35" i="4" a="1"/>
  <c r="AA35" i="4" s="1"/>
  <c r="S32" i="6"/>
  <c r="W32" i="6" s="1"/>
  <c r="S34" i="6"/>
  <c r="W34" i="6" s="1"/>
  <c r="R35" i="4"/>
  <c r="T35" i="4" s="1"/>
  <c r="V47" i="4"/>
  <c r="Z47" i="4" s="1" a="1"/>
  <c r="Z47" i="4" s="1"/>
  <c r="AA47" i="4" a="1"/>
  <c r="AA47" i="4" s="1"/>
  <c r="U26" i="4"/>
  <c r="Y26" i="4" s="1"/>
  <c r="V43" i="4"/>
  <c r="Z43" i="4" s="1" a="1"/>
  <c r="Z43" i="4" s="1"/>
  <c r="AA43" i="4" a="1"/>
  <c r="AA43" i="4" s="1"/>
  <c r="AA46" i="4" a="1"/>
  <c r="AA46" i="4" s="1"/>
  <c r="V46" i="4"/>
  <c r="Z46" i="4" s="1" a="1"/>
  <c r="Z46" i="4" s="1"/>
  <c r="AA37" i="4" a="1"/>
  <c r="AA37" i="4" s="1"/>
  <c r="V37" i="4"/>
  <c r="Z37" i="4" s="1" a="1"/>
  <c r="Z37" i="4" s="1"/>
  <c r="AA30" i="4"/>
  <c r="V30" i="4"/>
  <c r="Z30" i="4" s="1"/>
  <c r="V29" i="4"/>
  <c r="Z29" i="4" s="1"/>
  <c r="AA29" i="4"/>
  <c r="AC42" i="4"/>
  <c r="AA42" i="4" a="1"/>
  <c r="AA42" i="4" s="1"/>
  <c r="V42" i="4"/>
  <c r="Z42" i="4" s="1" a="1"/>
  <c r="Z42" i="4" s="1"/>
  <c r="P45" i="4"/>
  <c r="R45" i="4" s="1"/>
  <c r="T45" i="4" s="1"/>
  <c r="T32" i="6"/>
  <c r="X32" i="6" s="1" a="1"/>
  <c r="X32" i="6" s="1"/>
  <c r="Y32" i="6" a="1"/>
  <c r="Y32" i="6" s="1"/>
  <c r="T34" i="6"/>
  <c r="X34" i="6" s="1" a="1"/>
  <c r="X34" i="6" s="1"/>
  <c r="Y34" i="6" a="1"/>
  <c r="Y34" i="6" s="1"/>
  <c r="AA25" i="4" a="1"/>
  <c r="AA25" i="4" s="1"/>
  <c r="V25" i="4"/>
  <c r="Z25" i="4" s="1" a="1"/>
  <c r="Z25" i="4" s="1"/>
  <c r="AC35" i="4"/>
  <c r="P47" i="4"/>
  <c r="U47" i="4" s="1"/>
  <c r="Y47" i="4" s="1"/>
  <c r="P46" i="4"/>
  <c r="R46" i="4" s="1"/>
  <c r="T46" i="4" s="1"/>
  <c r="N28" i="6"/>
  <c r="S28" i="6" s="1"/>
  <c r="W28" i="6" s="1"/>
  <c r="Q40" i="2"/>
  <c r="R40" i="2" s="1"/>
  <c r="S40" i="2" s="1"/>
  <c r="O40" i="2"/>
  <c r="AC39" i="4"/>
  <c r="P31" i="4"/>
  <c r="U31" i="4" s="1"/>
  <c r="Y31" i="4" s="1"/>
  <c r="P41" i="4"/>
  <c r="U41" i="4" s="1"/>
  <c r="Y41" i="4" s="1"/>
  <c r="P38" i="4"/>
  <c r="U38" i="4" s="1"/>
  <c r="Y38" i="4" s="1"/>
  <c r="Y36" i="6" a="1"/>
  <c r="Y36" i="6" s="1"/>
  <c r="T36" i="6"/>
  <c r="X36" i="6" s="1" a="1"/>
  <c r="X36" i="6" s="1"/>
  <c r="R25" i="4"/>
  <c r="T25" i="4" s="1"/>
  <c r="Y28" i="6"/>
  <c r="T28" i="6"/>
  <c r="X28" i="6" s="1"/>
  <c r="AC24" i="4"/>
  <c r="AA45" i="4" a="1"/>
  <c r="AA45" i="4" s="1"/>
  <c r="V45" i="4"/>
  <c r="Z45" i="4" s="1" a="1"/>
  <c r="Z45" i="4" s="1"/>
  <c r="Q16" i="2"/>
  <c r="R16" i="2" s="1"/>
  <c r="S16" i="2" s="1"/>
  <c r="O28" i="2"/>
  <c r="AC12" i="2"/>
  <c r="AC16" i="2"/>
  <c r="AC32" i="2"/>
  <c r="AD50" i="4"/>
  <c r="AE20" i="2"/>
  <c r="AF20" i="2" s="1"/>
  <c r="AG20" i="2" s="1"/>
  <c r="AC28" i="2"/>
  <c r="O4" i="2"/>
  <c r="AC8" i="2"/>
  <c r="AD21" i="4"/>
  <c r="O32" i="2"/>
  <c r="R11" i="4"/>
  <c r="T11" i="4" s="1"/>
  <c r="AD49" i="4"/>
  <c r="Q12" i="2"/>
  <c r="R12" i="2" s="1"/>
  <c r="S12" i="2" s="1"/>
  <c r="AC24" i="2"/>
  <c r="AC11" i="4"/>
  <c r="O36" i="2"/>
  <c r="O20" i="2"/>
  <c r="AD12" i="4"/>
  <c r="AE4" i="2"/>
  <c r="AF4" i="2" s="1"/>
  <c r="AG4" i="2" s="1"/>
  <c r="AC4" i="2"/>
  <c r="X42" i="4" l="1"/>
  <c r="AB42" i="4" s="1"/>
  <c r="X43" i="4"/>
  <c r="AB43" i="4" s="1"/>
  <c r="X34" i="4"/>
  <c r="AB34" i="4" s="1"/>
  <c r="X24" i="4"/>
  <c r="AB24" i="4" s="1"/>
  <c r="P28" i="6"/>
  <c r="R28" i="6" s="1"/>
  <c r="AC33" i="4"/>
  <c r="V26" i="6"/>
  <c r="Z26" i="6" s="1"/>
  <c r="AB26" i="6" s="1"/>
  <c r="R41" i="4"/>
  <c r="T41" i="4" s="1"/>
  <c r="R31" i="4"/>
  <c r="T31" i="4" s="1"/>
  <c r="X31" i="4" s="1"/>
  <c r="AB31" i="4" s="1"/>
  <c r="R37" i="4"/>
  <c r="T37" i="4" s="1"/>
  <c r="X37" i="4" s="1"/>
  <c r="AB37" i="4" s="1"/>
  <c r="X39" i="4"/>
  <c r="AB39" i="4" s="1"/>
  <c r="U29" i="4"/>
  <c r="Y29" i="4" s="1"/>
  <c r="AC29" i="4" s="1"/>
  <c r="P36" i="6"/>
  <c r="R36" i="6" s="1"/>
  <c r="R38" i="4"/>
  <c r="T38" i="4" s="1"/>
  <c r="U46" i="4"/>
  <c r="Y46" i="4" s="1"/>
  <c r="X46" i="4" s="1"/>
  <c r="AB46" i="4" s="1"/>
  <c r="R47" i="4"/>
  <c r="T47" i="4" s="1"/>
  <c r="X47" i="4" s="1"/>
  <c r="AB47" i="4" s="1"/>
  <c r="U30" i="4"/>
  <c r="Y30" i="4" s="1"/>
  <c r="AC30" i="4" s="1"/>
  <c r="AA36" i="6"/>
  <c r="AC31" i="4"/>
  <c r="AC47" i="4"/>
  <c r="AA28" i="6"/>
  <c r="X25" i="4"/>
  <c r="AB25" i="4" s="1"/>
  <c r="V34" i="6"/>
  <c r="Z34" i="6" s="1"/>
  <c r="AA34" i="6"/>
  <c r="AC41" i="4"/>
  <c r="AA32" i="6"/>
  <c r="V32" i="6"/>
  <c r="Z32" i="6" s="1"/>
  <c r="X35" i="4"/>
  <c r="AB35" i="4" s="1"/>
  <c r="AD35" i="4" s="1"/>
  <c r="AC38" i="4"/>
  <c r="U45" i="4"/>
  <c r="Y45" i="4" s="1"/>
  <c r="AC26" i="4"/>
  <c r="X26" i="4"/>
  <c r="AB26" i="4" s="1"/>
  <c r="AD20" i="4"/>
  <c r="AD16" i="4"/>
  <c r="AD22" i="4"/>
  <c r="AD14" i="4"/>
  <c r="X11" i="4"/>
  <c r="AB11" i="4" s="1"/>
  <c r="AD11" i="4" s="1"/>
  <c r="AD18" i="4"/>
  <c r="AD53" i="4"/>
  <c r="AD19" i="4"/>
  <c r="AD52" i="4"/>
  <c r="V28" i="6" l="1"/>
  <c r="Z28" i="6" s="1"/>
  <c r="AB28" i="6" s="1"/>
  <c r="X38" i="4"/>
  <c r="AB38" i="4" s="1"/>
  <c r="AD38" i="4" s="1"/>
  <c r="X29" i="4"/>
  <c r="AB29" i="4" s="1"/>
  <c r="AD29" i="4" s="1"/>
  <c r="X41" i="4"/>
  <c r="AB41" i="4" s="1"/>
  <c r="AD41" i="4" s="1"/>
  <c r="AC46" i="4"/>
  <c r="AD46" i="4" s="1"/>
  <c r="AD31" i="4"/>
  <c r="V36" i="6"/>
  <c r="Z36" i="6" s="1"/>
  <c r="AB36" i="6" s="1"/>
  <c r="X30" i="4"/>
  <c r="AB30" i="4" s="1"/>
  <c r="AD30" i="4" s="1"/>
  <c r="AD26" i="4"/>
  <c r="AB34" i="6"/>
  <c r="AB32" i="6"/>
  <c r="AC45" i="4"/>
  <c r="X45" i="4"/>
  <c r="AB45" i="4" s="1"/>
  <c r="AD47" i="4"/>
  <c r="AD37" i="4"/>
  <c r="AD34" i="4"/>
  <c r="AD39" i="4"/>
  <c r="AD27" i="4"/>
  <c r="AD25" i="4"/>
  <c r="AD42" i="4"/>
  <c r="AD43" i="4"/>
  <c r="AD17" i="4"/>
  <c r="AD45" i="4" l="1"/>
  <c r="AD33" i="4"/>
  <c r="AD24" i="4"/>
</calcChain>
</file>

<file path=xl/sharedStrings.xml><?xml version="1.0" encoding="utf-8"?>
<sst xmlns="http://schemas.openxmlformats.org/spreadsheetml/2006/main" count="854" uniqueCount="189">
  <si>
    <t>마진</t>
    <phoneticPr fontId="3" type="noConversion"/>
  </si>
  <si>
    <t>순이익</t>
    <phoneticPr fontId="3" type="noConversion"/>
  </si>
  <si>
    <t>원가</t>
    <phoneticPr fontId="3" type="noConversion"/>
  </si>
  <si>
    <t>순 이익</t>
    <phoneticPr fontId="3" type="noConversion"/>
  </si>
  <si>
    <t>총 매출가</t>
    <phoneticPr fontId="3" type="noConversion"/>
  </si>
  <si>
    <t>총 매입가</t>
    <phoneticPr fontId="3" type="noConversion"/>
  </si>
  <si>
    <t>기타</t>
    <phoneticPr fontId="3" type="noConversion"/>
  </si>
  <si>
    <t>박스봉투</t>
    <phoneticPr fontId="3" type="noConversion"/>
  </si>
  <si>
    <t>상품봉투</t>
    <phoneticPr fontId="3" type="noConversion"/>
  </si>
  <si>
    <t>지관가</t>
    <phoneticPr fontId="3" type="noConversion"/>
  </si>
  <si>
    <t>원단가</t>
    <phoneticPr fontId="3" type="noConversion"/>
  </si>
  <si>
    <t>임의값</t>
    <phoneticPr fontId="3" type="noConversion"/>
  </si>
  <si>
    <t>생산수량</t>
    <phoneticPr fontId="3" type="noConversion"/>
  </si>
  <si>
    <t>원단무게</t>
    <phoneticPr fontId="3" type="noConversion"/>
  </si>
  <si>
    <t xml:space="preserve"> </t>
    <phoneticPr fontId="3" type="noConversion"/>
  </si>
  <si>
    <t>판매가</t>
    <phoneticPr fontId="3" type="noConversion"/>
  </si>
  <si>
    <t>땡큐</t>
    <phoneticPr fontId="3" type="noConversion"/>
  </si>
  <si>
    <t>개당 임의값</t>
    <phoneticPr fontId="3" type="noConversion"/>
  </si>
  <si>
    <t>꽃지
점보롤
300</t>
    <phoneticPr fontId="3" type="noConversion"/>
  </si>
  <si>
    <t>새피아</t>
    <phoneticPr fontId="3" type="noConversion"/>
  </si>
  <si>
    <t>꽃지
점보롤
200</t>
    <phoneticPr fontId="3" type="noConversion"/>
  </si>
  <si>
    <t>1개당</t>
    <phoneticPr fontId="3" type="noConversion"/>
  </si>
  <si>
    <t>박스포장</t>
    <phoneticPr fontId="3" type="noConversion"/>
  </si>
  <si>
    <t>꽃지
점보롤
180</t>
    <phoneticPr fontId="3" type="noConversion"/>
  </si>
  <si>
    <t>데코
꿈집</t>
    <phoneticPr fontId="3" type="noConversion"/>
  </si>
  <si>
    <t>-</t>
    <phoneticPr fontId="3" type="noConversion"/>
  </si>
  <si>
    <t>1m</t>
    <phoneticPr fontId="3" type="noConversion"/>
  </si>
  <si>
    <t>휴지</t>
    <phoneticPr fontId="3" type="noConversion"/>
  </si>
  <si>
    <t>노끈</t>
    <phoneticPr fontId="3" type="noConversion"/>
  </si>
  <si>
    <t>24롤봉투</t>
    <phoneticPr fontId="3" type="noConversion"/>
  </si>
  <si>
    <t>10롤봉투</t>
    <phoneticPr fontId="3" type="noConversion"/>
  </si>
  <si>
    <t>꽃지
점보롤
150</t>
    <phoneticPr fontId="3" type="noConversion"/>
  </si>
  <si>
    <t>황토</t>
    <phoneticPr fontId="3" type="noConversion"/>
  </si>
  <si>
    <t>풀값</t>
    <phoneticPr fontId="3" type="noConversion"/>
  </si>
  <si>
    <t>포장지</t>
    <phoneticPr fontId="3" type="noConversion"/>
  </si>
  <si>
    <t>새피아10롤</t>
    <phoneticPr fontId="3" type="noConversion"/>
  </si>
  <si>
    <t>일괄</t>
    <phoneticPr fontId="3" type="noConversion"/>
  </si>
  <si>
    <t>점보롤봉투</t>
    <phoneticPr fontId="3" type="noConversion"/>
  </si>
  <si>
    <t>꽃지</t>
    <phoneticPr fontId="3" type="noConversion"/>
  </si>
  <si>
    <t>고급
점보롤
300</t>
    <phoneticPr fontId="3" type="noConversion"/>
  </si>
  <si>
    <t>꽃지
꿈집</t>
    <phoneticPr fontId="3" type="noConversion"/>
  </si>
  <si>
    <t>일반</t>
    <phoneticPr fontId="3" type="noConversion"/>
  </si>
  <si>
    <t>점보롤
포장박스</t>
    <phoneticPr fontId="3" type="noConversion"/>
  </si>
  <si>
    <t>큰게</t>
    <phoneticPr fontId="3" type="noConversion"/>
  </si>
  <si>
    <t>중간</t>
    <phoneticPr fontId="3" type="noConversion"/>
  </si>
  <si>
    <t>작은거</t>
    <phoneticPr fontId="3" type="noConversion"/>
  </si>
  <si>
    <t>고급
점보롤
200</t>
    <phoneticPr fontId="3" type="noConversion"/>
  </si>
  <si>
    <t>꿈집</t>
    <phoneticPr fontId="3" type="noConversion"/>
  </si>
  <si>
    <t>30롤봉투</t>
    <phoneticPr fontId="3" type="noConversion"/>
  </si>
  <si>
    <t>점보롤</t>
    <phoneticPr fontId="3" type="noConversion"/>
  </si>
  <si>
    <t>1롤</t>
    <phoneticPr fontId="3" type="noConversion"/>
  </si>
  <si>
    <t>고급
점보롤
180</t>
    <phoneticPr fontId="3" type="noConversion"/>
  </si>
  <si>
    <t>자연</t>
    <phoneticPr fontId="3" type="noConversion"/>
  </si>
  <si>
    <t>1개</t>
    <phoneticPr fontId="3" type="noConversion"/>
  </si>
  <si>
    <t>지관</t>
    <phoneticPr fontId="3" type="noConversion"/>
  </si>
  <si>
    <t>1kg당</t>
    <phoneticPr fontId="3" type="noConversion"/>
  </si>
  <si>
    <t>원지</t>
    <phoneticPr fontId="3" type="noConversion"/>
  </si>
  <si>
    <t>단가</t>
    <phoneticPr fontId="3" type="noConversion"/>
  </si>
  <si>
    <t>규격</t>
    <phoneticPr fontId="3" type="noConversion"/>
  </si>
  <si>
    <t>상세명</t>
    <phoneticPr fontId="3" type="noConversion"/>
  </si>
  <si>
    <t>품목</t>
    <phoneticPr fontId="3" type="noConversion"/>
  </si>
  <si>
    <t>고급
점보롤
150</t>
    <phoneticPr fontId="3" type="noConversion"/>
  </si>
  <si>
    <t>순수</t>
    <phoneticPr fontId="3" type="noConversion"/>
  </si>
  <si>
    <t>화장지/점보롤 제품 단가</t>
    <phoneticPr fontId="3" type="noConversion"/>
  </si>
  <si>
    <t>신상품종류</t>
    <phoneticPr fontId="3" type="noConversion"/>
  </si>
  <si>
    <t>상품별 택배비</t>
    <phoneticPr fontId="3" type="noConversion"/>
  </si>
  <si>
    <t>사이트별 수수료</t>
    <phoneticPr fontId="3" type="noConversion"/>
  </si>
  <si>
    <t>상품 상태</t>
    <phoneticPr fontId="3" type="noConversion"/>
  </si>
  <si>
    <t>신규공장판매가</t>
    <phoneticPr fontId="3" type="noConversion"/>
  </si>
  <si>
    <t>상품명</t>
    <phoneticPr fontId="3" type="noConversion"/>
  </si>
  <si>
    <t>수량</t>
    <phoneticPr fontId="3" type="noConversion"/>
  </si>
  <si>
    <t>택배비</t>
    <phoneticPr fontId="3" type="noConversion"/>
  </si>
  <si>
    <t>사이트명</t>
    <phoneticPr fontId="3" type="noConversion"/>
  </si>
  <si>
    <t>수수료</t>
    <phoneticPr fontId="3" type="noConversion"/>
  </si>
  <si>
    <t>상태</t>
    <phoneticPr fontId="3" type="noConversion"/>
  </si>
  <si>
    <t>새피아10</t>
    <phoneticPr fontId="3" type="noConversion"/>
  </si>
  <si>
    <t>쿠팡</t>
    <phoneticPr fontId="3" type="noConversion"/>
  </si>
  <si>
    <t>기존</t>
    <phoneticPr fontId="3" type="noConversion"/>
  </si>
  <si>
    <t>새피아24</t>
    <phoneticPr fontId="3" type="noConversion"/>
  </si>
  <si>
    <t>티몬</t>
    <phoneticPr fontId="3" type="noConversion"/>
  </si>
  <si>
    <t>신규</t>
    <phoneticPr fontId="3" type="noConversion"/>
  </si>
  <si>
    <t>위메프</t>
    <phoneticPr fontId="3" type="noConversion"/>
  </si>
  <si>
    <t>자연/꿈집</t>
    <phoneticPr fontId="3" type="noConversion"/>
  </si>
  <si>
    <t>11번가</t>
    <phoneticPr fontId="3" type="noConversion"/>
  </si>
  <si>
    <t>꽃지꿈집</t>
    <phoneticPr fontId="3" type="noConversion"/>
  </si>
  <si>
    <t>옥션</t>
    <phoneticPr fontId="3" type="noConversion"/>
  </si>
  <si>
    <t>지마켓</t>
    <phoneticPr fontId="3" type="noConversion"/>
  </si>
  <si>
    <t>데코꿈집</t>
    <phoneticPr fontId="3" type="noConversion"/>
  </si>
  <si>
    <t>스마트스토어</t>
    <phoneticPr fontId="3" type="noConversion"/>
  </si>
  <si>
    <t>점보롤150</t>
    <phoneticPr fontId="3" type="noConversion"/>
  </si>
  <si>
    <t>롯데온</t>
    <phoneticPr fontId="3" type="noConversion"/>
  </si>
  <si>
    <t>점보롤180</t>
    <phoneticPr fontId="3" type="noConversion"/>
  </si>
  <si>
    <t>인터파크</t>
    <phoneticPr fontId="3" type="noConversion"/>
  </si>
  <si>
    <t>점보롤200</t>
    <phoneticPr fontId="3" type="noConversion"/>
  </si>
  <si>
    <t>점보롤300</t>
    <phoneticPr fontId="3" type="noConversion"/>
  </si>
  <si>
    <t>꽃보롤150</t>
    <phoneticPr fontId="3" type="noConversion"/>
  </si>
  <si>
    <t>꽃보롤180</t>
    <phoneticPr fontId="3" type="noConversion"/>
  </si>
  <si>
    <t>꽃보롤200</t>
    <phoneticPr fontId="3" type="noConversion"/>
  </si>
  <si>
    <t>꽃보롤300</t>
    <phoneticPr fontId="3" type="noConversion"/>
  </si>
  <si>
    <t>네프킨</t>
    <phoneticPr fontId="3" type="noConversion"/>
  </si>
  <si>
    <t>핸드타월</t>
    <phoneticPr fontId="3" type="noConversion"/>
  </si>
  <si>
    <t>판매사이트별 상품 마진 계산</t>
    <phoneticPr fontId="3" type="noConversion"/>
  </si>
  <si>
    <t>공급가</t>
    <phoneticPr fontId="3" type="noConversion"/>
  </si>
  <si>
    <t>부가세 &amp; 종소세</t>
    <phoneticPr fontId="3" type="noConversion"/>
  </si>
  <si>
    <t>정산가</t>
    <phoneticPr fontId="3" type="noConversion"/>
  </si>
  <si>
    <t>기존/신규</t>
    <phoneticPr fontId="3" type="noConversion"/>
  </si>
  <si>
    <t>기본값</t>
    <phoneticPr fontId="3" type="noConversion"/>
  </si>
  <si>
    <t>할인금액</t>
    <phoneticPr fontId="3" type="noConversion"/>
  </si>
  <si>
    <t>소계</t>
    <phoneticPr fontId="3" type="noConversion"/>
  </si>
  <si>
    <t>예상
마진율</t>
    <phoneticPr fontId="3" type="noConversion"/>
  </si>
  <si>
    <t>최종판매액</t>
    <phoneticPr fontId="3" type="noConversion"/>
  </si>
  <si>
    <t>부가세
포함여부</t>
    <phoneticPr fontId="3" type="noConversion"/>
  </si>
  <si>
    <t>수수료 
금액</t>
    <phoneticPr fontId="3" type="noConversion"/>
  </si>
  <si>
    <t>수수료
부가세</t>
    <phoneticPr fontId="3" type="noConversion"/>
  </si>
  <si>
    <t>부가세</t>
    <phoneticPr fontId="3" type="noConversion"/>
  </si>
  <si>
    <t>종소세율</t>
    <phoneticPr fontId="3" type="noConversion"/>
  </si>
  <si>
    <t>종소세</t>
    <phoneticPr fontId="3" type="noConversion"/>
  </si>
  <si>
    <t>정산금액</t>
    <phoneticPr fontId="3" type="noConversion"/>
  </si>
  <si>
    <t>개당 마진</t>
    <phoneticPr fontId="3" type="noConversion"/>
  </si>
  <si>
    <t>마진율</t>
    <phoneticPr fontId="3" type="noConversion"/>
  </si>
  <si>
    <t>묶음</t>
    <phoneticPr fontId="3" type="noConversion"/>
  </si>
  <si>
    <t>택배</t>
    <phoneticPr fontId="3" type="noConversion"/>
  </si>
  <si>
    <t>2차오프라인</t>
    <phoneticPr fontId="3" type="noConversion"/>
  </si>
  <si>
    <t>1차오프라인</t>
    <phoneticPr fontId="3" type="noConversion"/>
  </si>
  <si>
    <t>2차 온라인</t>
    <phoneticPr fontId="3" type="noConversion"/>
  </si>
  <si>
    <t>1차 온라인</t>
    <phoneticPr fontId="3" type="noConversion"/>
  </si>
  <si>
    <t>1차오프리안</t>
    <phoneticPr fontId="3" type="noConversion"/>
  </si>
  <si>
    <t>2차온라인</t>
    <phoneticPr fontId="3" type="noConversion"/>
  </si>
  <si>
    <t>1차온라인</t>
    <phoneticPr fontId="3" type="noConversion"/>
  </si>
  <si>
    <t>쿠팡</t>
  </si>
  <si>
    <t>기존</t>
  </si>
  <si>
    <t>점보롤150</t>
  </si>
  <si>
    <t>Y</t>
    <phoneticPr fontId="3" type="noConversion"/>
  </si>
  <si>
    <t>신규</t>
  </si>
  <si>
    <t>꽃보롤150</t>
  </si>
  <si>
    <t>새피아10</t>
  </si>
  <si>
    <t>새피아24</t>
  </si>
  <si>
    <t>순수</t>
  </si>
  <si>
    <t>자연/꿈집</t>
  </si>
  <si>
    <t>꽃지꿈집</t>
  </si>
  <si>
    <t>황토</t>
  </si>
  <si>
    <t>데코꿈집</t>
  </si>
  <si>
    <t>네프킨</t>
  </si>
  <si>
    <t>핸드타월</t>
  </si>
  <si>
    <t>점보롤500</t>
    <phoneticPr fontId="3" type="noConversion"/>
  </si>
  <si>
    <t>땡큐10</t>
    <phoneticPr fontId="3" type="noConversion"/>
  </si>
  <si>
    <t>땡큐30</t>
    <phoneticPr fontId="3" type="noConversion"/>
  </si>
  <si>
    <t>CAFE24</t>
    <phoneticPr fontId="3" type="noConversion"/>
  </si>
  <si>
    <t>땡큐</t>
  </si>
  <si>
    <t>데코</t>
    <phoneticPr fontId="3" type="noConversion"/>
  </si>
  <si>
    <t>꽃지 300</t>
  </si>
  <si>
    <t>꽃지 200</t>
  </si>
  <si>
    <t>꽃지 180</t>
  </si>
  <si>
    <t>꽃지 150</t>
  </si>
  <si>
    <t>고급 300</t>
  </si>
  <si>
    <t>고급 200</t>
  </si>
  <si>
    <t>고급 180</t>
  </si>
  <si>
    <t>고급 150</t>
  </si>
  <si>
    <t>충무황토</t>
  </si>
  <si>
    <t>꿈집</t>
  </si>
  <si>
    <t>자연</t>
  </si>
  <si>
    <t>땡큐/순수</t>
  </si>
  <si>
    <t>새피아</t>
  </si>
  <si>
    <t>지관무게</t>
    <phoneticPr fontId="3" type="noConversion"/>
  </si>
  <si>
    <t>뺄원단</t>
    <phoneticPr fontId="3" type="noConversion"/>
  </si>
  <si>
    <t>원단</t>
    <phoneticPr fontId="3" type="noConversion"/>
  </si>
  <si>
    <t>고급점보롤</t>
    <phoneticPr fontId="3" type="noConversion"/>
  </si>
  <si>
    <t>꽃지점보롤</t>
    <phoneticPr fontId="3" type="noConversion"/>
  </si>
  <si>
    <t>3.8~9</t>
    <phoneticPr fontId="3" type="noConversion"/>
  </si>
  <si>
    <t>롤타입</t>
    <phoneticPr fontId="3" type="noConversion"/>
  </si>
  <si>
    <t>30롤 무게</t>
    <phoneticPr fontId="3" type="noConversion"/>
  </si>
  <si>
    <t>#</t>
    <phoneticPr fontId="3" type="noConversion"/>
  </si>
  <si>
    <t>담는봉투</t>
    <phoneticPr fontId="3" type="noConversion"/>
  </si>
  <si>
    <t>순수, 땡큐</t>
    <phoneticPr fontId="3" type="noConversion"/>
  </si>
  <si>
    <t>중간거</t>
    <phoneticPr fontId="3" type="noConversion"/>
  </si>
  <si>
    <t>자연,꿈집,꽃지꿈집</t>
    <phoneticPr fontId="3" type="noConversion"/>
  </si>
  <si>
    <t>큰거</t>
    <phoneticPr fontId="3" type="noConversion"/>
  </si>
  <si>
    <t>새피아24, 황토, 데코</t>
    <phoneticPr fontId="3" type="noConversion"/>
  </si>
  <si>
    <t>4개당</t>
    <phoneticPr fontId="3" type="noConversion"/>
  </si>
  <si>
    <t>원단값</t>
    <phoneticPr fontId="3" type="noConversion"/>
  </si>
  <si>
    <t>+a</t>
    <phoneticPr fontId="3" type="noConversion"/>
  </si>
  <si>
    <t>100g</t>
    <phoneticPr fontId="3" type="noConversion"/>
  </si>
  <si>
    <t>-원단값(지관)</t>
    <phoneticPr fontId="3" type="noConversion"/>
  </si>
  <si>
    <t>30 2</t>
    <phoneticPr fontId="22" type="noConversion"/>
  </si>
  <si>
    <t>30 1</t>
    <phoneticPr fontId="22" type="noConversion"/>
  </si>
  <si>
    <r>
      <t>10</t>
    </r>
    <r>
      <rPr>
        <sz val="11"/>
        <color rgb="FF000000"/>
        <rFont val="돋움"/>
        <family val="3"/>
        <charset val="129"/>
      </rPr>
      <t>롤</t>
    </r>
    <phoneticPr fontId="22" type="noConversion"/>
  </si>
  <si>
    <t>10롤</t>
    <phoneticPr fontId="3" type="noConversion"/>
  </si>
  <si>
    <t>30롤</t>
    <phoneticPr fontId="3" type="noConversion"/>
  </si>
  <si>
    <t>2개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</si>
</sst>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0.0%"/>
    <numFmt numFmtId="178" formatCode="0.00_);[Red]\(0.00\)"/>
    <numFmt numFmtId="179" formatCode="#,##0_ "/>
    <numFmt numFmtId="180" formatCode="0_ 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49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32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4" fillId="0" borderId="1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6" fillId="0" borderId="1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6" fontId="7" fillId="3" borderId="12" xfId="0" applyNumberFormat="1" applyFont="1" applyFill="1" applyBorder="1" applyAlignment="1">
      <alignment horizontal="center" vertical="center"/>
    </xf>
    <xf numFmtId="176" fontId="7" fillId="3" borderId="13" xfId="0" applyNumberFormat="1" applyFont="1" applyFill="1" applyBorder="1" applyAlignment="1">
      <alignment horizontal="center" vertical="center"/>
    </xf>
    <xf numFmtId="176" fontId="7" fillId="4" borderId="12" xfId="0" applyNumberFormat="1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center" vertical="center"/>
    </xf>
    <xf numFmtId="176" fontId="7" fillId="5" borderId="12" xfId="0" applyNumberFormat="1" applyFont="1" applyFill="1" applyBorder="1" applyAlignment="1">
      <alignment horizontal="center" vertical="center"/>
    </xf>
    <xf numFmtId="176" fontId="7" fillId="5" borderId="13" xfId="0" applyNumberFormat="1" applyFont="1" applyFill="1" applyBorder="1" applyAlignment="1">
      <alignment horizontal="center" vertical="center"/>
    </xf>
    <xf numFmtId="176" fontId="5" fillId="6" borderId="12" xfId="0" applyNumberFormat="1" applyFont="1" applyFill="1" applyBorder="1" applyAlignment="1">
      <alignment horizontal="center" vertical="center"/>
    </xf>
    <xf numFmtId="176" fontId="5" fillId="6" borderId="13" xfId="0" applyNumberFormat="1" applyFont="1" applyFill="1" applyBorder="1" applyAlignment="1">
      <alignment horizontal="center" vertical="center"/>
    </xf>
    <xf numFmtId="178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7" borderId="12" xfId="0" applyNumberFormat="1" applyFont="1" applyFill="1" applyBorder="1" applyAlignment="1">
      <alignment horizontal="center" vertical="center"/>
    </xf>
    <xf numFmtId="176" fontId="5" fillId="7" borderId="13" xfId="0" applyNumberFormat="1" applyFont="1" applyFill="1" applyBorder="1" applyAlignment="1">
      <alignment horizontal="center" vertical="center"/>
    </xf>
    <xf numFmtId="176" fontId="7" fillId="8" borderId="12" xfId="0" applyNumberFormat="1" applyFont="1" applyFill="1" applyBorder="1" applyAlignment="1">
      <alignment horizontal="center" vertical="center"/>
    </xf>
    <xf numFmtId="176" fontId="7" fillId="8" borderId="13" xfId="0" applyNumberFormat="1" applyFont="1" applyFill="1" applyBorder="1" applyAlignment="1">
      <alignment horizontal="center" vertical="center"/>
    </xf>
    <xf numFmtId="176" fontId="7" fillId="9" borderId="12" xfId="0" applyNumberFormat="1" applyFont="1" applyFill="1" applyBorder="1" applyAlignment="1">
      <alignment horizontal="center" vertical="center"/>
    </xf>
    <xf numFmtId="176" fontId="7" fillId="9" borderId="13" xfId="0" applyNumberFormat="1" applyFont="1" applyFill="1" applyBorder="1" applyAlignment="1">
      <alignment horizontal="center" vertical="center"/>
    </xf>
    <xf numFmtId="178" fontId="10" fillId="0" borderId="18" xfId="0" applyNumberFormat="1" applyFont="1" applyBorder="1" applyAlignment="1">
      <alignment horizontal="center" vertical="center"/>
    </xf>
    <xf numFmtId="176" fontId="10" fillId="0" borderId="18" xfId="0" applyNumberFormat="1" applyFont="1" applyBorder="1" applyAlignment="1">
      <alignment horizontal="center" vertical="center"/>
    </xf>
    <xf numFmtId="176" fontId="7" fillId="10" borderId="12" xfId="0" applyNumberFormat="1" applyFont="1" applyFill="1" applyBorder="1" applyAlignment="1">
      <alignment horizontal="center" vertical="center"/>
    </xf>
    <xf numFmtId="176" fontId="7" fillId="10" borderId="13" xfId="0" applyNumberFormat="1" applyFont="1" applyFill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21" xfId="0" applyFont="1" applyBorder="1" applyAlignment="1">
      <alignment horizontal="center" vertical="center"/>
    </xf>
    <xf numFmtId="179" fontId="14" fillId="0" borderId="9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41" fontId="14" fillId="0" borderId="21" xfId="1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5" fillId="0" borderId="25" xfId="0" applyFont="1" applyBorder="1">
      <alignment vertical="center"/>
    </xf>
    <xf numFmtId="179" fontId="15" fillId="0" borderId="26" xfId="0" applyNumberFormat="1" applyFont="1" applyBorder="1">
      <alignment vertical="center"/>
    </xf>
    <xf numFmtId="0" fontId="16" fillId="0" borderId="25" xfId="0" applyFont="1" applyBorder="1">
      <alignment vertical="center"/>
    </xf>
    <xf numFmtId="0" fontId="16" fillId="0" borderId="18" xfId="0" applyFont="1" applyBorder="1">
      <alignment vertical="center"/>
    </xf>
    <xf numFmtId="179" fontId="16" fillId="0" borderId="26" xfId="0" applyNumberFormat="1" applyFont="1" applyBorder="1">
      <alignment vertical="center"/>
    </xf>
    <xf numFmtId="179" fontId="15" fillId="0" borderId="25" xfId="1" applyNumberFormat="1" applyFont="1" applyFill="1" applyBorder="1">
      <alignment vertical="center"/>
    </xf>
    <xf numFmtId="177" fontId="15" fillId="0" borderId="26" xfId="0" applyNumberFormat="1" applyFont="1" applyBorder="1" applyAlignment="1">
      <alignment horizontal="right" vertical="center"/>
    </xf>
    <xf numFmtId="0" fontId="15" fillId="0" borderId="27" xfId="0" applyFont="1" applyBorder="1" applyAlignment="1">
      <alignment horizontal="center" vertical="center"/>
    </xf>
    <xf numFmtId="37" fontId="15" fillId="0" borderId="25" xfId="1" applyNumberFormat="1" applyFont="1" applyFill="1" applyBorder="1">
      <alignment vertical="center"/>
    </xf>
    <xf numFmtId="0" fontId="15" fillId="0" borderId="28" xfId="0" applyFont="1" applyBorder="1" applyAlignment="1">
      <alignment horizontal="center" vertical="center"/>
    </xf>
    <xf numFmtId="37" fontId="16" fillId="0" borderId="29" xfId="0" applyNumberFormat="1" applyFont="1" applyBorder="1">
      <alignment vertical="center"/>
    </xf>
    <xf numFmtId="177" fontId="15" fillId="0" borderId="30" xfId="0" applyNumberFormat="1" applyFont="1" applyBorder="1" applyAlignment="1">
      <alignment horizontal="right" vertical="center"/>
    </xf>
    <xf numFmtId="0" fontId="15" fillId="0" borderId="29" xfId="0" applyFont="1" applyBorder="1">
      <alignment vertical="center"/>
    </xf>
    <xf numFmtId="179" fontId="15" fillId="0" borderId="30" xfId="0" applyNumberFormat="1" applyFont="1" applyBorder="1">
      <alignment vertical="center"/>
    </xf>
    <xf numFmtId="0" fontId="16" fillId="0" borderId="31" xfId="0" applyFont="1" applyBorder="1">
      <alignment vertical="center"/>
    </xf>
    <xf numFmtId="0" fontId="16" fillId="0" borderId="0" xfId="0" applyFont="1">
      <alignment vertical="center"/>
    </xf>
    <xf numFmtId="41" fontId="15" fillId="0" borderId="0" xfId="1" applyFont="1">
      <alignment vertical="center"/>
    </xf>
    <xf numFmtId="41" fontId="15" fillId="0" borderId="0" xfId="1" applyFont="1" applyAlignment="1">
      <alignment vertical="center"/>
    </xf>
    <xf numFmtId="10" fontId="15" fillId="0" borderId="0" xfId="2" applyNumberFormat="1" applyFont="1">
      <alignment vertical="center"/>
    </xf>
    <xf numFmtId="41" fontId="15" fillId="0" borderId="0" xfId="1" applyFont="1" applyFill="1">
      <alignment vertical="center"/>
    </xf>
    <xf numFmtId="41" fontId="18" fillId="17" borderId="38" xfId="1" applyFont="1" applyFill="1" applyBorder="1" applyAlignment="1">
      <alignment vertical="center"/>
    </xf>
    <xf numFmtId="41" fontId="6" fillId="19" borderId="6" xfId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41" fontId="4" fillId="23" borderId="18" xfId="1" applyFont="1" applyFill="1" applyBorder="1" applyAlignment="1">
      <alignment vertical="center"/>
    </xf>
    <xf numFmtId="41" fontId="4" fillId="23" borderId="43" xfId="1" applyFont="1" applyFill="1" applyBorder="1" applyAlignment="1">
      <alignment vertical="center"/>
    </xf>
    <xf numFmtId="41" fontId="2" fillId="24" borderId="40" xfId="1" applyFont="1" applyFill="1" applyBorder="1" applyAlignment="1">
      <alignment horizontal="center" vertical="center" wrapText="1"/>
    </xf>
    <xf numFmtId="41" fontId="2" fillId="24" borderId="42" xfId="1" applyFont="1" applyFill="1" applyBorder="1" applyAlignment="1">
      <alignment horizontal="center" vertical="center" wrapText="1"/>
    </xf>
    <xf numFmtId="41" fontId="10" fillId="24" borderId="18" xfId="1" applyFont="1" applyFill="1" applyBorder="1" applyAlignment="1">
      <alignment horizontal="center" vertical="center" wrapText="1"/>
    </xf>
    <xf numFmtId="41" fontId="19" fillId="24" borderId="18" xfId="1" applyFont="1" applyFill="1" applyBorder="1" applyAlignment="1">
      <alignment horizontal="center" vertical="center"/>
    </xf>
    <xf numFmtId="41" fontId="19" fillId="24" borderId="18" xfId="1" applyFont="1" applyFill="1" applyBorder="1" applyAlignment="1">
      <alignment vertical="center"/>
    </xf>
    <xf numFmtId="41" fontId="19" fillId="24" borderId="41" xfId="1" applyFont="1" applyFill="1" applyBorder="1" applyAlignment="1">
      <alignment vertical="center"/>
    </xf>
    <xf numFmtId="10" fontId="2" fillId="25" borderId="45" xfId="1" applyNumberFormat="1" applyFont="1" applyFill="1" applyBorder="1" applyAlignment="1">
      <alignment vertical="center"/>
    </xf>
    <xf numFmtId="41" fontId="20" fillId="25" borderId="46" xfId="1" applyFont="1" applyFill="1" applyBorder="1" applyAlignment="1">
      <alignment vertical="center"/>
    </xf>
    <xf numFmtId="10" fontId="4" fillId="21" borderId="42" xfId="2" applyNumberFormat="1" applyFont="1" applyFill="1" applyBorder="1" applyAlignment="1">
      <alignment horizontal="center" vertical="center"/>
    </xf>
    <xf numFmtId="38" fontId="19" fillId="26" borderId="18" xfId="2" applyNumberFormat="1" applyFont="1" applyFill="1" applyBorder="1" applyAlignment="1">
      <alignment vertical="center"/>
    </xf>
    <xf numFmtId="38" fontId="19" fillId="16" borderId="18" xfId="2" applyNumberFormat="1" applyFont="1" applyFill="1" applyBorder="1" applyAlignment="1">
      <alignment vertical="center"/>
    </xf>
    <xf numFmtId="177" fontId="19" fillId="16" borderId="18" xfId="2" applyNumberFormat="1" applyFont="1" applyFill="1" applyBorder="1" applyAlignment="1">
      <alignment vertical="center"/>
    </xf>
    <xf numFmtId="38" fontId="19" fillId="27" borderId="18" xfId="2" applyNumberFormat="1" applyFont="1" applyFill="1" applyBorder="1" applyAlignment="1">
      <alignment vertical="center"/>
    </xf>
    <xf numFmtId="38" fontId="19" fillId="28" borderId="18" xfId="1" applyNumberFormat="1" applyFont="1" applyFill="1" applyBorder="1" applyAlignment="1">
      <alignment vertical="center"/>
    </xf>
    <xf numFmtId="10" fontId="20" fillId="28" borderId="18" xfId="1" applyNumberFormat="1" applyFont="1" applyFill="1" applyBorder="1" applyAlignment="1">
      <alignment vertical="center"/>
    </xf>
    <xf numFmtId="10" fontId="20" fillId="25" borderId="18" xfId="1" applyNumberFormat="1" applyFont="1" applyFill="1" applyBorder="1" applyAlignment="1">
      <alignment vertical="center"/>
    </xf>
    <xf numFmtId="10" fontId="20" fillId="20" borderId="18" xfId="1" applyNumberFormat="1" applyFont="1" applyFill="1" applyBorder="1" applyAlignment="1">
      <alignment vertical="center"/>
    </xf>
    <xf numFmtId="10" fontId="20" fillId="14" borderId="43" xfId="1" applyNumberFormat="1" applyFont="1" applyFill="1" applyBorder="1" applyAlignment="1">
      <alignment vertical="center"/>
    </xf>
    <xf numFmtId="10" fontId="0" fillId="0" borderId="0" xfId="0" applyNumberFormat="1">
      <alignment vertical="center"/>
    </xf>
    <xf numFmtId="43" fontId="0" fillId="0" borderId="0" xfId="0" applyNumberFormat="1">
      <alignment vertical="center"/>
    </xf>
    <xf numFmtId="41" fontId="0" fillId="0" borderId="0" xfId="0" applyNumberFormat="1">
      <alignment vertical="center"/>
    </xf>
    <xf numFmtId="41" fontId="2" fillId="29" borderId="40" xfId="1" applyFont="1" applyFill="1" applyBorder="1" applyAlignment="1">
      <alignment horizontal="center" vertical="center" wrapText="1"/>
    </xf>
    <xf numFmtId="41" fontId="2" fillId="29" borderId="42" xfId="1" applyFont="1" applyFill="1" applyBorder="1" applyAlignment="1">
      <alignment horizontal="center" vertical="center" wrapText="1"/>
    </xf>
    <xf numFmtId="41" fontId="10" fillId="29" borderId="18" xfId="1" applyFont="1" applyFill="1" applyBorder="1" applyAlignment="1">
      <alignment horizontal="center" vertical="center" wrapText="1"/>
    </xf>
    <xf numFmtId="41" fontId="19" fillId="29" borderId="18" xfId="1" applyFont="1" applyFill="1" applyBorder="1" applyAlignment="1">
      <alignment horizontal="center" vertical="center"/>
    </xf>
    <xf numFmtId="41" fontId="19" fillId="29" borderId="18" xfId="1" applyFont="1" applyFill="1" applyBorder="1" applyAlignment="1">
      <alignment vertical="center"/>
    </xf>
    <xf numFmtId="41" fontId="19" fillId="29" borderId="41" xfId="1" applyFont="1" applyFill="1" applyBorder="1" applyAlignment="1">
      <alignment vertical="center"/>
    </xf>
    <xf numFmtId="10" fontId="4" fillId="29" borderId="42" xfId="2" applyNumberFormat="1" applyFont="1" applyFill="1" applyBorder="1" applyAlignment="1">
      <alignment horizontal="center" vertical="center"/>
    </xf>
    <xf numFmtId="177" fontId="19" fillId="29" borderId="18" xfId="2" applyNumberFormat="1" applyFont="1" applyFill="1" applyBorder="1" applyAlignment="1">
      <alignment vertical="center"/>
    </xf>
    <xf numFmtId="38" fontId="19" fillId="29" borderId="18" xfId="2" applyNumberFormat="1" applyFont="1" applyFill="1" applyBorder="1" applyAlignment="1">
      <alignment vertical="center"/>
    </xf>
    <xf numFmtId="38" fontId="19" fillId="29" borderId="18" xfId="1" applyNumberFormat="1" applyFont="1" applyFill="1" applyBorder="1" applyAlignment="1">
      <alignment vertical="center"/>
    </xf>
    <xf numFmtId="10" fontId="20" fillId="29" borderId="18" xfId="1" applyNumberFormat="1" applyFont="1" applyFill="1" applyBorder="1" applyAlignment="1">
      <alignment vertical="center"/>
    </xf>
    <xf numFmtId="10" fontId="20" fillId="29" borderId="43" xfId="1" applyNumberFormat="1" applyFont="1" applyFill="1" applyBorder="1" applyAlignment="1">
      <alignment vertical="center"/>
    </xf>
    <xf numFmtId="176" fontId="7" fillId="30" borderId="13" xfId="0" applyNumberFormat="1" applyFont="1" applyFill="1" applyBorder="1" applyAlignment="1">
      <alignment horizontal="center" vertical="center"/>
    </xf>
    <xf numFmtId="176" fontId="7" fillId="30" borderId="12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0" fillId="29" borderId="0" xfId="0" applyFill="1">
      <alignment vertical="center"/>
    </xf>
    <xf numFmtId="10" fontId="2" fillId="29" borderId="45" xfId="1" applyNumberFormat="1" applyFont="1" applyFill="1" applyBorder="1" applyAlignment="1">
      <alignment vertical="center"/>
    </xf>
    <xf numFmtId="41" fontId="20" fillId="29" borderId="46" xfId="1" applyFont="1" applyFill="1" applyBorder="1" applyAlignment="1">
      <alignment vertical="center"/>
    </xf>
    <xf numFmtId="10" fontId="0" fillId="29" borderId="0" xfId="0" applyNumberFormat="1" applyFill="1">
      <alignment vertical="center"/>
    </xf>
    <xf numFmtId="10" fontId="19" fillId="26" borderId="18" xfId="2" applyNumberFormat="1" applyFont="1" applyFill="1" applyBorder="1" applyAlignment="1">
      <alignment vertical="center"/>
    </xf>
    <xf numFmtId="10" fontId="19" fillId="29" borderId="18" xfId="2" applyNumberFormat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0" fontId="15" fillId="0" borderId="47" xfId="0" applyFont="1" applyFill="1" applyBorder="1">
      <alignment vertical="center"/>
    </xf>
    <xf numFmtId="180" fontId="15" fillId="0" borderId="25" xfId="0" applyNumberFormat="1" applyFont="1" applyBorder="1">
      <alignment vertical="center"/>
    </xf>
    <xf numFmtId="41" fontId="7" fillId="24" borderId="18" xfId="1" applyFont="1" applyFill="1" applyBorder="1" applyAlignment="1">
      <alignment vertical="center"/>
    </xf>
    <xf numFmtId="179" fontId="0" fillId="0" borderId="0" xfId="0" applyNumberFormat="1">
      <alignment vertical="center"/>
    </xf>
    <xf numFmtId="179" fontId="6" fillId="0" borderId="48" xfId="0" applyNumberFormat="1" applyFont="1" applyBorder="1">
      <alignment vertical="center"/>
    </xf>
    <xf numFmtId="0" fontId="4" fillId="0" borderId="48" xfId="0" applyFont="1" applyBorder="1" applyAlignment="1">
      <alignment horizontal="center" vertical="center"/>
    </xf>
    <xf numFmtId="179" fontId="6" fillId="31" borderId="48" xfId="0" applyNumberFormat="1" applyFont="1" applyFill="1" applyBorder="1">
      <alignment vertical="center"/>
    </xf>
    <xf numFmtId="0" fontId="4" fillId="31" borderId="4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179" fontId="10" fillId="0" borderId="18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right" vertical="center"/>
    </xf>
    <xf numFmtId="179" fontId="0" fillId="0" borderId="0" xfId="0" applyNumberForma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9" fontId="0" fillId="0" borderId="18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8" xfId="0" applyNumberFormat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0" fillId="13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/>
    <xf numFmtId="0" fontId="12" fillId="12" borderId="20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176" fontId="7" fillId="30" borderId="14" xfId="0" applyNumberFormat="1" applyFont="1" applyFill="1" applyBorder="1" applyAlignment="1">
      <alignment horizontal="center" vertical="center"/>
    </xf>
    <xf numFmtId="176" fontId="7" fillId="30" borderId="4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7" fillId="10" borderId="14" xfId="0" applyNumberFormat="1" applyFont="1" applyFill="1" applyBorder="1" applyAlignment="1">
      <alignment horizontal="center" vertical="center"/>
    </xf>
    <xf numFmtId="176" fontId="7" fillId="10" borderId="4" xfId="0" applyNumberFormat="1" applyFont="1" applyFill="1" applyBorder="1" applyAlignment="1">
      <alignment horizontal="center" vertical="center"/>
    </xf>
    <xf numFmtId="176" fontId="9" fillId="0" borderId="18" xfId="0" applyNumberFormat="1" applyFont="1" applyBorder="1" applyAlignment="1">
      <alignment horizontal="center" vertical="center"/>
    </xf>
    <xf numFmtId="176" fontId="7" fillId="9" borderId="14" xfId="0" applyNumberFormat="1" applyFont="1" applyFill="1" applyBorder="1" applyAlignment="1">
      <alignment horizontal="center" vertical="center"/>
    </xf>
    <xf numFmtId="176" fontId="7" fillId="9" borderId="4" xfId="0" applyNumberFormat="1" applyFont="1" applyFill="1" applyBorder="1" applyAlignment="1">
      <alignment horizontal="center" vertical="center"/>
    </xf>
    <xf numFmtId="176" fontId="7" fillId="5" borderId="14" xfId="0" applyNumberFormat="1" applyFont="1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176" fontId="7" fillId="8" borderId="14" xfId="0" applyNumberFormat="1" applyFont="1" applyFill="1" applyBorder="1" applyAlignment="1">
      <alignment horizontal="center" vertical="center" wrapText="1"/>
    </xf>
    <xf numFmtId="176" fontId="7" fillId="8" borderId="4" xfId="0" applyNumberFormat="1" applyFont="1" applyFill="1" applyBorder="1" applyAlignment="1">
      <alignment horizontal="center" vertical="center"/>
    </xf>
    <xf numFmtId="176" fontId="8" fillId="0" borderId="18" xfId="0" applyNumberFormat="1" applyFont="1" applyBorder="1" applyAlignment="1">
      <alignment horizontal="center" vertical="center" wrapText="1"/>
    </xf>
    <xf numFmtId="176" fontId="11" fillId="11" borderId="18" xfId="0" applyNumberFormat="1" applyFont="1" applyFill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176" fontId="7" fillId="3" borderId="1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/>
    </xf>
    <xf numFmtId="176" fontId="5" fillId="6" borderId="14" xfId="0" applyNumberFormat="1" applyFont="1" applyFill="1" applyBorder="1" applyAlignment="1">
      <alignment horizontal="center" vertical="center" wrapText="1"/>
    </xf>
    <xf numFmtId="176" fontId="5" fillId="6" borderId="4" xfId="0" applyNumberFormat="1" applyFont="1" applyFill="1" applyBorder="1" applyAlignment="1">
      <alignment horizontal="center" vertical="center"/>
    </xf>
    <xf numFmtId="176" fontId="7" fillId="4" borderId="14" xfId="0" applyNumberFormat="1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 wrapText="1"/>
    </xf>
    <xf numFmtId="176" fontId="6" fillId="0" borderId="17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5" fillId="7" borderId="14" xfId="0" applyNumberFormat="1" applyFont="1" applyFill="1" applyBorder="1" applyAlignment="1">
      <alignment horizontal="center" vertical="center" wrapText="1"/>
    </xf>
    <xf numFmtId="176" fontId="5" fillId="7" borderId="4" xfId="0" applyNumberFormat="1" applyFont="1" applyFill="1" applyBorder="1" applyAlignment="1">
      <alignment horizontal="center" vertical="center" wrapText="1"/>
    </xf>
    <xf numFmtId="41" fontId="17" fillId="13" borderId="0" xfId="1" applyFont="1" applyFill="1" applyAlignment="1">
      <alignment horizontal="center" vertical="center"/>
    </xf>
    <xf numFmtId="41" fontId="18" fillId="5" borderId="32" xfId="1" applyFont="1" applyFill="1" applyBorder="1" applyAlignment="1">
      <alignment horizontal="center" vertical="center"/>
    </xf>
    <xf numFmtId="41" fontId="18" fillId="5" borderId="33" xfId="1" applyFont="1" applyFill="1" applyBorder="1" applyAlignment="1">
      <alignment horizontal="center" vertical="center"/>
    </xf>
    <xf numFmtId="41" fontId="18" fillId="5" borderId="34" xfId="1" applyFont="1" applyFill="1" applyBorder="1" applyAlignment="1">
      <alignment horizontal="center" vertical="center"/>
    </xf>
    <xf numFmtId="41" fontId="18" fillId="14" borderId="36" xfId="1" applyFont="1" applyFill="1" applyBorder="1" applyAlignment="1">
      <alignment horizontal="center" vertical="center"/>
    </xf>
    <xf numFmtId="41" fontId="18" fillId="14" borderId="37" xfId="1" applyFont="1" applyFill="1" applyBorder="1" applyAlignment="1">
      <alignment horizontal="center" vertical="center"/>
    </xf>
    <xf numFmtId="41" fontId="18" fillId="15" borderId="35" xfId="1" applyFont="1" applyFill="1" applyBorder="1" applyAlignment="1">
      <alignment horizontal="center" vertical="center"/>
    </xf>
    <xf numFmtId="41" fontId="18" fillId="15" borderId="36" xfId="1" applyFont="1" applyFill="1" applyBorder="1" applyAlignment="1">
      <alignment horizontal="center" vertical="center"/>
    </xf>
    <xf numFmtId="41" fontId="18" fillId="15" borderId="37" xfId="1" applyFont="1" applyFill="1" applyBorder="1" applyAlignment="1">
      <alignment horizontal="center" vertical="center"/>
    </xf>
    <xf numFmtId="41" fontId="18" fillId="16" borderId="35" xfId="1" applyFont="1" applyFill="1" applyBorder="1" applyAlignment="1">
      <alignment horizontal="center" vertical="center"/>
    </xf>
    <xf numFmtId="41" fontId="18" fillId="16" borderId="36" xfId="1" applyFont="1" applyFill="1" applyBorder="1" applyAlignment="1">
      <alignment horizontal="center" vertical="center"/>
    </xf>
    <xf numFmtId="41" fontId="18" fillId="16" borderId="37" xfId="1" applyFont="1" applyFill="1" applyBorder="1" applyAlignment="1">
      <alignment horizontal="center" vertical="center"/>
    </xf>
    <xf numFmtId="41" fontId="18" fillId="18" borderId="38" xfId="1" applyFont="1" applyFill="1" applyBorder="1" applyAlignment="1">
      <alignment horizontal="center" vertical="center"/>
    </xf>
    <xf numFmtId="41" fontId="18" fillId="18" borderId="35" xfId="1" applyFont="1" applyFill="1" applyBorder="1" applyAlignment="1">
      <alignment horizontal="center" vertical="center"/>
    </xf>
    <xf numFmtId="41" fontId="18" fillId="18" borderId="39" xfId="1" applyFont="1" applyFill="1" applyBorder="1" applyAlignment="1">
      <alignment horizontal="center" vertical="center"/>
    </xf>
    <xf numFmtId="41" fontId="4" fillId="20" borderId="6" xfId="1" applyFont="1" applyFill="1" applyBorder="1" applyAlignment="1">
      <alignment horizontal="center" vertical="center"/>
    </xf>
    <xf numFmtId="41" fontId="4" fillId="20" borderId="7" xfId="1" applyFont="1" applyFill="1" applyBorder="1" applyAlignment="1">
      <alignment horizontal="center" vertical="center"/>
    </xf>
    <xf numFmtId="41" fontId="6" fillId="19" borderId="40" xfId="1" applyFont="1" applyFill="1" applyBorder="1" applyAlignment="1">
      <alignment horizontal="center" vertical="center"/>
    </xf>
    <xf numFmtId="41" fontId="6" fillId="19" borderId="6" xfId="1" applyFont="1" applyFill="1" applyBorder="1" applyAlignment="1">
      <alignment horizontal="center" vertical="center"/>
    </xf>
    <xf numFmtId="41" fontId="6" fillId="19" borderId="19" xfId="1" applyFont="1" applyFill="1" applyBorder="1" applyAlignment="1">
      <alignment horizontal="center" vertical="center"/>
    </xf>
    <xf numFmtId="41" fontId="6" fillId="19" borderId="41" xfId="1" applyFont="1" applyFill="1" applyBorder="1" applyAlignment="1">
      <alignment horizontal="center" vertical="center"/>
    </xf>
    <xf numFmtId="41" fontId="6" fillId="19" borderId="42" xfId="1" applyFont="1" applyFill="1" applyBorder="1" applyAlignment="1">
      <alignment horizontal="center" vertical="center"/>
    </xf>
    <xf numFmtId="41" fontId="6" fillId="19" borderId="18" xfId="1" applyFont="1" applyFill="1" applyBorder="1" applyAlignment="1">
      <alignment horizontal="center" vertical="center"/>
    </xf>
    <xf numFmtId="41" fontId="4" fillId="19" borderId="18" xfId="1" applyFont="1" applyFill="1" applyBorder="1" applyAlignment="1">
      <alignment horizontal="center" vertical="center"/>
    </xf>
    <xf numFmtId="41" fontId="4" fillId="19" borderId="6" xfId="1" applyFont="1" applyFill="1" applyBorder="1" applyAlignment="1">
      <alignment horizontal="center" vertical="center"/>
    </xf>
    <xf numFmtId="41" fontId="4" fillId="19" borderId="19" xfId="1" applyFont="1" applyFill="1" applyBorder="1" applyAlignment="1">
      <alignment horizontal="center" vertical="center"/>
    </xf>
    <xf numFmtId="41" fontId="4" fillId="20" borderId="6" xfId="1" applyFont="1" applyFill="1" applyBorder="1" applyAlignment="1">
      <alignment horizontal="center" vertical="center" wrapText="1"/>
    </xf>
    <xf numFmtId="41" fontId="4" fillId="20" borderId="44" xfId="1" applyFont="1" applyFill="1" applyBorder="1" applyAlignment="1">
      <alignment horizontal="center" vertical="center"/>
    </xf>
    <xf numFmtId="10" fontId="4" fillId="16" borderId="6" xfId="2" applyNumberFormat="1" applyFont="1" applyFill="1" applyBorder="1" applyAlignment="1">
      <alignment horizontal="center" vertical="center" wrapText="1"/>
    </xf>
    <xf numFmtId="10" fontId="4" fillId="16" borderId="19" xfId="2" applyNumberFormat="1" applyFont="1" applyFill="1" applyBorder="1" applyAlignment="1">
      <alignment horizontal="center" vertical="center" wrapText="1"/>
    </xf>
    <xf numFmtId="10" fontId="4" fillId="22" borderId="18" xfId="2" applyNumberFormat="1" applyFont="1" applyFill="1" applyBorder="1" applyAlignment="1">
      <alignment horizontal="center" vertical="center" wrapText="1"/>
    </xf>
    <xf numFmtId="41" fontId="4" fillId="23" borderId="18" xfId="1" applyFont="1" applyFill="1" applyBorder="1" applyAlignment="1">
      <alignment horizontal="center" vertical="center"/>
    </xf>
    <xf numFmtId="41" fontId="4" fillId="23" borderId="43" xfId="1" applyFont="1" applyFill="1" applyBorder="1" applyAlignment="1">
      <alignment horizontal="center" vertical="center"/>
    </xf>
    <xf numFmtId="10" fontId="4" fillId="21" borderId="18" xfId="2" applyNumberFormat="1" applyFont="1" applyFill="1" applyBorder="1" applyAlignment="1">
      <alignment horizontal="center" vertical="center" wrapText="1"/>
    </xf>
    <xf numFmtId="10" fontId="4" fillId="21" borderId="18" xfId="2" applyNumberFormat="1" applyFont="1" applyFill="1" applyBorder="1" applyAlignment="1">
      <alignment horizontal="center" vertical="center"/>
    </xf>
    <xf numFmtId="10" fontId="4" fillId="21" borderId="6" xfId="2" applyNumberFormat="1" applyFont="1" applyFill="1" applyBorder="1" applyAlignment="1">
      <alignment horizontal="center" vertical="center" wrapText="1"/>
    </xf>
    <xf numFmtId="10" fontId="4" fillId="21" borderId="19" xfId="2" applyNumberFormat="1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263-1B35-4A2B-A30E-B9E77770D938}">
  <dimension ref="B2:AC89"/>
  <sheetViews>
    <sheetView zoomScale="70" zoomScaleNormal="70" workbookViewId="0">
      <selection activeCell="T2" sqref="T2"/>
    </sheetView>
  </sheetViews>
  <sheetFormatPr defaultRowHeight="16.5" x14ac:dyDescent="0.3"/>
  <cols>
    <col min="1" max="1" width="4.625" customWidth="1"/>
    <col min="2" max="2" width="8.625" bestFit="1" customWidth="1"/>
    <col min="3" max="3" width="6.75" bestFit="1" customWidth="1"/>
    <col min="4" max="4" width="4.625" customWidth="1"/>
    <col min="5" max="5" width="8.625" bestFit="1" customWidth="1"/>
    <col min="6" max="6" width="4.5" bestFit="1" customWidth="1"/>
    <col min="7" max="7" width="6" bestFit="1" customWidth="1"/>
    <col min="8" max="8" width="4.375" customWidth="1"/>
    <col min="9" max="9" width="11.5" customWidth="1"/>
    <col min="10" max="10" width="8.75" customWidth="1"/>
    <col min="11" max="11" width="5.625" customWidth="1"/>
    <col min="12" max="12" width="12.375" bestFit="1" customWidth="1"/>
    <col min="13" max="13" width="3.625" customWidth="1"/>
    <col min="16" max="16" width="4.875" customWidth="1"/>
    <col min="17" max="17" width="12.75" bestFit="1" customWidth="1"/>
    <col min="18" max="18" width="3.875" bestFit="1" customWidth="1"/>
    <col min="19" max="19" width="3.875" customWidth="1"/>
    <col min="20" max="20" width="6.875" bestFit="1" customWidth="1"/>
    <col min="21" max="22" width="6.5" bestFit="1" customWidth="1"/>
    <col min="23" max="23" width="7.5" bestFit="1" customWidth="1"/>
    <col min="24" max="24" width="9" style="122"/>
  </cols>
  <sheetData>
    <row r="2" spans="2:29" ht="21" thickBot="1" x14ac:dyDescent="0.35">
      <c r="B2" s="150" t="s">
        <v>64</v>
      </c>
      <c r="C2" s="150"/>
      <c r="E2" s="150" t="s">
        <v>65</v>
      </c>
      <c r="F2" s="150"/>
      <c r="G2" s="150"/>
      <c r="I2" s="151" t="s">
        <v>66</v>
      </c>
      <c r="J2" s="152"/>
      <c r="L2" s="40" t="s">
        <v>67</v>
      </c>
      <c r="M2" s="41"/>
      <c r="N2" s="150" t="s">
        <v>68</v>
      </c>
      <c r="O2" s="150"/>
      <c r="Q2" s="126" t="s">
        <v>162</v>
      </c>
      <c r="R2" s="125">
        <v>10</v>
      </c>
      <c r="S2" s="125">
        <v>10</v>
      </c>
      <c r="T2" s="125">
        <v>19680</v>
      </c>
      <c r="U2">
        <v>17577</v>
      </c>
      <c r="V2" s="122">
        <f t="shared" ref="V2:V18" si="0">(T2-U2)/2</f>
        <v>1051.5</v>
      </c>
      <c r="W2" s="122">
        <f t="shared" ref="W2:W18" si="1">U2+V2</f>
        <v>18628.5</v>
      </c>
      <c r="X2" s="122">
        <f>W2/S2</f>
        <v>1862.85</v>
      </c>
    </row>
    <row r="3" spans="2:29" x14ac:dyDescent="0.3">
      <c r="B3" s="42" t="s">
        <v>69</v>
      </c>
      <c r="C3" s="43" t="s">
        <v>2</v>
      </c>
      <c r="E3" s="44" t="s">
        <v>69</v>
      </c>
      <c r="F3" s="45" t="s">
        <v>70</v>
      </c>
      <c r="G3" s="46" t="s">
        <v>71</v>
      </c>
      <c r="I3" s="47" t="s">
        <v>72</v>
      </c>
      <c r="J3" s="48" t="s">
        <v>73</v>
      </c>
      <c r="L3" s="49" t="s">
        <v>74</v>
      </c>
      <c r="N3" s="42" t="s">
        <v>69</v>
      </c>
      <c r="O3" s="43" t="s">
        <v>2</v>
      </c>
      <c r="Q3" s="124" t="s">
        <v>148</v>
      </c>
      <c r="R3" s="123">
        <v>10</v>
      </c>
      <c r="S3" s="123">
        <v>10</v>
      </c>
      <c r="T3" s="123">
        <v>19980</v>
      </c>
      <c r="U3">
        <v>17577</v>
      </c>
      <c r="V3" s="122">
        <f t="shared" si="0"/>
        <v>1201.5</v>
      </c>
      <c r="W3" s="122">
        <f t="shared" si="1"/>
        <v>18778.5</v>
      </c>
      <c r="X3" s="122">
        <f t="shared" ref="X3:X18" si="2">W3/S3</f>
        <v>1877.85</v>
      </c>
    </row>
    <row r="4" spans="2:29" x14ac:dyDescent="0.3">
      <c r="B4" s="50" t="s">
        <v>75</v>
      </c>
      <c r="C4" s="51">
        <v>1968</v>
      </c>
      <c r="E4" s="52" t="s">
        <v>75</v>
      </c>
      <c r="F4" s="53">
        <v>1</v>
      </c>
      <c r="G4" s="54">
        <v>2300</v>
      </c>
      <c r="I4" s="55" t="s">
        <v>76</v>
      </c>
      <c r="J4" s="56">
        <v>0.1</v>
      </c>
      <c r="L4" s="57" t="s">
        <v>77</v>
      </c>
      <c r="N4" s="50" t="s">
        <v>75</v>
      </c>
      <c r="O4" s="51">
        <v>2300</v>
      </c>
      <c r="Q4" s="126" t="s">
        <v>162</v>
      </c>
      <c r="R4" s="125">
        <v>24</v>
      </c>
      <c r="S4" s="125">
        <v>4</v>
      </c>
      <c r="T4" s="125">
        <v>17046</v>
      </c>
      <c r="U4">
        <v>15435</v>
      </c>
      <c r="V4" s="122">
        <f t="shared" si="0"/>
        <v>805.5</v>
      </c>
      <c r="W4" s="122">
        <f t="shared" si="1"/>
        <v>16240.5</v>
      </c>
      <c r="X4" s="122">
        <f t="shared" si="2"/>
        <v>4060.125</v>
      </c>
    </row>
    <row r="5" spans="2:29" ht="17.25" thickBot="1" x14ac:dyDescent="0.35">
      <c r="B5" s="50" t="s">
        <v>145</v>
      </c>
      <c r="C5" s="51">
        <v>1968</v>
      </c>
      <c r="E5" s="52" t="s">
        <v>75</v>
      </c>
      <c r="F5" s="53">
        <v>2</v>
      </c>
      <c r="G5" s="54">
        <v>2300</v>
      </c>
      <c r="I5" s="58" t="s">
        <v>79</v>
      </c>
      <c r="J5" s="56">
        <v>0.12</v>
      </c>
      <c r="L5" s="59" t="s">
        <v>80</v>
      </c>
      <c r="N5" s="50" t="s">
        <v>145</v>
      </c>
      <c r="O5" s="50">
        <v>2350</v>
      </c>
      <c r="Q5" s="124" t="s">
        <v>161</v>
      </c>
      <c r="R5" s="123">
        <v>30</v>
      </c>
      <c r="S5" s="123">
        <v>3</v>
      </c>
      <c r="T5" s="123">
        <v>12248</v>
      </c>
      <c r="U5">
        <v>11060</v>
      </c>
      <c r="V5" s="122">
        <f t="shared" si="0"/>
        <v>594</v>
      </c>
      <c r="W5" s="122">
        <f t="shared" si="1"/>
        <v>11654</v>
      </c>
      <c r="X5" s="122">
        <f t="shared" si="2"/>
        <v>3884.6666666666665</v>
      </c>
      <c r="AB5" t="s">
        <v>19</v>
      </c>
      <c r="AC5">
        <v>1.25</v>
      </c>
    </row>
    <row r="6" spans="2:29" x14ac:dyDescent="0.3">
      <c r="B6" s="50" t="s">
        <v>78</v>
      </c>
      <c r="C6" s="51">
        <f>15435/4</f>
        <v>3858.75</v>
      </c>
      <c r="E6" s="52" t="s">
        <v>75</v>
      </c>
      <c r="F6" s="53">
        <v>3</v>
      </c>
      <c r="G6" s="54">
        <v>2300</v>
      </c>
      <c r="I6" s="58" t="s">
        <v>81</v>
      </c>
      <c r="J6" s="56">
        <v>0.12</v>
      </c>
      <c r="N6" s="50" t="s">
        <v>78</v>
      </c>
      <c r="O6" s="50">
        <f>19800/4</f>
        <v>4950</v>
      </c>
      <c r="Q6" s="126" t="s">
        <v>160</v>
      </c>
      <c r="R6" s="125">
        <v>30</v>
      </c>
      <c r="S6" s="125">
        <v>3</v>
      </c>
      <c r="T6" s="125">
        <v>14190</v>
      </c>
      <c r="U6">
        <v>13120</v>
      </c>
      <c r="V6" s="122">
        <f t="shared" si="0"/>
        <v>535</v>
      </c>
      <c r="W6" s="122">
        <f t="shared" si="1"/>
        <v>13655</v>
      </c>
      <c r="X6" s="122">
        <f t="shared" si="2"/>
        <v>4551.666666666667</v>
      </c>
      <c r="AB6" t="s">
        <v>16</v>
      </c>
      <c r="AC6">
        <v>1.25</v>
      </c>
    </row>
    <row r="7" spans="2:29" x14ac:dyDescent="0.3">
      <c r="B7" s="50" t="s">
        <v>62</v>
      </c>
      <c r="C7" s="51">
        <f>10918/3</f>
        <v>3639.3333333333335</v>
      </c>
      <c r="E7" s="52" t="s">
        <v>75</v>
      </c>
      <c r="F7" s="53">
        <v>4</v>
      </c>
      <c r="G7" s="54">
        <v>2300</v>
      </c>
      <c r="I7" s="58" t="s">
        <v>83</v>
      </c>
      <c r="J7" s="56">
        <v>0.1</v>
      </c>
      <c r="N7" s="50" t="s">
        <v>62</v>
      </c>
      <c r="O7" s="120">
        <f>14000/3</f>
        <v>4666.666666666667</v>
      </c>
      <c r="Q7" s="124" t="s">
        <v>159</v>
      </c>
      <c r="R7" s="123">
        <v>30</v>
      </c>
      <c r="S7" s="123">
        <v>3</v>
      </c>
      <c r="T7" s="123">
        <v>14190</v>
      </c>
      <c r="U7">
        <v>13120</v>
      </c>
      <c r="V7" s="122">
        <f t="shared" si="0"/>
        <v>535</v>
      </c>
      <c r="W7" s="122">
        <f t="shared" si="1"/>
        <v>13655</v>
      </c>
      <c r="X7" s="122">
        <f t="shared" si="2"/>
        <v>4551.666666666667</v>
      </c>
      <c r="AB7" t="s">
        <v>19</v>
      </c>
      <c r="AC7">
        <v>2.6</v>
      </c>
    </row>
    <row r="8" spans="2:29" x14ac:dyDescent="0.3">
      <c r="B8" s="119" t="s">
        <v>146</v>
      </c>
      <c r="C8" s="51">
        <v>3550</v>
      </c>
      <c r="E8" s="52" t="s">
        <v>75</v>
      </c>
      <c r="F8" s="53">
        <v>5</v>
      </c>
      <c r="G8" s="54">
        <v>2700</v>
      </c>
      <c r="I8" s="58" t="s">
        <v>85</v>
      </c>
      <c r="J8" s="56">
        <v>0.1</v>
      </c>
      <c r="N8" s="50" t="s">
        <v>146</v>
      </c>
      <c r="O8" s="50">
        <f>13500/3</f>
        <v>4500</v>
      </c>
      <c r="Q8" s="124" t="s">
        <v>140</v>
      </c>
      <c r="R8" s="123">
        <v>30</v>
      </c>
      <c r="S8" s="123">
        <v>3</v>
      </c>
      <c r="T8" s="123">
        <v>16519</v>
      </c>
      <c r="U8">
        <v>15432</v>
      </c>
      <c r="V8" s="122">
        <f t="shared" si="0"/>
        <v>543.5</v>
      </c>
      <c r="W8" s="122">
        <f t="shared" si="1"/>
        <v>15975.5</v>
      </c>
      <c r="X8" s="122">
        <f t="shared" si="2"/>
        <v>5325.166666666667</v>
      </c>
      <c r="AB8" t="s">
        <v>16</v>
      </c>
      <c r="AC8">
        <v>2.4</v>
      </c>
    </row>
    <row r="9" spans="2:29" x14ac:dyDescent="0.3">
      <c r="B9" s="50" t="s">
        <v>82</v>
      </c>
      <c r="C9" s="51">
        <f>13120/3</f>
        <v>4373.333333333333</v>
      </c>
      <c r="E9" s="52" t="s">
        <v>75</v>
      </c>
      <c r="F9" s="53">
        <v>6</v>
      </c>
      <c r="G9" s="54">
        <v>2700</v>
      </c>
      <c r="I9" s="58" t="s">
        <v>86</v>
      </c>
      <c r="J9" s="56">
        <v>0.1</v>
      </c>
      <c r="N9" s="50" t="s">
        <v>82</v>
      </c>
      <c r="O9" s="51">
        <f>16800/3</f>
        <v>5600</v>
      </c>
      <c r="Q9" s="126" t="s">
        <v>158</v>
      </c>
      <c r="R9" s="125">
        <v>30</v>
      </c>
      <c r="S9" s="125">
        <v>3</v>
      </c>
      <c r="T9" s="125">
        <v>14190</v>
      </c>
      <c r="U9">
        <v>13500</v>
      </c>
      <c r="V9" s="122">
        <f t="shared" si="0"/>
        <v>345</v>
      </c>
      <c r="W9" s="122">
        <f t="shared" si="1"/>
        <v>13845</v>
      </c>
      <c r="X9" s="122">
        <f t="shared" si="2"/>
        <v>4615</v>
      </c>
      <c r="AB9" t="s">
        <v>62</v>
      </c>
      <c r="AC9">
        <v>2.6</v>
      </c>
    </row>
    <row r="10" spans="2:29" x14ac:dyDescent="0.3">
      <c r="B10" s="50" t="s">
        <v>84</v>
      </c>
      <c r="C10" s="51">
        <f>15074/3</f>
        <v>5024.666666666667</v>
      </c>
      <c r="E10" s="52" t="s">
        <v>75</v>
      </c>
      <c r="F10" s="53">
        <v>7</v>
      </c>
      <c r="G10" s="54">
        <v>2700</v>
      </c>
      <c r="I10" s="58" t="s">
        <v>88</v>
      </c>
      <c r="J10" s="56">
        <v>0.1</v>
      </c>
      <c r="N10" s="50" t="s">
        <v>84</v>
      </c>
      <c r="O10" s="51">
        <f>19300/3</f>
        <v>6433.333333333333</v>
      </c>
      <c r="Q10" s="124" t="s">
        <v>141</v>
      </c>
      <c r="R10" s="123">
        <v>30</v>
      </c>
      <c r="S10" s="123">
        <v>3</v>
      </c>
      <c r="T10" s="123">
        <v>16906</v>
      </c>
      <c r="U10">
        <v>16111</v>
      </c>
      <c r="V10" s="122">
        <f t="shared" si="0"/>
        <v>397.5</v>
      </c>
      <c r="W10" s="122">
        <f t="shared" si="1"/>
        <v>16508.5</v>
      </c>
      <c r="X10" s="122">
        <f t="shared" si="2"/>
        <v>5502.833333333333</v>
      </c>
      <c r="AB10" t="s">
        <v>82</v>
      </c>
      <c r="AC10">
        <v>3.2</v>
      </c>
    </row>
    <row r="11" spans="2:29" x14ac:dyDescent="0.3">
      <c r="B11" s="50" t="s">
        <v>32</v>
      </c>
      <c r="C11" s="51">
        <f>15589/3</f>
        <v>5196.333333333333</v>
      </c>
      <c r="E11" s="52" t="s">
        <v>75</v>
      </c>
      <c r="F11" s="53">
        <v>8</v>
      </c>
      <c r="G11" s="54">
        <v>3200</v>
      </c>
      <c r="I11" s="58" t="s">
        <v>90</v>
      </c>
      <c r="J11" s="56">
        <v>0.1</v>
      </c>
      <c r="N11" s="50" t="s">
        <v>32</v>
      </c>
      <c r="O11" s="51">
        <f>20000/3</f>
        <v>6666.666666666667</v>
      </c>
      <c r="Q11" s="126" t="s">
        <v>157</v>
      </c>
      <c r="R11" s="125">
        <v>16</v>
      </c>
      <c r="S11" s="125">
        <v>1</v>
      </c>
      <c r="T11" s="125">
        <v>11983</v>
      </c>
      <c r="U11">
        <v>11127</v>
      </c>
      <c r="V11" s="122">
        <f t="shared" si="0"/>
        <v>428</v>
      </c>
      <c r="W11" s="122">
        <f t="shared" si="1"/>
        <v>11555</v>
      </c>
      <c r="X11" s="122">
        <f t="shared" si="2"/>
        <v>11555</v>
      </c>
      <c r="AB11" t="s">
        <v>32</v>
      </c>
      <c r="AC11">
        <v>3.7</v>
      </c>
    </row>
    <row r="12" spans="2:29" x14ac:dyDescent="0.3">
      <c r="B12" s="50" t="s">
        <v>87</v>
      </c>
      <c r="C12" s="51">
        <f>16111/3</f>
        <v>5370.333333333333</v>
      </c>
      <c r="E12" s="52" t="s">
        <v>75</v>
      </c>
      <c r="F12" s="53">
        <v>9</v>
      </c>
      <c r="G12" s="54">
        <v>3200</v>
      </c>
      <c r="I12" s="58" t="s">
        <v>92</v>
      </c>
      <c r="J12" s="56">
        <v>0</v>
      </c>
      <c r="N12" s="50" t="s">
        <v>87</v>
      </c>
      <c r="O12" s="51">
        <v>6866.666666666667</v>
      </c>
      <c r="Q12" s="124" t="s">
        <v>156</v>
      </c>
      <c r="R12" s="123">
        <v>16</v>
      </c>
      <c r="S12" s="123">
        <v>1</v>
      </c>
      <c r="T12" s="123">
        <v>13777</v>
      </c>
      <c r="U12">
        <v>12795</v>
      </c>
      <c r="V12" s="122">
        <f t="shared" si="0"/>
        <v>491</v>
      </c>
      <c r="W12" s="122">
        <f t="shared" si="1"/>
        <v>13286</v>
      </c>
      <c r="X12" s="122">
        <f t="shared" si="2"/>
        <v>13286</v>
      </c>
      <c r="AB12" t="s">
        <v>149</v>
      </c>
      <c r="AC12" s="127" t="s">
        <v>168</v>
      </c>
    </row>
    <row r="13" spans="2:29" ht="17.25" thickBot="1" x14ac:dyDescent="0.35">
      <c r="B13" s="50" t="s">
        <v>89</v>
      </c>
      <c r="C13" s="51">
        <v>11127</v>
      </c>
      <c r="E13" s="52" t="s">
        <v>75</v>
      </c>
      <c r="F13" s="53">
        <v>10</v>
      </c>
      <c r="G13" s="54">
        <v>3200</v>
      </c>
      <c r="I13" s="60" t="s">
        <v>147</v>
      </c>
      <c r="J13" s="61">
        <v>0.05</v>
      </c>
      <c r="N13" s="50" t="s">
        <v>89</v>
      </c>
      <c r="O13" s="51">
        <v>14500</v>
      </c>
      <c r="Q13" s="126" t="s">
        <v>155</v>
      </c>
      <c r="R13" s="125">
        <v>16</v>
      </c>
      <c r="S13" s="125">
        <v>1</v>
      </c>
      <c r="T13" s="125">
        <v>14963</v>
      </c>
      <c r="U13">
        <v>14963</v>
      </c>
      <c r="V13" s="122">
        <f t="shared" si="0"/>
        <v>0</v>
      </c>
      <c r="W13" s="122">
        <f t="shared" si="1"/>
        <v>14963</v>
      </c>
      <c r="X13" s="122">
        <f t="shared" si="2"/>
        <v>14963</v>
      </c>
      <c r="AB13" t="s">
        <v>166</v>
      </c>
    </row>
    <row r="14" spans="2:29" x14ac:dyDescent="0.3">
      <c r="B14" s="50" t="s">
        <v>91</v>
      </c>
      <c r="C14" s="51">
        <v>12795</v>
      </c>
      <c r="E14" s="52" t="s">
        <v>78</v>
      </c>
      <c r="F14" s="53">
        <v>1</v>
      </c>
      <c r="G14" s="54">
        <v>2300</v>
      </c>
      <c r="N14" s="50" t="s">
        <v>91</v>
      </c>
      <c r="O14" s="51">
        <v>16700</v>
      </c>
      <c r="Q14" s="124" t="s">
        <v>154</v>
      </c>
      <c r="R14" s="123">
        <v>16</v>
      </c>
      <c r="S14" s="123">
        <v>1</v>
      </c>
      <c r="T14" s="123">
        <v>21207</v>
      </c>
      <c r="U14">
        <v>21207</v>
      </c>
      <c r="V14" s="122">
        <f t="shared" si="0"/>
        <v>0</v>
      </c>
      <c r="W14" s="122">
        <f t="shared" si="1"/>
        <v>21207</v>
      </c>
      <c r="X14" s="122">
        <f t="shared" si="2"/>
        <v>21207</v>
      </c>
      <c r="AB14" t="s">
        <v>167</v>
      </c>
    </row>
    <row r="15" spans="2:29" x14ac:dyDescent="0.3">
      <c r="B15" s="50" t="s">
        <v>93</v>
      </c>
      <c r="C15" s="51">
        <v>14963</v>
      </c>
      <c r="E15" s="52" t="s">
        <v>144</v>
      </c>
      <c r="F15" s="53">
        <v>1</v>
      </c>
      <c r="G15" s="54">
        <v>2700</v>
      </c>
      <c r="N15" s="50" t="s">
        <v>93</v>
      </c>
      <c r="O15" s="51">
        <v>18700</v>
      </c>
      <c r="Q15" s="126" t="s">
        <v>153</v>
      </c>
      <c r="R15" s="125">
        <v>16</v>
      </c>
      <c r="S15" s="125">
        <v>1</v>
      </c>
      <c r="T15" s="125">
        <v>12568</v>
      </c>
      <c r="U15">
        <v>11660</v>
      </c>
      <c r="V15" s="122">
        <f t="shared" si="0"/>
        <v>454</v>
      </c>
      <c r="W15" s="122">
        <f t="shared" si="1"/>
        <v>12114</v>
      </c>
      <c r="X15" s="122">
        <f t="shared" si="2"/>
        <v>12114</v>
      </c>
    </row>
    <row r="16" spans="2:29" x14ac:dyDescent="0.3">
      <c r="B16" s="50" t="s">
        <v>94</v>
      </c>
      <c r="C16" s="51">
        <v>21207</v>
      </c>
      <c r="E16" s="52" t="s">
        <v>78</v>
      </c>
      <c r="F16" s="53">
        <v>2</v>
      </c>
      <c r="G16" s="54">
        <v>2300</v>
      </c>
      <c r="N16" s="50" t="s">
        <v>94</v>
      </c>
      <c r="O16" s="51">
        <v>27000</v>
      </c>
      <c r="Q16" s="124" t="s">
        <v>152</v>
      </c>
      <c r="R16" s="123">
        <v>16</v>
      </c>
      <c r="S16" s="123">
        <v>1</v>
      </c>
      <c r="T16" s="123">
        <v>14459</v>
      </c>
      <c r="U16">
        <v>13418</v>
      </c>
      <c r="V16" s="122">
        <f t="shared" si="0"/>
        <v>520.5</v>
      </c>
      <c r="W16" s="122">
        <f t="shared" si="1"/>
        <v>13938.5</v>
      </c>
      <c r="X16" s="122">
        <f t="shared" si="2"/>
        <v>13938.5</v>
      </c>
    </row>
    <row r="17" spans="2:24" x14ac:dyDescent="0.3">
      <c r="B17" s="50" t="s">
        <v>144</v>
      </c>
      <c r="C17" s="51">
        <v>20667</v>
      </c>
      <c r="E17" s="52" t="s">
        <v>78</v>
      </c>
      <c r="F17" s="53">
        <v>3</v>
      </c>
      <c r="G17" s="54">
        <v>2700</v>
      </c>
      <c r="N17" s="50" t="s">
        <v>144</v>
      </c>
      <c r="O17" s="51">
        <v>25500</v>
      </c>
      <c r="Q17" s="126" t="s">
        <v>151</v>
      </c>
      <c r="R17" s="125">
        <v>16</v>
      </c>
      <c r="S17" s="125">
        <v>1</v>
      </c>
      <c r="T17" s="125">
        <v>15710</v>
      </c>
      <c r="U17">
        <v>15710</v>
      </c>
      <c r="V17" s="122">
        <f t="shared" si="0"/>
        <v>0</v>
      </c>
      <c r="W17" s="122">
        <f t="shared" si="1"/>
        <v>15710</v>
      </c>
      <c r="X17" s="122">
        <f t="shared" si="2"/>
        <v>15710</v>
      </c>
    </row>
    <row r="18" spans="2:24" x14ac:dyDescent="0.3">
      <c r="B18" s="50" t="s">
        <v>95</v>
      </c>
      <c r="C18" s="51">
        <v>11660</v>
      </c>
      <c r="E18" s="52" t="s">
        <v>78</v>
      </c>
      <c r="F18" s="53">
        <v>4</v>
      </c>
      <c r="G18" s="54">
        <v>3200</v>
      </c>
      <c r="N18" s="50" t="s">
        <v>95</v>
      </c>
      <c r="O18" s="51">
        <v>15200</v>
      </c>
      <c r="Q18" s="124" t="s">
        <v>150</v>
      </c>
      <c r="R18" s="123">
        <v>16</v>
      </c>
      <c r="S18" s="123">
        <v>1</v>
      </c>
      <c r="T18" s="123">
        <v>21993</v>
      </c>
      <c r="U18">
        <v>21993</v>
      </c>
      <c r="V18" s="122">
        <f t="shared" si="0"/>
        <v>0</v>
      </c>
      <c r="W18" s="122">
        <f t="shared" si="1"/>
        <v>21993</v>
      </c>
      <c r="X18" s="122">
        <f t="shared" si="2"/>
        <v>21993</v>
      </c>
    </row>
    <row r="19" spans="2:24" x14ac:dyDescent="0.3">
      <c r="B19" s="50" t="s">
        <v>96</v>
      </c>
      <c r="C19" s="51">
        <v>13418</v>
      </c>
      <c r="E19" s="52" t="s">
        <v>62</v>
      </c>
      <c r="F19" s="53">
        <v>1</v>
      </c>
      <c r="G19" s="54">
        <v>2300</v>
      </c>
      <c r="N19" s="50" t="s">
        <v>96</v>
      </c>
      <c r="O19" s="51">
        <v>17500</v>
      </c>
    </row>
    <row r="20" spans="2:24" x14ac:dyDescent="0.3">
      <c r="B20" s="50" t="s">
        <v>97</v>
      </c>
      <c r="C20" s="51">
        <v>15710</v>
      </c>
      <c r="E20" s="52" t="s">
        <v>62</v>
      </c>
      <c r="F20" s="53">
        <v>2</v>
      </c>
      <c r="G20" s="54">
        <v>2300</v>
      </c>
      <c r="N20" s="50" t="s">
        <v>97</v>
      </c>
      <c r="O20" s="51">
        <v>19800</v>
      </c>
    </row>
    <row r="21" spans="2:24" x14ac:dyDescent="0.3">
      <c r="B21" s="50" t="s">
        <v>98</v>
      </c>
      <c r="C21" s="51">
        <v>21993</v>
      </c>
      <c r="E21" s="52" t="s">
        <v>62</v>
      </c>
      <c r="F21" s="53">
        <v>3</v>
      </c>
      <c r="G21" s="54">
        <v>2700</v>
      </c>
      <c r="N21" s="50" t="s">
        <v>98</v>
      </c>
      <c r="O21" s="51">
        <v>27700</v>
      </c>
    </row>
    <row r="22" spans="2:24" x14ac:dyDescent="0.3">
      <c r="B22" s="50" t="s">
        <v>99</v>
      </c>
      <c r="C22" s="51">
        <v>9000</v>
      </c>
      <c r="E22" s="52" t="s">
        <v>82</v>
      </c>
      <c r="F22" s="53">
        <v>1</v>
      </c>
      <c r="G22" s="54">
        <v>2300</v>
      </c>
      <c r="N22" s="50" t="s">
        <v>99</v>
      </c>
      <c r="O22" s="51">
        <v>11500</v>
      </c>
    </row>
    <row r="23" spans="2:24" ht="17.25" thickBot="1" x14ac:dyDescent="0.35">
      <c r="B23" s="62" t="s">
        <v>100</v>
      </c>
      <c r="C23" s="63">
        <v>14500</v>
      </c>
      <c r="E23" s="52" t="s">
        <v>82</v>
      </c>
      <c r="F23" s="53">
        <v>2</v>
      </c>
      <c r="G23" s="54">
        <v>2700</v>
      </c>
      <c r="N23" s="62" t="s">
        <v>100</v>
      </c>
      <c r="O23" s="63">
        <v>19500</v>
      </c>
    </row>
    <row r="24" spans="2:24" x14ac:dyDescent="0.3">
      <c r="E24" s="52" t="s">
        <v>82</v>
      </c>
      <c r="F24" s="53">
        <v>3</v>
      </c>
      <c r="G24" s="54">
        <v>3200</v>
      </c>
    </row>
    <row r="25" spans="2:24" x14ac:dyDescent="0.3">
      <c r="E25" s="52" t="s">
        <v>84</v>
      </c>
      <c r="F25" s="53">
        <v>1</v>
      </c>
      <c r="G25" s="54">
        <v>2300</v>
      </c>
      <c r="Q25">
        <f>2500/11500</f>
        <v>0.21739130434782608</v>
      </c>
    </row>
    <row r="26" spans="2:24" x14ac:dyDescent="0.3">
      <c r="E26" s="52" t="s">
        <v>84</v>
      </c>
      <c r="F26" s="53">
        <v>2</v>
      </c>
      <c r="G26" s="54">
        <v>2700</v>
      </c>
      <c r="Q26">
        <f>4300/20300</f>
        <v>0.21182266009852216</v>
      </c>
    </row>
    <row r="27" spans="2:24" x14ac:dyDescent="0.3">
      <c r="E27" s="52" t="s">
        <v>84</v>
      </c>
      <c r="F27" s="53">
        <v>3</v>
      </c>
      <c r="G27" s="54">
        <v>3200</v>
      </c>
    </row>
    <row r="28" spans="2:24" x14ac:dyDescent="0.3">
      <c r="E28" s="52" t="s">
        <v>32</v>
      </c>
      <c r="F28" s="53">
        <v>1</v>
      </c>
      <c r="G28" s="54">
        <v>2300</v>
      </c>
    </row>
    <row r="29" spans="2:24" x14ac:dyDescent="0.3">
      <c r="E29" s="52" t="s">
        <v>32</v>
      </c>
      <c r="F29" s="53">
        <v>2</v>
      </c>
      <c r="G29" s="54">
        <v>2700</v>
      </c>
    </row>
    <row r="30" spans="2:24" x14ac:dyDescent="0.3">
      <c r="E30" s="52" t="s">
        <v>32</v>
      </c>
      <c r="F30" s="53">
        <v>3</v>
      </c>
      <c r="G30" s="54">
        <v>3200</v>
      </c>
    </row>
    <row r="31" spans="2:24" x14ac:dyDescent="0.3">
      <c r="E31" s="52" t="s">
        <v>87</v>
      </c>
      <c r="F31" s="53">
        <v>1</v>
      </c>
      <c r="G31" s="54">
        <v>2300</v>
      </c>
    </row>
    <row r="32" spans="2:24" x14ac:dyDescent="0.3">
      <c r="E32" s="52" t="s">
        <v>87</v>
      </c>
      <c r="F32" s="53">
        <v>2</v>
      </c>
      <c r="G32" s="54">
        <v>2700</v>
      </c>
    </row>
    <row r="33" spans="5:7" x14ac:dyDescent="0.3">
      <c r="E33" s="52" t="s">
        <v>87</v>
      </c>
      <c r="F33" s="53">
        <v>3</v>
      </c>
      <c r="G33" s="54">
        <v>3200</v>
      </c>
    </row>
    <row r="34" spans="5:7" x14ac:dyDescent="0.3">
      <c r="E34" s="50" t="s">
        <v>89</v>
      </c>
      <c r="F34" s="53">
        <v>1</v>
      </c>
      <c r="G34" s="54">
        <v>2700</v>
      </c>
    </row>
    <row r="35" spans="5:7" x14ac:dyDescent="0.3">
      <c r="E35" s="50" t="s">
        <v>91</v>
      </c>
      <c r="F35" s="53">
        <v>1</v>
      </c>
      <c r="G35" s="54">
        <v>2700</v>
      </c>
    </row>
    <row r="36" spans="5:7" x14ac:dyDescent="0.3">
      <c r="E36" s="50" t="s">
        <v>93</v>
      </c>
      <c r="F36" s="53">
        <v>1</v>
      </c>
      <c r="G36" s="54">
        <v>2700</v>
      </c>
    </row>
    <row r="37" spans="5:7" x14ac:dyDescent="0.3">
      <c r="E37" s="50" t="s">
        <v>94</v>
      </c>
      <c r="F37" s="53">
        <v>1</v>
      </c>
      <c r="G37" s="54">
        <v>2700</v>
      </c>
    </row>
    <row r="38" spans="5:7" x14ac:dyDescent="0.3">
      <c r="E38" s="50" t="s">
        <v>95</v>
      </c>
      <c r="F38" s="53">
        <v>1</v>
      </c>
      <c r="G38" s="54">
        <v>2700</v>
      </c>
    </row>
    <row r="39" spans="5:7" x14ac:dyDescent="0.3">
      <c r="E39" s="50" t="s">
        <v>96</v>
      </c>
      <c r="F39" s="53">
        <v>1</v>
      </c>
      <c r="G39" s="54">
        <v>2700</v>
      </c>
    </row>
    <row r="40" spans="5:7" x14ac:dyDescent="0.3">
      <c r="E40" s="50" t="s">
        <v>97</v>
      </c>
      <c r="F40" s="53">
        <v>1</v>
      </c>
      <c r="G40" s="54">
        <v>2700</v>
      </c>
    </row>
    <row r="41" spans="5:7" x14ac:dyDescent="0.3">
      <c r="E41" s="50" t="s">
        <v>98</v>
      </c>
      <c r="F41" s="53">
        <v>1</v>
      </c>
      <c r="G41" s="54">
        <v>2700</v>
      </c>
    </row>
    <row r="42" spans="5:7" x14ac:dyDescent="0.3">
      <c r="E42" s="50" t="s">
        <v>99</v>
      </c>
      <c r="F42" s="53">
        <v>1</v>
      </c>
      <c r="G42" s="54">
        <v>2700</v>
      </c>
    </row>
    <row r="43" spans="5:7" ht="17.25" thickBot="1" x14ac:dyDescent="0.35">
      <c r="E43" s="62" t="s">
        <v>100</v>
      </c>
      <c r="F43" s="64">
        <v>1</v>
      </c>
      <c r="G43" s="54">
        <v>2700</v>
      </c>
    </row>
    <row r="44" spans="5:7" x14ac:dyDescent="0.3">
      <c r="E44" s="65"/>
      <c r="F44" s="65"/>
      <c r="G44" s="65"/>
    </row>
    <row r="45" spans="5:7" x14ac:dyDescent="0.3">
      <c r="E45" s="65"/>
      <c r="F45" s="65"/>
      <c r="G45" s="65"/>
    </row>
    <row r="46" spans="5:7" x14ac:dyDescent="0.3">
      <c r="E46" s="65"/>
      <c r="F46" s="65"/>
      <c r="G46" s="65"/>
    </row>
    <row r="47" spans="5:7" x14ac:dyDescent="0.3">
      <c r="E47" s="65"/>
      <c r="F47" s="65"/>
      <c r="G47" s="65"/>
    </row>
    <row r="48" spans="5:7" x14ac:dyDescent="0.3">
      <c r="E48" s="65"/>
      <c r="F48" s="65"/>
      <c r="G48" s="65"/>
    </row>
    <row r="49" spans="5:7" x14ac:dyDescent="0.3">
      <c r="E49" s="65"/>
      <c r="F49" s="65"/>
      <c r="G49" s="65"/>
    </row>
    <row r="50" spans="5:7" x14ac:dyDescent="0.3">
      <c r="E50" s="65"/>
      <c r="F50" s="65"/>
      <c r="G50" s="65"/>
    </row>
    <row r="51" spans="5:7" x14ac:dyDescent="0.3">
      <c r="E51" s="65"/>
      <c r="F51" s="65"/>
      <c r="G51" s="65"/>
    </row>
    <row r="52" spans="5:7" x14ac:dyDescent="0.3">
      <c r="E52" s="65"/>
      <c r="F52" s="65"/>
      <c r="G52" s="65"/>
    </row>
    <row r="53" spans="5:7" x14ac:dyDescent="0.3">
      <c r="E53" s="65"/>
      <c r="F53" s="65"/>
      <c r="G53" s="65"/>
    </row>
    <row r="54" spans="5:7" x14ac:dyDescent="0.3">
      <c r="E54" s="65"/>
      <c r="F54" s="65"/>
      <c r="G54" s="65"/>
    </row>
    <row r="55" spans="5:7" x14ac:dyDescent="0.3">
      <c r="E55" s="65"/>
      <c r="F55" s="65"/>
      <c r="G55" s="65"/>
    </row>
    <row r="56" spans="5:7" x14ac:dyDescent="0.3">
      <c r="E56" s="65"/>
      <c r="F56" s="65"/>
      <c r="G56" s="65"/>
    </row>
    <row r="57" spans="5:7" x14ac:dyDescent="0.3">
      <c r="E57" s="65"/>
      <c r="F57" s="65"/>
      <c r="G57" s="65"/>
    </row>
    <row r="58" spans="5:7" x14ac:dyDescent="0.3">
      <c r="E58" s="65"/>
      <c r="F58" s="65"/>
      <c r="G58" s="65"/>
    </row>
    <row r="59" spans="5:7" x14ac:dyDescent="0.3">
      <c r="E59" s="65"/>
      <c r="F59" s="65"/>
      <c r="G59" s="65"/>
    </row>
    <row r="60" spans="5:7" x14ac:dyDescent="0.3">
      <c r="E60" s="65"/>
      <c r="F60" s="65"/>
      <c r="G60" s="65"/>
    </row>
    <row r="61" spans="5:7" x14ac:dyDescent="0.3">
      <c r="E61" s="65"/>
      <c r="F61" s="65"/>
      <c r="G61" s="65"/>
    </row>
    <row r="62" spans="5:7" x14ac:dyDescent="0.3">
      <c r="E62" s="65"/>
      <c r="F62" s="65"/>
      <c r="G62" s="65"/>
    </row>
    <row r="63" spans="5:7" x14ac:dyDescent="0.3">
      <c r="E63" s="65"/>
      <c r="F63" s="65"/>
      <c r="G63" s="65"/>
    </row>
    <row r="64" spans="5:7" x14ac:dyDescent="0.3">
      <c r="E64" s="65"/>
      <c r="F64" s="65"/>
      <c r="G64" s="65"/>
    </row>
    <row r="65" spans="5:7" x14ac:dyDescent="0.3">
      <c r="E65" s="65"/>
      <c r="F65" s="65"/>
      <c r="G65" s="65"/>
    </row>
    <row r="66" spans="5:7" x14ac:dyDescent="0.3">
      <c r="E66" s="65"/>
      <c r="F66" s="65"/>
      <c r="G66" s="65"/>
    </row>
    <row r="67" spans="5:7" x14ac:dyDescent="0.3">
      <c r="E67" s="65"/>
      <c r="F67" s="65"/>
      <c r="G67" s="65"/>
    </row>
    <row r="68" spans="5:7" x14ac:dyDescent="0.3">
      <c r="E68" s="65"/>
      <c r="F68" s="65"/>
      <c r="G68" s="65"/>
    </row>
    <row r="69" spans="5:7" x14ac:dyDescent="0.3">
      <c r="E69" s="65"/>
      <c r="F69" s="65"/>
      <c r="G69" s="65"/>
    </row>
    <row r="70" spans="5:7" x14ac:dyDescent="0.3">
      <c r="E70" s="65"/>
      <c r="F70" s="65"/>
      <c r="G70" s="65"/>
    </row>
    <row r="71" spans="5:7" x14ac:dyDescent="0.3">
      <c r="E71" s="65"/>
      <c r="F71" s="65"/>
      <c r="G71" s="65"/>
    </row>
    <row r="72" spans="5:7" x14ac:dyDescent="0.3">
      <c r="E72" s="65"/>
      <c r="F72" s="65"/>
      <c r="G72" s="65"/>
    </row>
    <row r="73" spans="5:7" x14ac:dyDescent="0.3">
      <c r="E73" s="65"/>
      <c r="F73" s="65"/>
      <c r="G73" s="65"/>
    </row>
    <row r="74" spans="5:7" x14ac:dyDescent="0.3">
      <c r="E74" s="65"/>
      <c r="F74" s="65"/>
      <c r="G74" s="65"/>
    </row>
    <row r="75" spans="5:7" x14ac:dyDescent="0.3">
      <c r="E75" s="65"/>
      <c r="F75" s="65"/>
      <c r="G75" s="65"/>
    </row>
    <row r="76" spans="5:7" x14ac:dyDescent="0.3">
      <c r="E76" s="65"/>
      <c r="F76" s="65"/>
      <c r="G76" s="65"/>
    </row>
    <row r="77" spans="5:7" x14ac:dyDescent="0.3">
      <c r="E77" s="65"/>
      <c r="F77" s="65"/>
      <c r="G77" s="65"/>
    </row>
    <row r="78" spans="5:7" x14ac:dyDescent="0.3">
      <c r="E78" s="65"/>
      <c r="F78" s="65"/>
      <c r="G78" s="65"/>
    </row>
    <row r="79" spans="5:7" x14ac:dyDescent="0.3">
      <c r="E79" s="65"/>
      <c r="F79" s="65"/>
      <c r="G79" s="65"/>
    </row>
    <row r="80" spans="5:7" x14ac:dyDescent="0.3">
      <c r="E80" s="65"/>
      <c r="F80" s="65"/>
      <c r="G80" s="65"/>
    </row>
    <row r="81" spans="5:7" x14ac:dyDescent="0.3">
      <c r="E81" s="65"/>
      <c r="F81" s="65"/>
      <c r="G81" s="65"/>
    </row>
    <row r="82" spans="5:7" x14ac:dyDescent="0.3">
      <c r="E82" s="65"/>
      <c r="F82" s="65"/>
      <c r="G82" s="65"/>
    </row>
    <row r="83" spans="5:7" x14ac:dyDescent="0.3">
      <c r="E83" s="65"/>
      <c r="F83" s="65"/>
      <c r="G83" s="65"/>
    </row>
    <row r="84" spans="5:7" x14ac:dyDescent="0.3">
      <c r="E84" s="65"/>
      <c r="F84" s="65"/>
      <c r="G84" s="65"/>
    </row>
    <row r="85" spans="5:7" x14ac:dyDescent="0.3">
      <c r="E85" s="65"/>
      <c r="F85" s="65"/>
      <c r="G85" s="65"/>
    </row>
    <row r="86" spans="5:7" x14ac:dyDescent="0.3">
      <c r="E86" s="65"/>
      <c r="F86" s="65"/>
      <c r="G86" s="65"/>
    </row>
    <row r="87" spans="5:7" x14ac:dyDescent="0.3">
      <c r="E87" s="65"/>
      <c r="F87" s="65"/>
      <c r="G87" s="65"/>
    </row>
    <row r="88" spans="5:7" x14ac:dyDescent="0.3">
      <c r="E88" s="65"/>
      <c r="F88" s="65"/>
      <c r="G88" s="65"/>
    </row>
    <row r="89" spans="5:7" x14ac:dyDescent="0.3">
      <c r="E89" s="65"/>
      <c r="F89" s="65"/>
      <c r="G89" s="65"/>
    </row>
  </sheetData>
  <mergeCells count="4">
    <mergeCell ref="B2:C2"/>
    <mergeCell ref="E2:G2"/>
    <mergeCell ref="I2:J2"/>
    <mergeCell ref="N2:O2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B28F-70C4-4516-B7D6-2295FDC1E0E7}">
  <dimension ref="B2:AD35"/>
  <sheetViews>
    <sheetView tabSelected="1" topLeftCell="A7" zoomScale="85" zoomScaleNormal="85" workbookViewId="0">
      <selection activeCell="L22" sqref="L22"/>
    </sheetView>
  </sheetViews>
  <sheetFormatPr defaultRowHeight="16.5" x14ac:dyDescent="0.3"/>
  <cols>
    <col min="1" max="1" width="3.75" customWidth="1"/>
    <col min="2" max="2" width="9.875" bestFit="1" customWidth="1"/>
    <col min="3" max="3" width="7.25" bestFit="1" customWidth="1"/>
    <col min="4" max="4" width="7" bestFit="1" customWidth="1"/>
    <col min="5" max="5" width="7.875" style="3" bestFit="1" customWidth="1"/>
    <col min="6" max="6" width="4.75" bestFit="1" customWidth="1"/>
    <col min="7" max="7" width="2.75" bestFit="1" customWidth="1"/>
    <col min="8" max="8" width="7.625" bestFit="1" customWidth="1"/>
    <col min="9" max="9" width="10" bestFit="1" customWidth="1"/>
    <col min="10" max="10" width="10.75" bestFit="1" customWidth="1"/>
    <col min="11" max="12" width="8" bestFit="1" customWidth="1"/>
    <col min="13" max="13" width="13.5" bestFit="1" customWidth="1"/>
    <col min="14" max="14" width="9.625" bestFit="1" customWidth="1"/>
    <col min="15" max="15" width="8" bestFit="1" customWidth="1"/>
    <col min="16" max="16" width="14.5" bestFit="1" customWidth="1"/>
    <col min="17" max="17" width="5.875" bestFit="1" customWidth="1"/>
    <col min="18" max="18" width="6.875" style="1" bestFit="1" customWidth="1"/>
    <col min="19" max="19" width="5.5" bestFit="1" customWidth="1"/>
    <col min="20" max="20" width="9.625" bestFit="1" customWidth="1"/>
    <col min="21" max="22" width="14.25" bestFit="1" customWidth="1"/>
    <col min="23" max="23" width="6.875" bestFit="1" customWidth="1"/>
    <col min="24" max="24" width="14.25" bestFit="1" customWidth="1"/>
    <col min="26" max="26" width="9.625" bestFit="1" customWidth="1"/>
    <col min="27" max="27" width="7.75" bestFit="1" customWidth="1"/>
    <col min="28" max="29" width="6.375" bestFit="1" customWidth="1"/>
    <col min="30" max="30" width="10.625" bestFit="1" customWidth="1"/>
  </cols>
  <sheetData>
    <row r="2" spans="2:30" ht="19.5" x14ac:dyDescent="0.3">
      <c r="B2" s="153" t="s">
        <v>63</v>
      </c>
      <c r="C2" s="153"/>
      <c r="D2" s="153"/>
      <c r="E2" s="153"/>
      <c r="G2" s="129" t="s">
        <v>171</v>
      </c>
      <c r="H2" s="129" t="s">
        <v>169</v>
      </c>
      <c r="I2" s="129" t="s">
        <v>69</v>
      </c>
      <c r="J2" s="129" t="s">
        <v>170</v>
      </c>
      <c r="L2" s="129" t="s">
        <v>179</v>
      </c>
      <c r="M2" s="129" t="s">
        <v>54</v>
      </c>
      <c r="N2" s="129" t="s">
        <v>172</v>
      </c>
      <c r="O2" s="129" t="s">
        <v>33</v>
      </c>
      <c r="P2" s="141" t="s">
        <v>182</v>
      </c>
      <c r="Q2" s="140" t="s">
        <v>180</v>
      </c>
      <c r="R2" s="142" t="s">
        <v>2</v>
      </c>
      <c r="AA2" s="1"/>
    </row>
    <row r="3" spans="2:30" x14ac:dyDescent="0.3">
      <c r="B3" s="130" t="s">
        <v>60</v>
      </c>
      <c r="C3" s="130" t="s">
        <v>59</v>
      </c>
      <c r="D3" s="131" t="s">
        <v>58</v>
      </c>
      <c r="E3" s="36" t="s">
        <v>57</v>
      </c>
      <c r="G3" s="128">
        <v>1</v>
      </c>
      <c r="H3" s="128">
        <v>10</v>
      </c>
      <c r="I3" t="s">
        <v>19</v>
      </c>
      <c r="J3">
        <v>1.25</v>
      </c>
      <c r="L3">
        <f>$E$4*J3</f>
        <v>1612.5</v>
      </c>
      <c r="M3">
        <f>$E$7*H3</f>
        <v>86.614173228346459</v>
      </c>
      <c r="N3" s="3">
        <f>$E$23</f>
        <v>104.50000000000001</v>
      </c>
      <c r="O3">
        <f t="shared" ref="O3:O10" si="0">$E$22*H3</f>
        <v>20</v>
      </c>
      <c r="P3">
        <f t="shared" ref="P3:P10" si="1">-$E$26*H3*$E$4/1000</f>
        <v>-99.230769230769226</v>
      </c>
      <c r="Q3">
        <f>0.1*H3*$E$21</f>
        <v>49.500000000000007</v>
      </c>
      <c r="R3" s="1">
        <f t="shared" ref="R3:R10" si="2">SUM(L3:Q3)</f>
        <v>1773.8834039975773</v>
      </c>
      <c r="AA3" s="1"/>
    </row>
    <row r="4" spans="2:30" x14ac:dyDescent="0.3">
      <c r="B4" s="154" t="s">
        <v>56</v>
      </c>
      <c r="C4" s="132" t="s">
        <v>41</v>
      </c>
      <c r="D4" s="133" t="s">
        <v>55</v>
      </c>
      <c r="E4" s="26">
        <v>1290</v>
      </c>
      <c r="G4" s="128">
        <v>2</v>
      </c>
      <c r="H4" s="128">
        <v>10</v>
      </c>
      <c r="I4" t="s">
        <v>16</v>
      </c>
      <c r="J4">
        <v>1.25</v>
      </c>
      <c r="L4">
        <f t="shared" ref="L4:L10" si="3">$E$4*J4</f>
        <v>1612.5</v>
      </c>
      <c r="M4">
        <f t="shared" ref="M4:M10" si="4">$E$7*H4</f>
        <v>86.614173228346459</v>
      </c>
      <c r="N4" s="3">
        <f>$E$23</f>
        <v>104.50000000000001</v>
      </c>
      <c r="O4">
        <f t="shared" si="0"/>
        <v>20</v>
      </c>
      <c r="P4">
        <f t="shared" si="1"/>
        <v>-99.230769230769226</v>
      </c>
      <c r="Q4">
        <f>0.1*H4*$E$21</f>
        <v>49.500000000000007</v>
      </c>
      <c r="R4" s="1">
        <f t="shared" si="2"/>
        <v>1773.8834039975773</v>
      </c>
      <c r="AA4" s="1"/>
    </row>
    <row r="5" spans="2:30" x14ac:dyDescent="0.3">
      <c r="B5" s="154"/>
      <c r="C5" s="132" t="s">
        <v>38</v>
      </c>
      <c r="D5" s="133" t="s">
        <v>55</v>
      </c>
      <c r="E5" s="26">
        <v>1360</v>
      </c>
      <c r="G5" s="128">
        <v>3</v>
      </c>
      <c r="H5" s="128">
        <v>24</v>
      </c>
      <c r="I5" t="s">
        <v>19</v>
      </c>
      <c r="J5">
        <v>2.6</v>
      </c>
      <c r="L5">
        <f t="shared" si="3"/>
        <v>3354</v>
      </c>
      <c r="M5">
        <f t="shared" si="4"/>
        <v>207.87401574803152</v>
      </c>
      <c r="N5" s="3">
        <f>$E$24</f>
        <v>220.00000000000003</v>
      </c>
      <c r="O5">
        <f t="shared" si="0"/>
        <v>48</v>
      </c>
      <c r="P5">
        <f t="shared" si="1"/>
        <v>-238.15384615384616</v>
      </c>
      <c r="Q5">
        <v>0</v>
      </c>
      <c r="R5" s="1">
        <f t="shared" si="2"/>
        <v>3591.7201695941853</v>
      </c>
      <c r="AA5" s="1"/>
    </row>
    <row r="6" spans="2:30" x14ac:dyDescent="0.3">
      <c r="B6" s="154" t="s">
        <v>54</v>
      </c>
      <c r="C6" s="155" t="s">
        <v>27</v>
      </c>
      <c r="D6" s="133" t="s">
        <v>53</v>
      </c>
      <c r="E6" s="26">
        <f>110</f>
        <v>110</v>
      </c>
      <c r="G6" s="128">
        <v>4</v>
      </c>
      <c r="H6" s="128">
        <v>30</v>
      </c>
      <c r="I6" t="s">
        <v>16</v>
      </c>
      <c r="J6">
        <v>2.4</v>
      </c>
      <c r="L6">
        <f t="shared" si="3"/>
        <v>3096</v>
      </c>
      <c r="M6">
        <f t="shared" si="4"/>
        <v>259.84251968503941</v>
      </c>
      <c r="N6" s="3">
        <f>$E$9</f>
        <v>247.50000000000003</v>
      </c>
      <c r="O6">
        <f t="shared" si="0"/>
        <v>60</v>
      </c>
      <c r="P6">
        <f t="shared" si="1"/>
        <v>-297.69230769230768</v>
      </c>
      <c r="Q6">
        <v>0</v>
      </c>
      <c r="R6" s="1">
        <f t="shared" si="2"/>
        <v>3365.6502119927318</v>
      </c>
      <c r="AA6" s="1"/>
    </row>
    <row r="7" spans="2:30" x14ac:dyDescent="0.3">
      <c r="B7" s="154"/>
      <c r="C7" s="156"/>
      <c r="D7" s="133" t="s">
        <v>50</v>
      </c>
      <c r="E7" s="26">
        <f>E6/12.7</f>
        <v>8.6614173228346463</v>
      </c>
      <c r="F7">
        <v>8.5</v>
      </c>
      <c r="G7" s="128">
        <v>5</v>
      </c>
      <c r="H7" s="128">
        <v>30</v>
      </c>
      <c r="I7" t="s">
        <v>62</v>
      </c>
      <c r="J7">
        <v>2.6</v>
      </c>
      <c r="L7">
        <f t="shared" si="3"/>
        <v>3354</v>
      </c>
      <c r="M7">
        <f t="shared" si="4"/>
        <v>259.84251968503941</v>
      </c>
      <c r="N7" s="3">
        <f>$E$9</f>
        <v>247.50000000000003</v>
      </c>
      <c r="O7">
        <f t="shared" si="0"/>
        <v>60</v>
      </c>
      <c r="P7">
        <f t="shared" si="1"/>
        <v>-297.69230769230768</v>
      </c>
      <c r="Q7">
        <v>0</v>
      </c>
      <c r="R7" s="1">
        <f t="shared" si="2"/>
        <v>3623.6502119927318</v>
      </c>
      <c r="AA7" s="1"/>
    </row>
    <row r="8" spans="2:30" x14ac:dyDescent="0.3">
      <c r="B8" s="154"/>
      <c r="C8" s="132" t="s">
        <v>49</v>
      </c>
      <c r="D8" s="133" t="s">
        <v>21</v>
      </c>
      <c r="E8" s="26">
        <v>50</v>
      </c>
      <c r="G8" s="128">
        <v>6</v>
      </c>
      <c r="H8" s="128">
        <v>30</v>
      </c>
      <c r="I8" t="s">
        <v>82</v>
      </c>
      <c r="J8">
        <v>3.2</v>
      </c>
      <c r="L8">
        <f t="shared" si="3"/>
        <v>4128</v>
      </c>
      <c r="M8">
        <f t="shared" si="4"/>
        <v>259.84251968503941</v>
      </c>
      <c r="N8" s="3">
        <f>$E$10</f>
        <v>249.70000000000002</v>
      </c>
      <c r="O8">
        <f t="shared" si="0"/>
        <v>60</v>
      </c>
      <c r="P8">
        <f t="shared" si="1"/>
        <v>-297.69230769230768</v>
      </c>
      <c r="Q8">
        <v>0</v>
      </c>
      <c r="R8" s="1">
        <f t="shared" si="2"/>
        <v>4399.8502119927316</v>
      </c>
      <c r="AA8" s="1"/>
    </row>
    <row r="9" spans="2:30" x14ac:dyDescent="0.3">
      <c r="B9" s="154" t="s">
        <v>48</v>
      </c>
      <c r="C9" s="132" t="s">
        <v>45</v>
      </c>
      <c r="D9" s="133" t="s">
        <v>21</v>
      </c>
      <c r="E9" s="26">
        <f>225*1.1</f>
        <v>247.50000000000003</v>
      </c>
      <c r="G9" s="128">
        <v>7</v>
      </c>
      <c r="H9" s="128">
        <v>30</v>
      </c>
      <c r="I9" t="s">
        <v>32</v>
      </c>
      <c r="J9">
        <v>3.7</v>
      </c>
      <c r="L9">
        <f t="shared" si="3"/>
        <v>4773</v>
      </c>
      <c r="M9">
        <f t="shared" si="4"/>
        <v>259.84251968503941</v>
      </c>
      <c r="N9" s="3">
        <f>$E$11</f>
        <v>255.20000000000002</v>
      </c>
      <c r="O9">
        <f t="shared" si="0"/>
        <v>60</v>
      </c>
      <c r="P9">
        <f t="shared" si="1"/>
        <v>-297.69230769230768</v>
      </c>
      <c r="Q9">
        <v>0</v>
      </c>
      <c r="R9" s="1">
        <f t="shared" si="2"/>
        <v>5050.3502119927316</v>
      </c>
      <c r="AA9" s="1"/>
    </row>
    <row r="10" spans="2:30" x14ac:dyDescent="0.3">
      <c r="B10" s="154"/>
      <c r="C10" s="132" t="s">
        <v>44</v>
      </c>
      <c r="D10" s="133" t="s">
        <v>21</v>
      </c>
      <c r="E10" s="26">
        <f>227*1.1</f>
        <v>249.70000000000002</v>
      </c>
      <c r="G10" s="128">
        <v>8</v>
      </c>
      <c r="H10" s="128">
        <v>30</v>
      </c>
      <c r="I10" t="s">
        <v>149</v>
      </c>
      <c r="J10" s="127">
        <v>3.85</v>
      </c>
      <c r="L10">
        <f t="shared" si="3"/>
        <v>4966.5</v>
      </c>
      <c r="M10">
        <f t="shared" si="4"/>
        <v>259.84251968503941</v>
      </c>
      <c r="N10" s="3">
        <f>$E$11</f>
        <v>255.20000000000002</v>
      </c>
      <c r="O10">
        <f t="shared" si="0"/>
        <v>60</v>
      </c>
      <c r="P10">
        <f t="shared" si="1"/>
        <v>-297.69230769230768</v>
      </c>
      <c r="Q10">
        <v>0</v>
      </c>
      <c r="R10" s="1">
        <f t="shared" si="2"/>
        <v>5243.8502119927316</v>
      </c>
      <c r="AA10" s="1"/>
    </row>
    <row r="11" spans="2:30" x14ac:dyDescent="0.3">
      <c r="B11" s="154"/>
      <c r="C11" s="132" t="s">
        <v>176</v>
      </c>
      <c r="D11" s="133" t="s">
        <v>21</v>
      </c>
      <c r="E11" s="26">
        <f>232*1.1</f>
        <v>255.20000000000002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x14ac:dyDescent="0.3">
      <c r="B12" s="157" t="s">
        <v>22</v>
      </c>
      <c r="C12" s="132" t="s">
        <v>186</v>
      </c>
      <c r="D12" s="133" t="s">
        <v>53</v>
      </c>
      <c r="E12" s="26">
        <f>30*1.1</f>
        <v>33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2:30" x14ac:dyDescent="0.3">
      <c r="B13" s="158"/>
      <c r="C13" s="132" t="s">
        <v>187</v>
      </c>
      <c r="D13" s="133" t="s">
        <v>53</v>
      </c>
      <c r="E13" s="26">
        <f>135*1.1</f>
        <v>148.5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2:30" x14ac:dyDescent="0.3">
      <c r="B14" s="158"/>
      <c r="C14" s="132" t="s">
        <v>187</v>
      </c>
      <c r="D14" s="133" t="s">
        <v>188</v>
      </c>
      <c r="E14" s="26">
        <f>176*1.1</f>
        <v>193.60000000000002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58"/>
      <c r="C15" s="133" t="s">
        <v>45</v>
      </c>
      <c r="D15" s="133" t="s">
        <v>21</v>
      </c>
      <c r="E15" s="26">
        <f>228*1.1</f>
        <v>250.8</v>
      </c>
      <c r="J15" s="147">
        <v>1</v>
      </c>
      <c r="K15" s="147">
        <v>5</v>
      </c>
      <c r="L15" s="147">
        <v>10</v>
      </c>
      <c r="R15"/>
      <c r="Y15" s="1"/>
      <c r="AA15" s="1"/>
    </row>
    <row r="16" spans="2:30" x14ac:dyDescent="0.3">
      <c r="B16" s="158"/>
      <c r="C16" s="133" t="s">
        <v>44</v>
      </c>
      <c r="D16" s="133" t="s">
        <v>21</v>
      </c>
      <c r="E16" s="26">
        <f>230*1.1</f>
        <v>253.00000000000003</v>
      </c>
      <c r="G16" s="145"/>
      <c r="H16" s="144"/>
      <c r="I16" s="148" t="s">
        <v>19</v>
      </c>
      <c r="J16" s="143">
        <f>$R3*J$15</f>
        <v>1773.8834039975773</v>
      </c>
      <c r="K16" s="143">
        <f t="shared" ref="K16:L16" si="5">$R3*K$15</f>
        <v>8869.4170199878863</v>
      </c>
      <c r="L16" s="143">
        <f t="shared" si="5"/>
        <v>17738.834039975773</v>
      </c>
      <c r="M16" s="144"/>
      <c r="N16" s="144"/>
      <c r="O16" s="144"/>
      <c r="P16" s="144"/>
      <c r="Q16" s="144"/>
      <c r="R16" s="144"/>
      <c r="Y16" s="1"/>
      <c r="AA16" s="1"/>
    </row>
    <row r="17" spans="2:27" x14ac:dyDescent="0.3">
      <c r="B17" s="159"/>
      <c r="C17" s="133" t="s">
        <v>43</v>
      </c>
      <c r="D17" s="133" t="s">
        <v>21</v>
      </c>
      <c r="E17" s="26">
        <f>232*1.1</f>
        <v>255.20000000000002</v>
      </c>
      <c r="G17" s="145"/>
      <c r="H17" s="144"/>
      <c r="I17" s="148" t="s">
        <v>16</v>
      </c>
      <c r="J17" s="143">
        <f>$R4*J$15</f>
        <v>1773.8834039975773</v>
      </c>
      <c r="K17" s="143">
        <f>$R4*K$15</f>
        <v>8869.4170199878863</v>
      </c>
      <c r="L17" s="143">
        <f>$R4*L$15</f>
        <v>17738.834039975773</v>
      </c>
      <c r="M17" s="144">
        <v>18070</v>
      </c>
      <c r="N17" s="144"/>
      <c r="O17" s="144"/>
      <c r="P17" s="144"/>
      <c r="Q17" s="144"/>
      <c r="R17" s="144"/>
      <c r="Y17" s="1"/>
      <c r="AA17" s="1"/>
    </row>
    <row r="18" spans="2:27" x14ac:dyDescent="0.3">
      <c r="B18" s="160" t="s">
        <v>42</v>
      </c>
      <c r="C18" s="132" t="s">
        <v>41</v>
      </c>
      <c r="D18" s="133" t="s">
        <v>21</v>
      </c>
      <c r="E18" s="26">
        <f>1015*1.1</f>
        <v>1116.5</v>
      </c>
      <c r="G18" s="145"/>
      <c r="H18" s="144"/>
      <c r="I18" s="148"/>
      <c r="J18" s="147">
        <v>1</v>
      </c>
      <c r="K18" s="147">
        <v>2</v>
      </c>
      <c r="L18" s="147">
        <v>3</v>
      </c>
      <c r="M18" s="147">
        <v>4</v>
      </c>
      <c r="N18" s="144"/>
      <c r="Y18" s="1"/>
      <c r="AA18" s="1"/>
    </row>
    <row r="19" spans="2:27" x14ac:dyDescent="0.3">
      <c r="B19" s="154"/>
      <c r="C19" s="132" t="s">
        <v>38</v>
      </c>
      <c r="D19" s="133" t="s">
        <v>21</v>
      </c>
      <c r="E19" s="26">
        <f>1060*1.1</f>
        <v>1166</v>
      </c>
      <c r="G19" s="145"/>
      <c r="H19" s="144"/>
      <c r="I19" s="148" t="s">
        <v>19</v>
      </c>
      <c r="J19" s="144">
        <f>$R5*J$18</f>
        <v>3591.7201695941853</v>
      </c>
      <c r="K19" s="144">
        <f>$R5*K$18</f>
        <v>7183.4403391883707</v>
      </c>
      <c r="L19" s="143">
        <f>$R5*L$18</f>
        <v>10775.160508782556</v>
      </c>
      <c r="M19" s="143">
        <f>$R5*M$18</f>
        <v>14366.880678376741</v>
      </c>
      <c r="N19" s="144"/>
      <c r="O19" s="1"/>
      <c r="Y19" s="1"/>
      <c r="AA19" s="1"/>
    </row>
    <row r="20" spans="2:27" x14ac:dyDescent="0.3">
      <c r="B20" s="132" t="s">
        <v>37</v>
      </c>
      <c r="C20" s="132" t="s">
        <v>36</v>
      </c>
      <c r="D20" s="133" t="s">
        <v>21</v>
      </c>
      <c r="E20" s="26">
        <f>45*1.1</f>
        <v>49.500000000000007</v>
      </c>
      <c r="G20" s="145"/>
      <c r="H20" s="144"/>
      <c r="J20" s="1">
        <f>J$19+$E13</f>
        <v>3740.2201695941853</v>
      </c>
      <c r="K20" s="1">
        <f>K$19+$E14</f>
        <v>7377.040339188371</v>
      </c>
      <c r="L20" s="1">
        <f>L$19+$E15</f>
        <v>11025.960508782555</v>
      </c>
      <c r="M20" s="1">
        <f>M$19+$E17</f>
        <v>14622.080678376742</v>
      </c>
      <c r="N20" s="144"/>
      <c r="Y20" s="1"/>
      <c r="AA20" s="1"/>
    </row>
    <row r="21" spans="2:27" x14ac:dyDescent="0.3">
      <c r="B21" s="132" t="s">
        <v>35</v>
      </c>
      <c r="C21" s="132" t="s">
        <v>34</v>
      </c>
      <c r="D21" s="133" t="s">
        <v>26</v>
      </c>
      <c r="E21" s="26">
        <f>45*1.1</f>
        <v>49.500000000000007</v>
      </c>
      <c r="G21" s="144"/>
      <c r="H21" s="144"/>
      <c r="J21" s="147">
        <v>1</v>
      </c>
      <c r="K21" s="147">
        <v>2</v>
      </c>
      <c r="L21" s="144">
        <v>3</v>
      </c>
      <c r="M21" s="144"/>
      <c r="N21" s="144"/>
      <c r="Y21" s="1"/>
      <c r="AA21" s="1"/>
    </row>
    <row r="22" spans="2:27" x14ac:dyDescent="0.3">
      <c r="B22" s="132" t="s">
        <v>33</v>
      </c>
      <c r="C22" s="134" t="s">
        <v>25</v>
      </c>
      <c r="D22" s="134">
        <v>70000</v>
      </c>
      <c r="E22" s="26">
        <v>2</v>
      </c>
      <c r="G22" s="145"/>
      <c r="H22" s="144"/>
      <c r="I22" s="148" t="s">
        <v>16</v>
      </c>
      <c r="J22" s="144">
        <f t="shared" ref="J22:L26" si="6">$R6*J$21</f>
        <v>3365.6502119927318</v>
      </c>
      <c r="K22" s="143">
        <f t="shared" si="6"/>
        <v>6731.3004239854636</v>
      </c>
      <c r="L22" s="143">
        <f t="shared" si="6"/>
        <v>10096.950635978195</v>
      </c>
      <c r="M22" s="144">
        <f>$J22+$E13</f>
        <v>3514.1502119927318</v>
      </c>
      <c r="N22" s="144">
        <f>$K22+$E$14</f>
        <v>6924.9004239854639</v>
      </c>
      <c r="O22" s="144">
        <f>$L22+$E15</f>
        <v>10347.750635978195</v>
      </c>
      <c r="Y22" s="1"/>
      <c r="AA22" s="1"/>
    </row>
    <row r="23" spans="2:27" x14ac:dyDescent="0.3">
      <c r="B23" s="132" t="s">
        <v>30</v>
      </c>
      <c r="C23" s="134" t="s">
        <v>25</v>
      </c>
      <c r="D23" s="134" t="s">
        <v>21</v>
      </c>
      <c r="E23" s="26">
        <f>95*1.1</f>
        <v>104.50000000000001</v>
      </c>
      <c r="G23" s="145"/>
      <c r="H23" s="144"/>
      <c r="I23" s="148" t="s">
        <v>62</v>
      </c>
      <c r="J23" s="144">
        <f t="shared" si="6"/>
        <v>3623.6502119927318</v>
      </c>
      <c r="K23" s="143">
        <f t="shared" si="6"/>
        <v>7247.3004239854636</v>
      </c>
      <c r="L23" s="143">
        <f t="shared" si="6"/>
        <v>10870.950635978195</v>
      </c>
      <c r="M23" s="144">
        <f>$J23+$E13</f>
        <v>3772.1502119927318</v>
      </c>
      <c r="N23" s="144">
        <f t="shared" ref="N23:N26" si="7">$K23+$E$14</f>
        <v>7440.9004239854639</v>
      </c>
      <c r="O23" s="144">
        <f>$L23+$E15</f>
        <v>11121.750635978195</v>
      </c>
    </row>
    <row r="24" spans="2:27" x14ac:dyDescent="0.3">
      <c r="B24" s="132" t="s">
        <v>29</v>
      </c>
      <c r="C24" s="134" t="s">
        <v>25</v>
      </c>
      <c r="D24" s="134" t="s">
        <v>21</v>
      </c>
      <c r="E24" s="26">
        <f>200*1.1</f>
        <v>220.00000000000003</v>
      </c>
      <c r="G24" s="145"/>
      <c r="H24" s="144"/>
      <c r="I24" s="148" t="s">
        <v>82</v>
      </c>
      <c r="J24" s="144">
        <f t="shared" si="6"/>
        <v>4399.8502119927316</v>
      </c>
      <c r="K24" s="143">
        <f t="shared" si="6"/>
        <v>8799.7004239854632</v>
      </c>
      <c r="L24" s="143">
        <f t="shared" si="6"/>
        <v>13199.550635978194</v>
      </c>
      <c r="M24" s="144">
        <f>$J24+$E13</f>
        <v>4548.3502119927316</v>
      </c>
      <c r="N24" s="144">
        <f t="shared" si="7"/>
        <v>8993.3004239854636</v>
      </c>
      <c r="O24" s="144">
        <f>$L24+$E16</f>
        <v>13452.550635978194</v>
      </c>
    </row>
    <row r="25" spans="2:27" x14ac:dyDescent="0.3">
      <c r="B25" s="132" t="s">
        <v>28</v>
      </c>
      <c r="C25" s="134" t="s">
        <v>27</v>
      </c>
      <c r="D25" s="134" t="s">
        <v>26</v>
      </c>
      <c r="E25" s="26">
        <f>2550/120</f>
        <v>21.25</v>
      </c>
      <c r="G25" s="145"/>
      <c r="H25" s="144"/>
      <c r="I25" s="148" t="s">
        <v>32</v>
      </c>
      <c r="J25" s="144">
        <f t="shared" si="6"/>
        <v>5050.3502119927316</v>
      </c>
      <c r="K25" s="143">
        <f t="shared" si="6"/>
        <v>10100.700423985463</v>
      </c>
      <c r="L25" s="143">
        <f t="shared" si="6"/>
        <v>15151.050635978194</v>
      </c>
      <c r="M25" s="144">
        <f>$J25+$E13</f>
        <v>5198.8502119927316</v>
      </c>
      <c r="N25" s="144">
        <f t="shared" si="7"/>
        <v>10294.300423985464</v>
      </c>
      <c r="O25" s="144">
        <f>$L25+$E17</f>
        <v>15406.250635978195</v>
      </c>
    </row>
    <row r="26" spans="2:27" x14ac:dyDescent="0.3">
      <c r="B26" s="132" t="s">
        <v>163</v>
      </c>
      <c r="C26" s="134" t="s">
        <v>25</v>
      </c>
      <c r="D26" s="134" t="s">
        <v>181</v>
      </c>
      <c r="E26" s="26">
        <f>100/13</f>
        <v>7.6923076923076925</v>
      </c>
      <c r="G26" s="146"/>
      <c r="H26" s="146"/>
      <c r="I26" s="148" t="s">
        <v>149</v>
      </c>
      <c r="J26" s="144">
        <f t="shared" si="6"/>
        <v>5243.8502119927316</v>
      </c>
      <c r="K26" s="143">
        <f t="shared" si="6"/>
        <v>10487.700423985463</v>
      </c>
      <c r="L26" s="143">
        <f t="shared" si="6"/>
        <v>15731.550635978194</v>
      </c>
      <c r="M26" s="144">
        <f>$J26+$E13</f>
        <v>5392.3502119927316</v>
      </c>
      <c r="N26" s="144">
        <f t="shared" si="7"/>
        <v>10681.300423985464</v>
      </c>
      <c r="O26" s="144">
        <f>$L26+$E17</f>
        <v>15986.750635978195</v>
      </c>
    </row>
    <row r="27" spans="2:27" x14ac:dyDescent="0.3">
      <c r="B27" s="128"/>
      <c r="C27" s="128"/>
      <c r="D27" s="135"/>
      <c r="E27" s="138"/>
      <c r="G27" s="146"/>
      <c r="H27" s="146"/>
      <c r="I27" s="146"/>
      <c r="J27" s="146"/>
      <c r="K27" s="146"/>
      <c r="L27" s="146"/>
      <c r="M27" s="146"/>
      <c r="N27" s="146"/>
    </row>
    <row r="28" spans="2:27" x14ac:dyDescent="0.3">
      <c r="B28" s="155" t="s">
        <v>22</v>
      </c>
      <c r="C28" s="132" t="s">
        <v>45</v>
      </c>
      <c r="D28" s="162" t="s">
        <v>173</v>
      </c>
      <c r="E28" s="163"/>
    </row>
    <row r="29" spans="2:27" x14ac:dyDescent="0.3">
      <c r="B29" s="161"/>
      <c r="C29" s="132" t="s">
        <v>174</v>
      </c>
      <c r="D29" s="162" t="s">
        <v>175</v>
      </c>
      <c r="E29" s="163"/>
    </row>
    <row r="30" spans="2:27" x14ac:dyDescent="0.3">
      <c r="B30" s="156"/>
      <c r="C30" s="132" t="s">
        <v>176</v>
      </c>
      <c r="D30" s="162" t="s">
        <v>177</v>
      </c>
      <c r="E30" s="163"/>
    </row>
    <row r="31" spans="2:27" x14ac:dyDescent="0.3">
      <c r="B31" s="136" t="s">
        <v>54</v>
      </c>
      <c r="C31" s="136" t="s">
        <v>49</v>
      </c>
      <c r="D31" s="137" t="s">
        <v>178</v>
      </c>
      <c r="E31" s="139">
        <v>0.18</v>
      </c>
    </row>
    <row r="33" spans="2:4" x14ac:dyDescent="0.3">
      <c r="B33" s="149" t="s">
        <v>185</v>
      </c>
      <c r="C33" s="149">
        <v>30</v>
      </c>
      <c r="D33" s="149">
        <f>C33*1.1</f>
        <v>33</v>
      </c>
    </row>
    <row r="34" spans="2:4" x14ac:dyDescent="0.3">
      <c r="B34" s="149" t="s">
        <v>184</v>
      </c>
      <c r="C34" s="149">
        <v>135</v>
      </c>
      <c r="D34" s="149">
        <f>C34*1.1</f>
        <v>148.5</v>
      </c>
    </row>
    <row r="35" spans="2:4" x14ac:dyDescent="0.3">
      <c r="B35" s="149" t="s">
        <v>183</v>
      </c>
      <c r="C35" s="149">
        <v>176</v>
      </c>
      <c r="D35" s="149">
        <f>C35*1.1</f>
        <v>193.60000000000002</v>
      </c>
    </row>
  </sheetData>
  <mergeCells count="11">
    <mergeCell ref="B12:B17"/>
    <mergeCell ref="B18:B19"/>
    <mergeCell ref="B28:B30"/>
    <mergeCell ref="D28:E28"/>
    <mergeCell ref="D29:E29"/>
    <mergeCell ref="D30:E30"/>
    <mergeCell ref="B2:E2"/>
    <mergeCell ref="B4:B5"/>
    <mergeCell ref="B6:B8"/>
    <mergeCell ref="C6:C7"/>
    <mergeCell ref="B9:B1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8D4C-5EB5-4A63-AD90-877B85A7F5ED}">
  <sheetPr>
    <pageSetUpPr fitToPage="1"/>
  </sheetPr>
  <dimension ref="B1:AY44"/>
  <sheetViews>
    <sheetView zoomScale="70" zoomScaleNormal="70" workbookViewId="0">
      <selection activeCell="Q28" sqref="Q28"/>
    </sheetView>
  </sheetViews>
  <sheetFormatPr defaultColWidth="9" defaultRowHeight="16.5" x14ac:dyDescent="0.3"/>
  <cols>
    <col min="1" max="1" width="5.125" style="1" customWidth="1"/>
    <col min="2" max="2" width="9.75" style="1" bestFit="1" customWidth="1"/>
    <col min="3" max="3" width="7.375" style="1" bestFit="1" customWidth="1"/>
    <col min="4" max="4" width="5.875" style="1" bestFit="1" customWidth="1"/>
    <col min="5" max="5" width="8.5" style="3" bestFit="1" customWidth="1"/>
    <col min="6" max="6" width="4.75" style="1" customWidth="1"/>
    <col min="7" max="7" width="5.75" style="1" bestFit="1" customWidth="1"/>
    <col min="8" max="8" width="8.5" style="1" bestFit="1" customWidth="1"/>
    <col min="9" max="9" width="7.5" style="1" bestFit="1" customWidth="1"/>
    <col min="10" max="12" width="8.125" style="1" bestFit="1" customWidth="1"/>
    <col min="13" max="14" width="8.75" style="1" bestFit="1" customWidth="1"/>
    <col min="15" max="15" width="7.875" style="1" bestFit="1" customWidth="1"/>
    <col min="16" max="16" width="1.5" style="1" customWidth="1"/>
    <col min="17" max="17" width="6.875" style="1" bestFit="1" customWidth="1"/>
    <col min="18" max="18" width="6.5" style="1" bestFit="1" customWidth="1"/>
    <col min="19" max="19" width="6.75" style="2" bestFit="1" customWidth="1"/>
    <col min="20" max="20" width="4.5" style="1" customWidth="1"/>
    <col min="21" max="21" width="7.75" style="1" bestFit="1" customWidth="1"/>
    <col min="22" max="22" width="7.875" style="1" bestFit="1" customWidth="1"/>
    <col min="23" max="24" width="8.125" style="1" bestFit="1" customWidth="1"/>
    <col min="25" max="25" width="9" style="1" bestFit="1" customWidth="1"/>
    <col min="26" max="27" width="8.75" style="1" bestFit="1" customWidth="1"/>
    <col min="28" max="28" width="7.875" style="1" bestFit="1" customWidth="1"/>
    <col min="29" max="29" width="9.125" style="1" bestFit="1" customWidth="1"/>
    <col min="30" max="30" width="2.75" style="1" customWidth="1"/>
    <col min="31" max="31" width="6.875" style="1" bestFit="1" customWidth="1"/>
    <col min="32" max="32" width="6.75" style="1" bestFit="1" customWidth="1"/>
    <col min="33" max="33" width="9.125" style="2" bestFit="1" customWidth="1"/>
    <col min="34" max="16384" width="9" style="1"/>
  </cols>
  <sheetData>
    <row r="1" spans="2:51" ht="17.25" thickBot="1" x14ac:dyDescent="0.35"/>
    <row r="2" spans="2:51" ht="19.5" x14ac:dyDescent="0.3">
      <c r="B2" s="178" t="s">
        <v>63</v>
      </c>
      <c r="C2" s="178"/>
      <c r="D2" s="178"/>
      <c r="E2" s="178"/>
      <c r="G2" s="168" t="s">
        <v>62</v>
      </c>
      <c r="H2" s="39">
        <v>30</v>
      </c>
      <c r="I2" s="38">
        <v>3</v>
      </c>
      <c r="J2" s="15" t="s">
        <v>15</v>
      </c>
      <c r="K2" s="13">
        <v>14000</v>
      </c>
      <c r="L2" s="14" t="s">
        <v>13</v>
      </c>
      <c r="M2" s="13">
        <v>252</v>
      </c>
      <c r="N2" s="14" t="s">
        <v>12</v>
      </c>
      <c r="O2" s="13">
        <f>35*$I2+2</f>
        <v>107</v>
      </c>
      <c r="P2" s="12"/>
      <c r="Q2" s="166" t="s">
        <v>17</v>
      </c>
      <c r="R2" s="166"/>
      <c r="S2" s="167"/>
      <c r="U2" s="193" t="s">
        <v>61</v>
      </c>
      <c r="V2" s="31">
        <v>16</v>
      </c>
      <c r="W2" s="30">
        <v>4</v>
      </c>
      <c r="X2" s="15" t="s">
        <v>15</v>
      </c>
      <c r="Y2" s="13">
        <v>14500</v>
      </c>
      <c r="Z2" s="14" t="s">
        <v>13</v>
      </c>
      <c r="AA2" s="13">
        <v>304</v>
      </c>
      <c r="AB2" s="14" t="s">
        <v>12</v>
      </c>
      <c r="AC2" s="13">
        <f>44*$W2</f>
        <v>176</v>
      </c>
      <c r="AD2" s="12"/>
      <c r="AE2" s="190" t="s">
        <v>17</v>
      </c>
      <c r="AF2" s="191"/>
      <c r="AG2" s="192"/>
      <c r="AU2" t="s">
        <v>163</v>
      </c>
      <c r="AV2">
        <f>100/12</f>
        <v>8.3333333333333339</v>
      </c>
      <c r="AW2">
        <v>30</v>
      </c>
      <c r="AX2">
        <v>3</v>
      </c>
      <c r="AY2">
        <f>AV2*AW2*AX2</f>
        <v>750.00000000000011</v>
      </c>
    </row>
    <row r="3" spans="2:51" x14ac:dyDescent="0.3">
      <c r="B3" s="37" t="s">
        <v>60</v>
      </c>
      <c r="C3" s="37" t="s">
        <v>59</v>
      </c>
      <c r="D3" s="37" t="s">
        <v>58</v>
      </c>
      <c r="E3" s="36" t="s">
        <v>57</v>
      </c>
      <c r="G3" s="169"/>
      <c r="H3" s="11" t="s">
        <v>10</v>
      </c>
      <c r="I3" s="9" t="s">
        <v>9</v>
      </c>
      <c r="J3" s="9" t="s">
        <v>8</v>
      </c>
      <c r="K3" s="9" t="s">
        <v>7</v>
      </c>
      <c r="L3" s="9" t="s">
        <v>6</v>
      </c>
      <c r="M3" s="9" t="s">
        <v>5</v>
      </c>
      <c r="N3" s="9" t="s">
        <v>4</v>
      </c>
      <c r="O3" s="9" t="s">
        <v>3</v>
      </c>
      <c r="P3" s="10"/>
      <c r="Q3" s="9" t="s">
        <v>2</v>
      </c>
      <c r="R3" s="9" t="s">
        <v>1</v>
      </c>
      <c r="S3" s="8" t="s">
        <v>0</v>
      </c>
      <c r="U3" s="194"/>
      <c r="V3" s="11" t="s">
        <v>10</v>
      </c>
      <c r="W3" s="9" t="s">
        <v>9</v>
      </c>
      <c r="X3" s="9" t="s">
        <v>8</v>
      </c>
      <c r="Y3" s="9" t="s">
        <v>7</v>
      </c>
      <c r="Z3" s="9" t="s">
        <v>6</v>
      </c>
      <c r="AA3" s="9" t="s">
        <v>5</v>
      </c>
      <c r="AB3" s="9" t="s">
        <v>4</v>
      </c>
      <c r="AC3" s="9" t="s">
        <v>3</v>
      </c>
      <c r="AD3" s="10"/>
      <c r="AE3" s="9" t="s">
        <v>2</v>
      </c>
      <c r="AF3" s="9" t="s">
        <v>1</v>
      </c>
      <c r="AG3" s="8" t="s">
        <v>0</v>
      </c>
      <c r="AU3" t="s">
        <v>164</v>
      </c>
      <c r="AV3">
        <v>-1290</v>
      </c>
      <c r="AW3">
        <f>AY2/1000</f>
        <v>0.75000000000000011</v>
      </c>
      <c r="AX3">
        <v>1</v>
      </c>
      <c r="AY3">
        <f>AV3*AW3*AX3</f>
        <v>-967.50000000000011</v>
      </c>
    </row>
    <row r="4" spans="2:51" ht="17.25" thickBot="1" x14ac:dyDescent="0.35">
      <c r="B4" s="170" t="s">
        <v>56</v>
      </c>
      <c r="C4" s="28" t="s">
        <v>41</v>
      </c>
      <c r="D4" s="28" t="s">
        <v>55</v>
      </c>
      <c r="E4" s="26">
        <v>1290</v>
      </c>
      <c r="G4" s="169"/>
      <c r="H4" s="7">
        <f>$M2*$E$4</f>
        <v>325080</v>
      </c>
      <c r="I4" s="6">
        <f>$E$7*$H2*$O2</f>
        <v>27803.149606299216</v>
      </c>
      <c r="J4" s="5">
        <f>$E$9*$O2</f>
        <v>27071.000000000004</v>
      </c>
      <c r="K4" s="5">
        <f>$E$11*37</f>
        <v>9157.5000000000018</v>
      </c>
      <c r="L4" s="5">
        <f>($E$22-50)*$O2/$I2</f>
        <v>5350</v>
      </c>
      <c r="M4" s="5">
        <f>H4+I4+J4+K4+L4</f>
        <v>394461.64960629924</v>
      </c>
      <c r="N4" s="5">
        <f>$K2*$O2/$I2</f>
        <v>499333.33333333331</v>
      </c>
      <c r="O4" s="5">
        <f>N4-M4</f>
        <v>104871.68372703408</v>
      </c>
      <c r="P4" s="5"/>
      <c r="Q4" s="5">
        <f>M4/$O2*$I2</f>
        <v>11059.672418868202</v>
      </c>
      <c r="R4" s="5">
        <f>$K2-Q4-(K2*0.02)</f>
        <v>2660.3275811317981</v>
      </c>
      <c r="S4" s="4">
        <f>R4/$K2</f>
        <v>0.1900233986522713</v>
      </c>
      <c r="U4" s="194"/>
      <c r="V4" s="7">
        <f>$AA2*$E$4</f>
        <v>392160</v>
      </c>
      <c r="W4" s="6">
        <f>$E$8*$V2*$AC2/$W2</f>
        <v>35200</v>
      </c>
      <c r="X4" s="5">
        <f>E16*AC2</f>
        <v>8712.0000000000018</v>
      </c>
      <c r="Y4" s="5">
        <f>$E$14*$AC2/$W2</f>
        <v>49126</v>
      </c>
      <c r="Z4" s="5">
        <f>($E$22-100)*$AC2/$W2</f>
        <v>4400</v>
      </c>
      <c r="AA4" s="5">
        <f>V4+W4+X4+Y4+Z4</f>
        <v>489598</v>
      </c>
      <c r="AB4" s="5">
        <f>$Y2*$AC2/$W2</f>
        <v>638000</v>
      </c>
      <c r="AC4" s="5">
        <f>AB4-AA4</f>
        <v>148402</v>
      </c>
      <c r="AD4" s="5"/>
      <c r="AE4" s="5">
        <f>$AA4/($AC2/$W2)</f>
        <v>11127.227272727272</v>
      </c>
      <c r="AF4" s="5">
        <f>$Y2-$AE4-($Y2*0.02)</f>
        <v>3082.7727272727279</v>
      </c>
      <c r="AG4" s="4">
        <f>$AF4/$Y2</f>
        <v>0.21260501567398124</v>
      </c>
      <c r="AU4" t="s">
        <v>165</v>
      </c>
      <c r="AV4">
        <v>1290</v>
      </c>
      <c r="AW4">
        <v>2.35</v>
      </c>
      <c r="AX4">
        <v>3</v>
      </c>
      <c r="AY4">
        <f>AV4*AW4*AX4</f>
        <v>9094.5</v>
      </c>
    </row>
    <row r="5" spans="2:51" ht="17.25" thickBot="1" x14ac:dyDescent="0.35">
      <c r="B5" s="170"/>
      <c r="C5" s="28" t="s">
        <v>38</v>
      </c>
      <c r="D5" s="28" t="s">
        <v>55</v>
      </c>
      <c r="E5" s="26">
        <v>1360</v>
      </c>
      <c r="H5" s="29"/>
      <c r="I5" s="29"/>
      <c r="AU5" t="s">
        <v>54</v>
      </c>
      <c r="AV5">
        <v>8.66</v>
      </c>
      <c r="AW5">
        <v>30</v>
      </c>
      <c r="AX5">
        <v>3</v>
      </c>
      <c r="AY5">
        <f t="shared" ref="AY5:AY8" si="0">AV5*AW5*AX5</f>
        <v>779.40000000000009</v>
      </c>
    </row>
    <row r="6" spans="2:51" ht="17.25" x14ac:dyDescent="0.3">
      <c r="B6" s="170" t="s">
        <v>54</v>
      </c>
      <c r="C6" s="179" t="s">
        <v>27</v>
      </c>
      <c r="D6" s="28" t="s">
        <v>53</v>
      </c>
      <c r="E6" s="26">
        <f>110</f>
        <v>110</v>
      </c>
      <c r="G6" s="171" t="s">
        <v>52</v>
      </c>
      <c r="H6" s="35">
        <v>30</v>
      </c>
      <c r="I6" s="34">
        <v>3</v>
      </c>
      <c r="J6" s="15" t="s">
        <v>15</v>
      </c>
      <c r="K6" s="13">
        <v>16800</v>
      </c>
      <c r="L6" s="14" t="s">
        <v>13</v>
      </c>
      <c r="M6" s="13">
        <v>256</v>
      </c>
      <c r="N6" s="14" t="s">
        <v>12</v>
      </c>
      <c r="O6" s="13">
        <f>29*$I6+2</f>
        <v>89</v>
      </c>
      <c r="P6" s="12"/>
      <c r="Q6" s="166" t="s">
        <v>11</v>
      </c>
      <c r="R6" s="166"/>
      <c r="S6" s="167"/>
      <c r="U6" s="193" t="s">
        <v>51</v>
      </c>
      <c r="V6" s="31">
        <v>16</v>
      </c>
      <c r="W6" s="30">
        <v>4</v>
      </c>
      <c r="X6" s="15" t="s">
        <v>15</v>
      </c>
      <c r="Y6" s="13">
        <v>16700</v>
      </c>
      <c r="Z6" s="14" t="s">
        <v>13</v>
      </c>
      <c r="AA6" s="13">
        <v>244</v>
      </c>
      <c r="AB6" s="14" t="s">
        <v>12</v>
      </c>
      <c r="AC6" s="13">
        <f>29*$W6+3</f>
        <v>119</v>
      </c>
      <c r="AD6" s="12"/>
      <c r="AE6" s="190" t="s">
        <v>17</v>
      </c>
      <c r="AF6" s="191"/>
      <c r="AG6" s="192"/>
      <c r="AU6" t="s">
        <v>48</v>
      </c>
      <c r="AV6">
        <f>225*1.1</f>
        <v>247.50000000000003</v>
      </c>
      <c r="AW6">
        <v>1</v>
      </c>
      <c r="AX6">
        <v>3</v>
      </c>
      <c r="AY6">
        <f t="shared" si="0"/>
        <v>742.50000000000011</v>
      </c>
    </row>
    <row r="7" spans="2:51" ht="16.5" customHeight="1" x14ac:dyDescent="0.3">
      <c r="B7" s="170"/>
      <c r="C7" s="180"/>
      <c r="D7" s="28" t="s">
        <v>50</v>
      </c>
      <c r="E7" s="26">
        <f>E6/12.7</f>
        <v>8.6614173228346463</v>
      </c>
      <c r="G7" s="172"/>
      <c r="H7" s="11" t="s">
        <v>10</v>
      </c>
      <c r="I7" s="9" t="s">
        <v>9</v>
      </c>
      <c r="J7" s="9" t="s">
        <v>8</v>
      </c>
      <c r="K7" s="9" t="s">
        <v>7</v>
      </c>
      <c r="L7" s="9" t="s">
        <v>6</v>
      </c>
      <c r="M7" s="9" t="s">
        <v>5</v>
      </c>
      <c r="N7" s="9" t="s">
        <v>4</v>
      </c>
      <c r="O7" s="9" t="s">
        <v>3</v>
      </c>
      <c r="P7" s="10"/>
      <c r="Q7" s="9" t="s">
        <v>2</v>
      </c>
      <c r="R7" s="9" t="s">
        <v>1</v>
      </c>
      <c r="S7" s="8" t="s">
        <v>0</v>
      </c>
      <c r="U7" s="194"/>
      <c r="V7" s="11" t="s">
        <v>10</v>
      </c>
      <c r="W7" s="9" t="s">
        <v>9</v>
      </c>
      <c r="X7" s="9" t="s">
        <v>8</v>
      </c>
      <c r="Y7" s="9" t="s">
        <v>7</v>
      </c>
      <c r="Z7" s="9" t="s">
        <v>6</v>
      </c>
      <c r="AA7" s="9" t="s">
        <v>5</v>
      </c>
      <c r="AB7" s="9" t="s">
        <v>4</v>
      </c>
      <c r="AC7" s="9" t="s">
        <v>3</v>
      </c>
      <c r="AD7" s="10"/>
      <c r="AE7" s="9" t="s">
        <v>2</v>
      </c>
      <c r="AF7" s="9" t="s">
        <v>1</v>
      </c>
      <c r="AG7" s="8" t="s">
        <v>0</v>
      </c>
      <c r="AU7" t="s">
        <v>7</v>
      </c>
      <c r="AV7">
        <f>225*1.1</f>
        <v>247.50000000000003</v>
      </c>
      <c r="AW7">
        <v>1</v>
      </c>
      <c r="AX7">
        <v>1</v>
      </c>
      <c r="AY7">
        <f t="shared" si="0"/>
        <v>247.50000000000003</v>
      </c>
    </row>
    <row r="8" spans="2:51" ht="17.25" customHeight="1" thickBot="1" x14ac:dyDescent="0.35">
      <c r="B8" s="170"/>
      <c r="C8" s="28" t="s">
        <v>49</v>
      </c>
      <c r="D8" s="28" t="s">
        <v>21</v>
      </c>
      <c r="E8" s="26">
        <v>50</v>
      </c>
      <c r="G8" s="172"/>
      <c r="H8" s="7">
        <f>$M6*$E$4</f>
        <v>330240</v>
      </c>
      <c r="I8" s="6">
        <f>$E$7*$H6*$O6</f>
        <v>23125.984251968508</v>
      </c>
      <c r="J8" s="5">
        <f>$E$9*$O6</f>
        <v>22517.000000000004</v>
      </c>
      <c r="K8" s="5">
        <f>$E$12*$O6/$I6</f>
        <v>7407.7666666666673</v>
      </c>
      <c r="L8" s="5">
        <f>($E$22)*$O6/$I6</f>
        <v>5933.333333333333</v>
      </c>
      <c r="M8" s="5">
        <f>H8+I8+J8+K8+L8</f>
        <v>389224.08425196848</v>
      </c>
      <c r="N8" s="5">
        <f>$K6*$O6/$I6</f>
        <v>498400</v>
      </c>
      <c r="O8" s="5">
        <f>N8-M8</f>
        <v>109175.91574803152</v>
      </c>
      <c r="P8" s="5"/>
      <c r="Q8" s="5">
        <f>M8/$O6*$I6</f>
        <v>13119.912952313545</v>
      </c>
      <c r="R8" s="5">
        <f>$K6-Q8-(K6*0.02)</f>
        <v>3344.0870476864548</v>
      </c>
      <c r="S8" s="4">
        <f>R8/$K6</f>
        <v>0.19905280045752707</v>
      </c>
      <c r="U8" s="194"/>
      <c r="V8" s="7">
        <f>$AA6*$E$4</f>
        <v>314760</v>
      </c>
      <c r="W8" s="6">
        <f>$E$8*$V6*$AC6/$W6</f>
        <v>23800</v>
      </c>
      <c r="X8" s="5">
        <f>$E$16*$AC6</f>
        <v>5890.5000000000009</v>
      </c>
      <c r="Y8" s="5">
        <f>$E$14*$AC6/$W6</f>
        <v>33215.875</v>
      </c>
      <c r="Z8" s="5">
        <f>($E$22-100)*$AC6/$W6</f>
        <v>2975</v>
      </c>
      <c r="AA8" s="5">
        <f>V8+W8+X8+Y8+Z8</f>
        <v>380641.375</v>
      </c>
      <c r="AB8" s="5">
        <f>$Y6*$AC6/$W6</f>
        <v>496825</v>
      </c>
      <c r="AC8" s="5">
        <f>AB8-AA8</f>
        <v>116183.625</v>
      </c>
      <c r="AD8" s="5"/>
      <c r="AE8" s="5">
        <f>$AA8/$AC6*$W6</f>
        <v>12794.66806722689</v>
      </c>
      <c r="AF8" s="5">
        <f>$Y6-$AE8-($Y6*0.02)</f>
        <v>3571.3319327731097</v>
      </c>
      <c r="AG8" s="4">
        <f>$AF8/$Y6</f>
        <v>0.21385221154329997</v>
      </c>
      <c r="AU8" t="s">
        <v>33</v>
      </c>
      <c r="AV8">
        <v>110</v>
      </c>
      <c r="AW8">
        <v>1</v>
      </c>
      <c r="AX8">
        <v>1</v>
      </c>
      <c r="AY8">
        <f t="shared" si="0"/>
        <v>110</v>
      </c>
    </row>
    <row r="9" spans="2:51" ht="17.25" thickBot="1" x14ac:dyDescent="0.35">
      <c r="B9" s="170" t="s">
        <v>48</v>
      </c>
      <c r="C9" s="28" t="s">
        <v>45</v>
      </c>
      <c r="D9" s="28" t="s">
        <v>21</v>
      </c>
      <c r="E9" s="26">
        <f>230*1.1</f>
        <v>253.00000000000003</v>
      </c>
      <c r="H9" s="29"/>
      <c r="I9" s="29"/>
      <c r="AY9" s="1">
        <f>SUM(AY2:AY8)</f>
        <v>10756.4</v>
      </c>
    </row>
    <row r="10" spans="2:51" ht="17.25" customHeight="1" x14ac:dyDescent="0.3">
      <c r="B10" s="170"/>
      <c r="C10" s="28"/>
      <c r="D10" s="28"/>
      <c r="E10" s="26"/>
      <c r="G10" s="173" t="s">
        <v>47</v>
      </c>
      <c r="H10" s="23">
        <v>30</v>
      </c>
      <c r="I10" s="22">
        <v>3</v>
      </c>
      <c r="J10" s="15" t="s">
        <v>15</v>
      </c>
      <c r="K10" s="13">
        <v>16800</v>
      </c>
      <c r="L10" s="14" t="s">
        <v>13</v>
      </c>
      <c r="M10" s="13">
        <v>256</v>
      </c>
      <c r="N10" s="14" t="s">
        <v>12</v>
      </c>
      <c r="O10" s="13">
        <f>29*$I10+2</f>
        <v>89</v>
      </c>
      <c r="P10" s="12"/>
      <c r="Q10" s="166" t="s">
        <v>11</v>
      </c>
      <c r="R10" s="166"/>
      <c r="S10" s="167"/>
      <c r="U10" s="193" t="s">
        <v>46</v>
      </c>
      <c r="V10" s="31">
        <v>16</v>
      </c>
      <c r="W10" s="30">
        <v>4</v>
      </c>
      <c r="X10" s="15" t="s">
        <v>15</v>
      </c>
      <c r="Y10" s="13">
        <v>19000</v>
      </c>
      <c r="Z10" s="14" t="s">
        <v>13</v>
      </c>
      <c r="AA10" s="13">
        <v>244</v>
      </c>
      <c r="AB10" s="14" t="s">
        <v>12</v>
      </c>
      <c r="AC10" s="13">
        <f>37*$W10</f>
        <v>148</v>
      </c>
      <c r="AD10" s="12"/>
      <c r="AE10" s="190" t="s">
        <v>17</v>
      </c>
      <c r="AF10" s="191"/>
      <c r="AG10" s="192"/>
    </row>
    <row r="11" spans="2:51" ht="16.5" customHeight="1" x14ac:dyDescent="0.3">
      <c r="B11" s="170" t="s">
        <v>22</v>
      </c>
      <c r="C11" s="28" t="s">
        <v>45</v>
      </c>
      <c r="D11" s="28" t="s">
        <v>21</v>
      </c>
      <c r="E11" s="26">
        <f>225*1.1</f>
        <v>247.50000000000003</v>
      </c>
      <c r="G11" s="174"/>
      <c r="H11" s="11" t="s">
        <v>10</v>
      </c>
      <c r="I11" s="9" t="s">
        <v>9</v>
      </c>
      <c r="J11" s="9" t="s">
        <v>8</v>
      </c>
      <c r="K11" s="9" t="s">
        <v>7</v>
      </c>
      <c r="L11" s="9" t="s">
        <v>6</v>
      </c>
      <c r="M11" s="9" t="s">
        <v>5</v>
      </c>
      <c r="N11" s="9" t="s">
        <v>4</v>
      </c>
      <c r="O11" s="9" t="s">
        <v>3</v>
      </c>
      <c r="P11" s="10"/>
      <c r="Q11" s="9" t="s">
        <v>2</v>
      </c>
      <c r="R11" s="9" t="s">
        <v>1</v>
      </c>
      <c r="S11" s="8" t="s">
        <v>0</v>
      </c>
      <c r="U11" s="194"/>
      <c r="V11" s="11" t="s">
        <v>10</v>
      </c>
      <c r="W11" s="9" t="s">
        <v>9</v>
      </c>
      <c r="X11" s="9" t="s">
        <v>8</v>
      </c>
      <c r="Y11" s="9" t="s">
        <v>7</v>
      </c>
      <c r="Z11" s="9" t="s">
        <v>6</v>
      </c>
      <c r="AA11" s="9" t="s">
        <v>5</v>
      </c>
      <c r="AB11" s="9" t="s">
        <v>4</v>
      </c>
      <c r="AC11" s="9" t="s">
        <v>3</v>
      </c>
      <c r="AD11" s="10"/>
      <c r="AE11" s="9" t="s">
        <v>2</v>
      </c>
      <c r="AF11" s="9" t="s">
        <v>1</v>
      </c>
      <c r="AG11" s="8" t="s">
        <v>0</v>
      </c>
    </row>
    <row r="12" spans="2:51" ht="17.25" customHeight="1" thickBot="1" x14ac:dyDescent="0.35">
      <c r="B12" s="170"/>
      <c r="C12" s="28" t="s">
        <v>44</v>
      </c>
      <c r="D12" s="28" t="s">
        <v>21</v>
      </c>
      <c r="E12" s="26">
        <f>227*1.1</f>
        <v>249.70000000000002</v>
      </c>
      <c r="G12" s="174"/>
      <c r="H12" s="7">
        <f>$M10*$E$4</f>
        <v>330240</v>
      </c>
      <c r="I12" s="6">
        <f>$E$7*$H10*$O10</f>
        <v>23125.984251968508</v>
      </c>
      <c r="J12" s="5">
        <f>$E$9*$O10</f>
        <v>22517.000000000004</v>
      </c>
      <c r="K12" s="5">
        <f>$E$12*$O10/$I10</f>
        <v>7407.7666666666673</v>
      </c>
      <c r="L12" s="5">
        <f>($E$22)*$O10/$I10</f>
        <v>5933.333333333333</v>
      </c>
      <c r="M12" s="5">
        <f>H12+I12+J12+K12+L12</f>
        <v>389224.08425196848</v>
      </c>
      <c r="N12" s="5">
        <f>$K10*$O10/$I10</f>
        <v>498400</v>
      </c>
      <c r="O12" s="5">
        <f>N12-M12</f>
        <v>109175.91574803152</v>
      </c>
      <c r="P12" s="5"/>
      <c r="Q12" s="5">
        <f>M12/$O10*$I10</f>
        <v>13119.912952313545</v>
      </c>
      <c r="R12" s="5">
        <f>$K10-Q12-(K10*0.02)</f>
        <v>3344.0870476864548</v>
      </c>
      <c r="S12" s="4">
        <f>R12/$K10</f>
        <v>0.19905280045752707</v>
      </c>
      <c r="U12" s="194"/>
      <c r="V12" s="7">
        <f>$AA10*$E$4</f>
        <v>314760</v>
      </c>
      <c r="W12" s="6">
        <f>$E$8*$V10*$AC10/$W10</f>
        <v>29600</v>
      </c>
      <c r="X12" s="5">
        <f>$E$16*$AC10</f>
        <v>7326.0000000000009</v>
      </c>
      <c r="Y12" s="5">
        <f>$E$14*$AC10/$W10</f>
        <v>41310.5</v>
      </c>
      <c r="Z12" s="5">
        <f>($E$22-100)*$AC10/$W10</f>
        <v>3700</v>
      </c>
      <c r="AA12" s="5">
        <f>V12+W12+X12+Y12+Z12</f>
        <v>396696.5</v>
      </c>
      <c r="AB12" s="5">
        <f>$Y10*$AC10/$W10</f>
        <v>703000</v>
      </c>
      <c r="AC12" s="5">
        <f>AB12-AA12</f>
        <v>306303.5</v>
      </c>
      <c r="AD12" s="5"/>
      <c r="AE12" s="5">
        <f>$AA12/$AC10*$W10</f>
        <v>10721.527027027027</v>
      </c>
      <c r="AF12" s="5">
        <f>$Y10-$AE12-($Y10*0.02)</f>
        <v>7898.4729729729734</v>
      </c>
      <c r="AG12" s="4">
        <f>$AF12/$Y10</f>
        <v>0.41570910384068283</v>
      </c>
    </row>
    <row r="13" spans="2:51" ht="17.25" thickBot="1" x14ac:dyDescent="0.35">
      <c r="B13" s="170"/>
      <c r="C13" s="28" t="s">
        <v>43</v>
      </c>
      <c r="D13" s="28" t="s">
        <v>21</v>
      </c>
      <c r="E13" s="26">
        <f>232*1.1</f>
        <v>255.20000000000002</v>
      </c>
      <c r="H13" s="29"/>
      <c r="I13" s="29"/>
    </row>
    <row r="14" spans="2:51" ht="17.25" customHeight="1" x14ac:dyDescent="0.3">
      <c r="B14" s="177" t="s">
        <v>42</v>
      </c>
      <c r="C14" s="28" t="s">
        <v>41</v>
      </c>
      <c r="D14" s="28" t="s">
        <v>21</v>
      </c>
      <c r="E14" s="26">
        <f>1015*1.1</f>
        <v>1116.5</v>
      </c>
      <c r="G14" s="175" t="s">
        <v>40</v>
      </c>
      <c r="H14" s="33">
        <v>30</v>
      </c>
      <c r="I14" s="32">
        <v>3</v>
      </c>
      <c r="J14" s="15" t="s">
        <v>15</v>
      </c>
      <c r="K14" s="13">
        <v>19300</v>
      </c>
      <c r="L14" s="14" t="s">
        <v>13</v>
      </c>
      <c r="M14" s="13">
        <v>263</v>
      </c>
      <c r="N14" s="14" t="s">
        <v>12</v>
      </c>
      <c r="O14" s="13">
        <f>27*$I14+1</f>
        <v>82</v>
      </c>
      <c r="P14" s="12"/>
      <c r="Q14" s="166" t="s">
        <v>11</v>
      </c>
      <c r="R14" s="166"/>
      <c r="S14" s="167"/>
      <c r="U14" s="193" t="s">
        <v>39</v>
      </c>
      <c r="V14" s="31">
        <v>16</v>
      </c>
      <c r="W14" s="30">
        <v>4</v>
      </c>
      <c r="X14" s="15" t="s">
        <v>15</v>
      </c>
      <c r="Y14" s="13">
        <v>25500</v>
      </c>
      <c r="Z14" s="14" t="s">
        <v>13</v>
      </c>
      <c r="AA14" s="13">
        <v>320</v>
      </c>
      <c r="AB14" s="14" t="s">
        <v>12</v>
      </c>
      <c r="AC14" s="13">
        <f>22*$W14+1</f>
        <v>89</v>
      </c>
      <c r="AD14" s="12"/>
      <c r="AE14" s="190" t="s">
        <v>17</v>
      </c>
      <c r="AF14" s="191"/>
      <c r="AG14" s="192"/>
    </row>
    <row r="15" spans="2:51" ht="16.5" customHeight="1" x14ac:dyDescent="0.3">
      <c r="B15" s="170"/>
      <c r="C15" s="28" t="s">
        <v>38</v>
      </c>
      <c r="D15" s="28" t="s">
        <v>21</v>
      </c>
      <c r="E15" s="26">
        <f>1060*1.1</f>
        <v>1166</v>
      </c>
      <c r="G15" s="176"/>
      <c r="H15" s="11" t="s">
        <v>10</v>
      </c>
      <c r="I15" s="9" t="s">
        <v>9</v>
      </c>
      <c r="J15" s="9" t="s">
        <v>8</v>
      </c>
      <c r="K15" s="9" t="s">
        <v>7</v>
      </c>
      <c r="L15" s="9" t="s">
        <v>6</v>
      </c>
      <c r="M15" s="9" t="s">
        <v>5</v>
      </c>
      <c r="N15" s="9" t="s">
        <v>4</v>
      </c>
      <c r="O15" s="9" t="s">
        <v>3</v>
      </c>
      <c r="P15" s="10"/>
      <c r="Q15" s="9" t="s">
        <v>2</v>
      </c>
      <c r="R15" s="9" t="s">
        <v>1</v>
      </c>
      <c r="S15" s="8" t="s">
        <v>0</v>
      </c>
      <c r="U15" s="194"/>
      <c r="V15" s="11" t="s">
        <v>10</v>
      </c>
      <c r="W15" s="9" t="s">
        <v>9</v>
      </c>
      <c r="X15" s="9" t="s">
        <v>8</v>
      </c>
      <c r="Y15" s="9" t="s">
        <v>7</v>
      </c>
      <c r="Z15" s="9" t="s">
        <v>6</v>
      </c>
      <c r="AA15" s="9" t="s">
        <v>5</v>
      </c>
      <c r="AB15" s="9" t="s">
        <v>4</v>
      </c>
      <c r="AC15" s="9" t="s">
        <v>3</v>
      </c>
      <c r="AD15" s="10"/>
      <c r="AE15" s="9" t="s">
        <v>2</v>
      </c>
      <c r="AF15" s="9" t="s">
        <v>1</v>
      </c>
      <c r="AG15" s="8" t="s">
        <v>0</v>
      </c>
    </row>
    <row r="16" spans="2:51" ht="17.25" customHeight="1" thickBot="1" x14ac:dyDescent="0.35">
      <c r="B16" s="28" t="s">
        <v>37</v>
      </c>
      <c r="C16" s="28" t="s">
        <v>36</v>
      </c>
      <c r="D16" s="28" t="s">
        <v>21</v>
      </c>
      <c r="E16" s="26">
        <f>45*1.1</f>
        <v>49.500000000000007</v>
      </c>
      <c r="G16" s="176"/>
      <c r="H16" s="7">
        <f>$M14*$E$5</f>
        <v>357680</v>
      </c>
      <c r="I16" s="6">
        <f>$E$7*$H14*$O14</f>
        <v>21307.086614173233</v>
      </c>
      <c r="J16" s="5">
        <f>$E$9*$O14</f>
        <v>20746.000000000004</v>
      </c>
      <c r="K16" s="5">
        <f>$E$12*$O14/$I14</f>
        <v>6825.1333333333341</v>
      </c>
      <c r="L16" s="5">
        <f>($E$22)*$O14/$I14</f>
        <v>5466.666666666667</v>
      </c>
      <c r="M16" s="5">
        <f>H16+I16+J16+K16+L16</f>
        <v>412024.8866141733</v>
      </c>
      <c r="N16" s="5">
        <f>$K14*$O14/$I14</f>
        <v>527533.33333333337</v>
      </c>
      <c r="O16" s="5">
        <f>N16-M16</f>
        <v>115508.44671916007</v>
      </c>
      <c r="P16" s="5"/>
      <c r="Q16" s="5">
        <f>M16/$O14*$I14</f>
        <v>15074.081217591705</v>
      </c>
      <c r="R16" s="5">
        <f>$K14-Q16-(K14*0.02)</f>
        <v>3839.9187824082946</v>
      </c>
      <c r="S16" s="4">
        <f>R16/$K14</f>
        <v>0.19895952240457485</v>
      </c>
      <c r="U16" s="194"/>
      <c r="V16" s="7">
        <f>$AA14*$E$4</f>
        <v>412800</v>
      </c>
      <c r="W16" s="6">
        <f>$E$8*$AC14*$W14</f>
        <v>17800</v>
      </c>
      <c r="X16" s="5">
        <f>$E$16*$AC14</f>
        <v>4405.5000000000009</v>
      </c>
      <c r="Y16" s="5">
        <f>$E$14*$AC14/$W14</f>
        <v>24842.125</v>
      </c>
      <c r="Z16" s="5">
        <f>($E$22-200)*$AC14/$W14</f>
        <v>0</v>
      </c>
      <c r="AA16" s="5">
        <f>V16+W16+X16+Y16+Z16</f>
        <v>459847.625</v>
      </c>
      <c r="AB16" s="5">
        <f>$Y14*$AC14/$W14</f>
        <v>567375</v>
      </c>
      <c r="AC16" s="5">
        <f>AB16-AA16</f>
        <v>107527.375</v>
      </c>
      <c r="AD16" s="5"/>
      <c r="AE16" s="5">
        <f>$AA16/$AC14*$W14</f>
        <v>20667.308988764045</v>
      </c>
      <c r="AF16" s="5">
        <f>$Y14-$AE16-($Y14*0.02)</f>
        <v>4322.6910112359546</v>
      </c>
      <c r="AG16" s="4">
        <f>$AF16/$Y14</f>
        <v>0.16951729455827272</v>
      </c>
    </row>
    <row r="17" spans="2:33" ht="17.25" thickBot="1" x14ac:dyDescent="0.35">
      <c r="B17" s="28" t="s">
        <v>35</v>
      </c>
      <c r="C17" s="28" t="s">
        <v>34</v>
      </c>
      <c r="D17" s="28" t="s">
        <v>26</v>
      </c>
      <c r="E17" s="26">
        <f>45*1.2</f>
        <v>54</v>
      </c>
      <c r="H17" s="29"/>
      <c r="I17" s="29"/>
    </row>
    <row r="18" spans="2:33" ht="17.25" customHeight="1" x14ac:dyDescent="0.3">
      <c r="B18" s="28" t="s">
        <v>33</v>
      </c>
      <c r="C18" s="27" t="s">
        <v>25</v>
      </c>
      <c r="D18" s="27" t="s">
        <v>25</v>
      </c>
      <c r="E18" s="26">
        <v>70000</v>
      </c>
      <c r="G18" s="164" t="s">
        <v>32</v>
      </c>
      <c r="H18" s="108">
        <v>30</v>
      </c>
      <c r="I18" s="109">
        <v>3</v>
      </c>
      <c r="J18" s="15" t="s">
        <v>15</v>
      </c>
      <c r="K18" s="13">
        <v>20000</v>
      </c>
      <c r="L18" s="14" t="s">
        <v>13</v>
      </c>
      <c r="M18" s="13">
        <v>256</v>
      </c>
      <c r="N18" s="14" t="s">
        <v>12</v>
      </c>
      <c r="O18" s="13">
        <f>24*$I18+2</f>
        <v>74</v>
      </c>
      <c r="P18" s="12"/>
      <c r="Q18" s="166" t="s">
        <v>11</v>
      </c>
      <c r="R18" s="166"/>
      <c r="S18" s="167"/>
      <c r="U18" s="181" t="s">
        <v>31</v>
      </c>
      <c r="V18" s="19">
        <v>16</v>
      </c>
      <c r="W18" s="18">
        <v>4</v>
      </c>
      <c r="X18" s="15" t="s">
        <v>15</v>
      </c>
      <c r="Y18" s="13">
        <v>15200</v>
      </c>
      <c r="Z18" s="14" t="s">
        <v>13</v>
      </c>
      <c r="AA18" s="13">
        <v>304</v>
      </c>
      <c r="AB18" s="14" t="s">
        <v>12</v>
      </c>
      <c r="AC18" s="13">
        <f>44*$W18</f>
        <v>176</v>
      </c>
      <c r="AD18" s="12"/>
      <c r="AE18" s="190" t="s">
        <v>17</v>
      </c>
      <c r="AF18" s="191"/>
      <c r="AG18" s="192"/>
    </row>
    <row r="19" spans="2:33" ht="16.5" customHeight="1" x14ac:dyDescent="0.3">
      <c r="B19" s="28" t="s">
        <v>30</v>
      </c>
      <c r="C19" s="27" t="s">
        <v>25</v>
      </c>
      <c r="D19" s="27" t="s">
        <v>21</v>
      </c>
      <c r="E19" s="26">
        <f>95*1.1</f>
        <v>104.50000000000001</v>
      </c>
      <c r="G19" s="165"/>
      <c r="H19" s="11" t="s">
        <v>10</v>
      </c>
      <c r="I19" s="9" t="s">
        <v>9</v>
      </c>
      <c r="J19" s="9" t="s">
        <v>8</v>
      </c>
      <c r="K19" s="9" t="s">
        <v>7</v>
      </c>
      <c r="L19" s="9" t="s">
        <v>6</v>
      </c>
      <c r="M19" s="9" t="s">
        <v>5</v>
      </c>
      <c r="N19" s="9" t="s">
        <v>4</v>
      </c>
      <c r="O19" s="9" t="s">
        <v>3</v>
      </c>
      <c r="P19" s="10"/>
      <c r="Q19" s="9" t="s">
        <v>2</v>
      </c>
      <c r="R19" s="9" t="s">
        <v>1</v>
      </c>
      <c r="S19" s="8" t="s">
        <v>0</v>
      </c>
      <c r="U19" s="189"/>
      <c r="V19" s="11" t="s">
        <v>10</v>
      </c>
      <c r="W19" s="9" t="s">
        <v>9</v>
      </c>
      <c r="X19" s="9" t="s">
        <v>8</v>
      </c>
      <c r="Y19" s="9" t="s">
        <v>7</v>
      </c>
      <c r="Z19" s="9" t="s">
        <v>6</v>
      </c>
      <c r="AA19" s="9" t="s">
        <v>5</v>
      </c>
      <c r="AB19" s="9" t="s">
        <v>4</v>
      </c>
      <c r="AC19" s="9" t="s">
        <v>3</v>
      </c>
      <c r="AD19" s="10"/>
      <c r="AE19" s="9" t="s">
        <v>2</v>
      </c>
      <c r="AF19" s="9" t="s">
        <v>1</v>
      </c>
      <c r="AG19" s="8" t="s">
        <v>0</v>
      </c>
    </row>
    <row r="20" spans="2:33" ht="17.25" customHeight="1" thickBot="1" x14ac:dyDescent="0.35">
      <c r="B20" s="28" t="s">
        <v>29</v>
      </c>
      <c r="C20" s="27" t="s">
        <v>25</v>
      </c>
      <c r="D20" s="27" t="s">
        <v>21</v>
      </c>
      <c r="E20" s="26">
        <f>200*1.1</f>
        <v>220.00000000000003</v>
      </c>
      <c r="G20" s="165"/>
      <c r="H20" s="7">
        <f>$M18*$E$4</f>
        <v>330240</v>
      </c>
      <c r="I20" s="6">
        <f>$E$7*$H18*$O18</f>
        <v>19228.346456692918</v>
      </c>
      <c r="J20" s="5">
        <f>$E$9*$O18</f>
        <v>18722.000000000004</v>
      </c>
      <c r="K20" s="5">
        <f>$E$13*$O18/$I18</f>
        <v>6294.9333333333343</v>
      </c>
      <c r="L20" s="5">
        <f>($E$22+50)*$O18/$I18</f>
        <v>6166.666666666667</v>
      </c>
      <c r="M20" s="5">
        <f>H20+I20+J20+K20+L20</f>
        <v>380651.94645669294</v>
      </c>
      <c r="N20" s="5">
        <f>$K18*$O18/$I18</f>
        <v>493333.33333333331</v>
      </c>
      <c r="O20" s="5">
        <f>N20-M20</f>
        <v>112681.38687664038</v>
      </c>
      <c r="P20" s="5"/>
      <c r="Q20" s="5">
        <f>M20/$O18*$I18</f>
        <v>15431.835667163228</v>
      </c>
      <c r="R20" s="5">
        <f>$K18-Q20-(K18*0.02)</f>
        <v>4168.1643328367718</v>
      </c>
      <c r="S20" s="4">
        <f>R20/$K18</f>
        <v>0.20840821664183859</v>
      </c>
      <c r="U20" s="189"/>
      <c r="V20" s="7">
        <f>$AA18*$E$5</f>
        <v>413440</v>
      </c>
      <c r="W20" s="6">
        <f>$E$8*$V18*$AC18/$W18</f>
        <v>35200</v>
      </c>
      <c r="X20" s="5">
        <f>$E$16*$AC18</f>
        <v>8712.0000000000018</v>
      </c>
      <c r="Y20" s="5">
        <f>$E$15*$AC18/$W18</f>
        <v>51304</v>
      </c>
      <c r="Z20" s="5">
        <f>($E$22-100)*$AC18/$W18</f>
        <v>4400</v>
      </c>
      <c r="AA20" s="5">
        <f>V20+W20+X20+Y20+Z20</f>
        <v>513056</v>
      </c>
      <c r="AB20" s="5">
        <f>$Y18*$AC18/$W18</f>
        <v>668800</v>
      </c>
      <c r="AC20" s="5">
        <f>AB20-AA20</f>
        <v>155744</v>
      </c>
      <c r="AD20" s="5"/>
      <c r="AE20" s="5">
        <f>$AA20/$AC18*$W18</f>
        <v>11660.363636363636</v>
      </c>
      <c r="AF20" s="5">
        <f>$Y18-$AE20-($Y18*0.02)</f>
        <v>3235.636363636364</v>
      </c>
      <c r="AG20" s="4">
        <f>$AF20/$Y18</f>
        <v>0.21287081339712921</v>
      </c>
    </row>
    <row r="21" spans="2:33" ht="17.25" thickBot="1" x14ac:dyDescent="0.35">
      <c r="B21" s="28" t="s">
        <v>28</v>
      </c>
      <c r="C21" s="27" t="s">
        <v>27</v>
      </c>
      <c r="D21" s="27" t="s">
        <v>26</v>
      </c>
      <c r="E21" s="26">
        <f>2550/120</f>
        <v>21.25</v>
      </c>
      <c r="H21" s="29"/>
      <c r="I21" s="29"/>
    </row>
    <row r="22" spans="2:33" ht="17.25" customHeight="1" x14ac:dyDescent="0.3">
      <c r="B22" s="28" t="s">
        <v>6</v>
      </c>
      <c r="C22" s="27" t="s">
        <v>25</v>
      </c>
      <c r="D22" s="27" t="s">
        <v>25</v>
      </c>
      <c r="E22" s="26">
        <v>200</v>
      </c>
      <c r="G22" s="183" t="s">
        <v>24</v>
      </c>
      <c r="H22" s="25">
        <v>30</v>
      </c>
      <c r="I22" s="24">
        <v>3</v>
      </c>
      <c r="J22" s="15" t="s">
        <v>15</v>
      </c>
      <c r="K22" s="13">
        <v>20600</v>
      </c>
      <c r="L22" s="14" t="s">
        <v>13</v>
      </c>
      <c r="M22" s="13">
        <v>259</v>
      </c>
      <c r="N22" s="14" t="s">
        <v>12</v>
      </c>
      <c r="O22" s="13">
        <f>23*$I22+2</f>
        <v>71</v>
      </c>
      <c r="P22" s="12"/>
      <c r="Q22" s="166" t="s">
        <v>11</v>
      </c>
      <c r="R22" s="166"/>
      <c r="S22" s="167"/>
      <c r="U22" s="181" t="s">
        <v>23</v>
      </c>
      <c r="V22" s="19">
        <v>16</v>
      </c>
      <c r="W22" s="18">
        <v>4</v>
      </c>
      <c r="X22" s="15" t="s">
        <v>15</v>
      </c>
      <c r="Y22" s="13">
        <v>17500</v>
      </c>
      <c r="Z22" s="14" t="s">
        <v>13</v>
      </c>
      <c r="AA22" s="13">
        <v>244</v>
      </c>
      <c r="AB22" s="14" t="s">
        <v>12</v>
      </c>
      <c r="AC22" s="13">
        <f>29*$W22+3</f>
        <v>119</v>
      </c>
      <c r="AD22" s="12"/>
      <c r="AE22" s="190" t="s">
        <v>17</v>
      </c>
      <c r="AF22" s="191"/>
      <c r="AG22" s="192"/>
    </row>
    <row r="23" spans="2:33" ht="16.5" customHeight="1" x14ac:dyDescent="0.3">
      <c r="B23" s="1" t="s">
        <v>22</v>
      </c>
      <c r="C23" s="1">
        <v>84</v>
      </c>
      <c r="D23" s="1" t="s">
        <v>21</v>
      </c>
      <c r="E23" s="3">
        <f>240*1.1</f>
        <v>264</v>
      </c>
      <c r="G23" s="184"/>
      <c r="H23" s="11" t="s">
        <v>10</v>
      </c>
      <c r="I23" s="9" t="s">
        <v>9</v>
      </c>
      <c r="J23" s="9" t="s">
        <v>8</v>
      </c>
      <c r="K23" s="9" t="s">
        <v>7</v>
      </c>
      <c r="L23" s="9" t="s">
        <v>6</v>
      </c>
      <c r="M23" s="9" t="s">
        <v>5</v>
      </c>
      <c r="N23" s="9" t="s">
        <v>4</v>
      </c>
      <c r="O23" s="9" t="s">
        <v>3</v>
      </c>
      <c r="P23" s="10"/>
      <c r="Q23" s="9" t="s">
        <v>2</v>
      </c>
      <c r="R23" s="9" t="s">
        <v>1</v>
      </c>
      <c r="S23" s="8" t="s">
        <v>0</v>
      </c>
      <c r="U23" s="189"/>
      <c r="V23" s="11" t="s">
        <v>10</v>
      </c>
      <c r="W23" s="9" t="s">
        <v>9</v>
      </c>
      <c r="X23" s="9" t="s">
        <v>8</v>
      </c>
      <c r="Y23" s="9" t="s">
        <v>7</v>
      </c>
      <c r="Z23" s="9" t="s">
        <v>6</v>
      </c>
      <c r="AA23" s="9" t="s">
        <v>5</v>
      </c>
      <c r="AB23" s="9" t="s">
        <v>4</v>
      </c>
      <c r="AC23" s="9" t="s">
        <v>3</v>
      </c>
      <c r="AD23" s="10"/>
      <c r="AE23" s="9" t="s">
        <v>2</v>
      </c>
      <c r="AF23" s="9" t="s">
        <v>1</v>
      </c>
      <c r="AG23" s="8" t="s">
        <v>0</v>
      </c>
    </row>
    <row r="24" spans="2:33" ht="17.25" customHeight="1" thickBot="1" x14ac:dyDescent="0.35">
      <c r="G24" s="184"/>
      <c r="H24" s="7">
        <f>$M22*$E$4</f>
        <v>334110</v>
      </c>
      <c r="I24" s="6">
        <f>$E$7*$H22*$O22</f>
        <v>18448.818897637797</v>
      </c>
      <c r="J24" s="5">
        <f>$E$9*$O22</f>
        <v>17963.000000000004</v>
      </c>
      <c r="K24" s="5">
        <f>$E$13*$O22/$I22</f>
        <v>6039.7333333333336</v>
      </c>
      <c r="L24" s="5">
        <f>($E$22)*$O22/$I22</f>
        <v>4733.333333333333</v>
      </c>
      <c r="M24" s="5">
        <f>H24+I24+J24+K24+L24</f>
        <v>381294.88556430442</v>
      </c>
      <c r="N24" s="5">
        <f>$K22*$O22/$I22</f>
        <v>487533.33333333331</v>
      </c>
      <c r="O24" s="5">
        <f>N24-M24</f>
        <v>106238.44776902889</v>
      </c>
      <c r="P24" s="5"/>
      <c r="Q24" s="5">
        <f>M24/$O22*$I22</f>
        <v>16111.051502717088</v>
      </c>
      <c r="R24" s="5">
        <f>$K22-Q24-(K22*0.02)</f>
        <v>4076.9484972829123</v>
      </c>
      <c r="S24" s="4">
        <f>R24/$K22</f>
        <v>0.19791012122732585</v>
      </c>
      <c r="U24" s="189"/>
      <c r="V24" s="7">
        <f>$AA22*$E$5</f>
        <v>331840</v>
      </c>
      <c r="W24" s="6">
        <f>$E$8*$V22*$AC22/$W22</f>
        <v>23800</v>
      </c>
      <c r="X24" s="5">
        <f>$E$16*$AC22</f>
        <v>5890.5000000000009</v>
      </c>
      <c r="Y24" s="5">
        <f>$E$15*$AC22/$W22</f>
        <v>34688.5</v>
      </c>
      <c r="Z24" s="5">
        <f>($E$22-100)*$AC22/$W22</f>
        <v>2975</v>
      </c>
      <c r="AA24" s="5">
        <f>V24+W24+X24+Y24+Z24</f>
        <v>399194</v>
      </c>
      <c r="AB24" s="5">
        <f>$Y22*$AC22/$W22</f>
        <v>520625</v>
      </c>
      <c r="AC24" s="5">
        <f>AB24-AA24</f>
        <v>121431</v>
      </c>
      <c r="AD24" s="5"/>
      <c r="AE24" s="5">
        <f>$AA24/$AC22*$W22</f>
        <v>13418.285714285714</v>
      </c>
      <c r="AF24" s="5">
        <f>$Y22-$AE24-($Y22*0.02)</f>
        <v>3731.7142857142862</v>
      </c>
      <c r="AG24" s="4">
        <f>$AF24/$Y22</f>
        <v>0.21324081632653064</v>
      </c>
    </row>
    <row r="25" spans="2:33" ht="17.25" thickBot="1" x14ac:dyDescent="0.35"/>
    <row r="26" spans="2:33" ht="17.25" customHeight="1" x14ac:dyDescent="0.3">
      <c r="G26" s="173" t="s">
        <v>19</v>
      </c>
      <c r="H26" s="23">
        <v>10</v>
      </c>
      <c r="I26" s="22">
        <v>10</v>
      </c>
      <c r="J26" s="15" t="s">
        <v>15</v>
      </c>
      <c r="K26" s="13">
        <v>23000</v>
      </c>
      <c r="L26" s="14" t="s">
        <v>13</v>
      </c>
      <c r="M26" s="13">
        <v>255</v>
      </c>
      <c r="N26" s="14" t="s">
        <v>12</v>
      </c>
      <c r="O26" s="13">
        <f>22*$I26+2</f>
        <v>222</v>
      </c>
      <c r="P26" s="12"/>
      <c r="Q26" s="166" t="s">
        <v>17</v>
      </c>
      <c r="R26" s="166"/>
      <c r="S26" s="167"/>
      <c r="U26" s="181" t="s">
        <v>20</v>
      </c>
      <c r="V26" s="19">
        <v>16</v>
      </c>
      <c r="W26" s="18">
        <v>4</v>
      </c>
      <c r="X26" s="15" t="s">
        <v>15</v>
      </c>
      <c r="Y26" s="13">
        <v>20000</v>
      </c>
      <c r="Z26" s="14" t="s">
        <v>13</v>
      </c>
      <c r="AA26" s="13">
        <v>244</v>
      </c>
      <c r="AB26" s="14" t="s">
        <v>12</v>
      </c>
      <c r="AC26" s="13">
        <f>37*$W26</f>
        <v>148</v>
      </c>
      <c r="AD26" s="12"/>
      <c r="AE26" s="166" t="s">
        <v>17</v>
      </c>
      <c r="AF26" s="166"/>
      <c r="AG26" s="167"/>
    </row>
    <row r="27" spans="2:33" ht="16.5" customHeight="1" x14ac:dyDescent="0.3">
      <c r="G27" s="174"/>
      <c r="H27" s="11" t="s">
        <v>10</v>
      </c>
      <c r="I27" s="9" t="s">
        <v>9</v>
      </c>
      <c r="J27" s="9" t="s">
        <v>8</v>
      </c>
      <c r="K27" s="9" t="s">
        <v>7</v>
      </c>
      <c r="L27" s="9" t="s">
        <v>6</v>
      </c>
      <c r="M27" s="9" t="s">
        <v>5</v>
      </c>
      <c r="N27" s="9" t="s">
        <v>4</v>
      </c>
      <c r="O27" s="9" t="s">
        <v>3</v>
      </c>
      <c r="P27" s="10"/>
      <c r="Q27" s="9" t="s">
        <v>2</v>
      </c>
      <c r="R27" s="9" t="s">
        <v>1</v>
      </c>
      <c r="S27" s="8" t="s">
        <v>0</v>
      </c>
      <c r="U27" s="182"/>
      <c r="V27" s="11" t="s">
        <v>10</v>
      </c>
      <c r="W27" s="9" t="s">
        <v>9</v>
      </c>
      <c r="X27" s="9" t="s">
        <v>8</v>
      </c>
      <c r="Y27" s="9" t="s">
        <v>7</v>
      </c>
      <c r="Z27" s="9" t="s">
        <v>6</v>
      </c>
      <c r="AA27" s="9" t="s">
        <v>5</v>
      </c>
      <c r="AB27" s="9" t="s">
        <v>4</v>
      </c>
      <c r="AC27" s="9" t="s">
        <v>3</v>
      </c>
      <c r="AD27" s="10"/>
      <c r="AE27" s="9" t="s">
        <v>2</v>
      </c>
      <c r="AF27" s="9" t="s">
        <v>1</v>
      </c>
      <c r="AG27" s="8" t="s">
        <v>0</v>
      </c>
    </row>
    <row r="28" spans="2:33" ht="17.25" customHeight="1" thickBot="1" x14ac:dyDescent="0.35">
      <c r="G28" s="174"/>
      <c r="H28" s="7">
        <f>$M26*$E$4</f>
        <v>328950</v>
      </c>
      <c r="I28" s="6">
        <f>$E$7*$H26*$O26</f>
        <v>19228.346456692914</v>
      </c>
      <c r="J28" s="5">
        <f>$E$19*$O26</f>
        <v>23199.000000000004</v>
      </c>
      <c r="K28" s="5">
        <f>$E$17*0.12*$I26*$O26</f>
        <v>14385.599999999999</v>
      </c>
      <c r="L28" s="5">
        <f>($E$22)*$O26/$I26</f>
        <v>4440</v>
      </c>
      <c r="M28" s="5">
        <f>H28+I28+J28+K28+L28</f>
        <v>390202.94645669288</v>
      </c>
      <c r="N28" s="5">
        <f>$K26*$O26/$I26</f>
        <v>510600</v>
      </c>
      <c r="O28" s="5">
        <f>N28-M28</f>
        <v>120397.05354330712</v>
      </c>
      <c r="P28" s="5"/>
      <c r="Q28" s="5">
        <f>$M28/$O26*$I26</f>
        <v>17576.709299851031</v>
      </c>
      <c r="R28" s="5">
        <f>$K26-$Q28-($K26*0.02)</f>
        <v>4963.2907001489693</v>
      </c>
      <c r="S28" s="4">
        <f>$R28/$K26</f>
        <v>0.21579524783256387</v>
      </c>
      <c r="U28" s="182"/>
      <c r="V28" s="7">
        <f>$AA26*$E$4</f>
        <v>314760</v>
      </c>
      <c r="W28" s="6">
        <f>$E$8*$V26*$AC26/$W26</f>
        <v>29600</v>
      </c>
      <c r="X28" s="5">
        <f>$E$16*$AC26</f>
        <v>7326.0000000000009</v>
      </c>
      <c r="Y28" s="5">
        <f>$E$14*$AC26/$W26</f>
        <v>41310.5</v>
      </c>
      <c r="Z28" s="5">
        <f>($E$22-100)*$AC26/$W26</f>
        <v>3700</v>
      </c>
      <c r="AA28" s="5">
        <f>V28+W28+X28+Y28+Z28</f>
        <v>396696.5</v>
      </c>
      <c r="AB28" s="5">
        <f>$Y26*$AC26/$W26</f>
        <v>740000</v>
      </c>
      <c r="AC28" s="5">
        <f>AB28-AA28</f>
        <v>343303.5</v>
      </c>
      <c r="AD28" s="5"/>
      <c r="AE28" s="5">
        <f>$AA28/$AC26*$W26</f>
        <v>10721.527027027027</v>
      </c>
      <c r="AF28" s="5">
        <f>$Y26-$AE28-($Y26*0.02)</f>
        <v>8878.4729729729734</v>
      </c>
      <c r="AG28" s="4">
        <f>$AF28/$Y26</f>
        <v>0.44392364864864869</v>
      </c>
    </row>
    <row r="29" spans="2:33" ht="17.25" thickBot="1" x14ac:dyDescent="0.35"/>
    <row r="30" spans="2:33" ht="17.25" customHeight="1" x14ac:dyDescent="0.3">
      <c r="G30" s="185" t="s">
        <v>19</v>
      </c>
      <c r="H30" s="21">
        <v>24</v>
      </c>
      <c r="I30" s="20">
        <v>4</v>
      </c>
      <c r="J30" s="15" t="s">
        <v>15</v>
      </c>
      <c r="K30" s="13">
        <v>19800</v>
      </c>
      <c r="L30" s="14" t="s">
        <v>13</v>
      </c>
      <c r="M30" s="13">
        <v>270</v>
      </c>
      <c r="N30" s="14" t="s">
        <v>12</v>
      </c>
      <c r="O30" s="13">
        <f>26*$I30+1</f>
        <v>105</v>
      </c>
      <c r="P30" s="12"/>
      <c r="Q30" s="166" t="s">
        <v>17</v>
      </c>
      <c r="R30" s="166"/>
      <c r="S30" s="167"/>
      <c r="U30" s="181" t="s">
        <v>18</v>
      </c>
      <c r="V30" s="19">
        <v>16</v>
      </c>
      <c r="W30" s="18">
        <v>4</v>
      </c>
      <c r="X30" s="15" t="s">
        <v>15</v>
      </c>
      <c r="Y30" s="13">
        <v>28000</v>
      </c>
      <c r="Z30" s="14" t="s">
        <v>13</v>
      </c>
      <c r="AA30" s="13">
        <v>244</v>
      </c>
      <c r="AB30" s="14" t="s">
        <v>12</v>
      </c>
      <c r="AC30" s="13">
        <f>37*$W30</f>
        <v>148</v>
      </c>
      <c r="AD30" s="12"/>
      <c r="AE30" s="166" t="s">
        <v>17</v>
      </c>
      <c r="AF30" s="166"/>
      <c r="AG30" s="167"/>
    </row>
    <row r="31" spans="2:33" ht="16.5" customHeight="1" x14ac:dyDescent="0.3">
      <c r="G31" s="186"/>
      <c r="H31" s="11" t="s">
        <v>10</v>
      </c>
      <c r="I31" s="9" t="s">
        <v>9</v>
      </c>
      <c r="J31" s="9" t="s">
        <v>8</v>
      </c>
      <c r="K31" s="9" t="s">
        <v>7</v>
      </c>
      <c r="L31" s="9" t="s">
        <v>6</v>
      </c>
      <c r="M31" s="9" t="s">
        <v>5</v>
      </c>
      <c r="N31" s="9" t="s">
        <v>4</v>
      </c>
      <c r="O31" s="9" t="s">
        <v>3</v>
      </c>
      <c r="P31" s="10"/>
      <c r="Q31" s="9" t="s">
        <v>2</v>
      </c>
      <c r="R31" s="9" t="s">
        <v>1</v>
      </c>
      <c r="S31" s="8" t="s">
        <v>0</v>
      </c>
      <c r="U31" s="182"/>
      <c r="V31" s="11" t="s">
        <v>10</v>
      </c>
      <c r="W31" s="9" t="s">
        <v>9</v>
      </c>
      <c r="X31" s="9" t="s">
        <v>8</v>
      </c>
      <c r="Y31" s="9" t="s">
        <v>7</v>
      </c>
      <c r="Z31" s="9" t="s">
        <v>6</v>
      </c>
      <c r="AA31" s="9" t="s">
        <v>5</v>
      </c>
      <c r="AB31" s="9" t="s">
        <v>4</v>
      </c>
      <c r="AC31" s="9" t="s">
        <v>3</v>
      </c>
      <c r="AD31" s="10"/>
      <c r="AE31" s="9" t="s">
        <v>2</v>
      </c>
      <c r="AF31" s="9" t="s">
        <v>1</v>
      </c>
      <c r="AG31" s="8" t="s">
        <v>0</v>
      </c>
    </row>
    <row r="32" spans="2:33" ht="17.25" customHeight="1" thickBot="1" x14ac:dyDescent="0.35">
      <c r="G32" s="186"/>
      <c r="H32" s="7">
        <f>$M30*$E$4</f>
        <v>348300</v>
      </c>
      <c r="I32" s="6">
        <f>$E$7*$H30*$O30</f>
        <v>21826.77165354331</v>
      </c>
      <c r="J32" s="5">
        <f>$E$20*$O30</f>
        <v>23100.000000000004</v>
      </c>
      <c r="K32" s="5">
        <f>$E$13*$O30/$I30</f>
        <v>6699</v>
      </c>
      <c r="L32" s="5">
        <f>($E$22)*$O30/$I30</f>
        <v>5250</v>
      </c>
      <c r="M32" s="5">
        <f>H32+I32+J32+K32+L32</f>
        <v>405175.77165354328</v>
      </c>
      <c r="N32" s="5">
        <f>$K30*$O30/$I30</f>
        <v>519750</v>
      </c>
      <c r="O32" s="5">
        <f>N32-M32</f>
        <v>114574.22834645672</v>
      </c>
      <c r="P32" s="5"/>
      <c r="Q32" s="5">
        <f>$M32/$O30*$I30</f>
        <v>15435.267491563554</v>
      </c>
      <c r="R32" s="5">
        <f>$K30-$Q32-($K30*0.02)</f>
        <v>3968.7325084364456</v>
      </c>
      <c r="S32" s="4">
        <f>$R32/$K30</f>
        <v>0.20044103577961847</v>
      </c>
      <c r="U32" s="182"/>
      <c r="V32" s="7">
        <f>$AA30*$E$4</f>
        <v>314760</v>
      </c>
      <c r="W32" s="6">
        <f>$E$8*$V30*$AC30/$W30</f>
        <v>29600</v>
      </c>
      <c r="X32" s="5">
        <f>$E$16*$AC30</f>
        <v>7326.0000000000009</v>
      </c>
      <c r="Y32" s="5">
        <f>$E$14*$AC30/$W30</f>
        <v>41310.5</v>
      </c>
      <c r="Z32" s="5">
        <f>($E$22-100)*$AC30/$W30</f>
        <v>3700</v>
      </c>
      <c r="AA32" s="5">
        <f>V32+W32+X32+Y32+Z32</f>
        <v>396696.5</v>
      </c>
      <c r="AB32" s="5">
        <f>$Y30*$AC30/$W30</f>
        <v>1036000</v>
      </c>
      <c r="AC32" s="5">
        <f>AB32-AA32</f>
        <v>639303.5</v>
      </c>
      <c r="AD32" s="5"/>
      <c r="AE32" s="5">
        <f>$AA32/$AC30*$W30</f>
        <v>10721.527027027027</v>
      </c>
      <c r="AF32" s="5">
        <f>$Y30-$AE32-($Y30*0.02)</f>
        <v>16718.472972972973</v>
      </c>
      <c r="AG32" s="4">
        <f>$AF32/$Y30</f>
        <v>0.5970883204633205</v>
      </c>
    </row>
    <row r="33" spans="7:19" ht="17.25" thickBot="1" x14ac:dyDescent="0.35"/>
    <row r="34" spans="7:19" ht="17.25" x14ac:dyDescent="0.3">
      <c r="G34" s="187" t="s">
        <v>16</v>
      </c>
      <c r="H34" s="17">
        <v>30</v>
      </c>
      <c r="I34" s="16">
        <v>3</v>
      </c>
      <c r="J34" s="15" t="s">
        <v>15</v>
      </c>
      <c r="K34" s="13" t="s">
        <v>14</v>
      </c>
      <c r="L34" s="14" t="s">
        <v>13</v>
      </c>
      <c r="M34" s="13">
        <v>260</v>
      </c>
      <c r="N34" s="14" t="s">
        <v>12</v>
      </c>
      <c r="O34" s="13">
        <f>39*$I34</f>
        <v>117</v>
      </c>
      <c r="P34" s="12"/>
      <c r="Q34" s="166" t="s">
        <v>11</v>
      </c>
      <c r="R34" s="166"/>
      <c r="S34" s="167"/>
    </row>
    <row r="35" spans="7:19" x14ac:dyDescent="0.3">
      <c r="G35" s="188"/>
      <c r="H35" s="11" t="s">
        <v>10</v>
      </c>
      <c r="I35" s="9" t="s">
        <v>9</v>
      </c>
      <c r="J35" s="9" t="s">
        <v>8</v>
      </c>
      <c r="K35" s="9" t="s">
        <v>7</v>
      </c>
      <c r="L35" s="9" t="s">
        <v>6</v>
      </c>
      <c r="M35" s="9" t="s">
        <v>5</v>
      </c>
      <c r="N35" s="9" t="s">
        <v>4</v>
      </c>
      <c r="O35" s="9" t="s">
        <v>3</v>
      </c>
      <c r="P35" s="10"/>
      <c r="Q35" s="9" t="s">
        <v>2</v>
      </c>
      <c r="R35" s="9" t="s">
        <v>1</v>
      </c>
      <c r="S35" s="8" t="s">
        <v>0</v>
      </c>
    </row>
    <row r="36" spans="7:19" ht="17.25" thickBot="1" x14ac:dyDescent="0.35">
      <c r="G36" s="188"/>
      <c r="H36" s="7">
        <f>$M34*$E$4</f>
        <v>335400</v>
      </c>
      <c r="I36" s="6">
        <f>$E$7*$H34*$O34</f>
        <v>30401.574803149611</v>
      </c>
      <c r="J36" s="5">
        <f>$E$9*$O34</f>
        <v>29601.000000000004</v>
      </c>
      <c r="K36" s="5">
        <f>$E$11*$O34/$I34</f>
        <v>9652.5000000000018</v>
      </c>
      <c r="L36" s="5">
        <f>($E$22-50)*$O34/$I34</f>
        <v>5850</v>
      </c>
      <c r="M36" s="5">
        <f>H36+I36+J36+K36+L36</f>
        <v>410905.07480314962</v>
      </c>
      <c r="N36" s="5" t="e">
        <f>$K34*$O34/$I34</f>
        <v>#VALUE!</v>
      </c>
      <c r="O36" s="5" t="e">
        <f>N36-M36</f>
        <v>#VALUE!</v>
      </c>
      <c r="P36" s="5"/>
      <c r="Q36" s="5">
        <f>M36/$O34*$I34</f>
        <v>10536.027559055117</v>
      </c>
      <c r="R36" s="5" t="e">
        <f>$K34-Q36-(K34*0.02)</f>
        <v>#VALUE!</v>
      </c>
      <c r="S36" s="4" t="e">
        <f>R36/$K34</f>
        <v>#VALUE!</v>
      </c>
    </row>
    <row r="37" spans="7:19" ht="17.25" thickBot="1" x14ac:dyDescent="0.35"/>
    <row r="38" spans="7:19" ht="17.25" x14ac:dyDescent="0.3">
      <c r="G38" s="168" t="s">
        <v>62</v>
      </c>
      <c r="H38" s="39">
        <v>30</v>
      </c>
      <c r="I38" s="38">
        <v>3</v>
      </c>
      <c r="J38" s="15" t="s">
        <v>15</v>
      </c>
      <c r="K38" s="13">
        <v>14000</v>
      </c>
      <c r="L38" s="110" t="s">
        <v>13</v>
      </c>
      <c r="M38" s="13">
        <v>260</v>
      </c>
      <c r="N38" s="110" t="s">
        <v>12</v>
      </c>
      <c r="O38" s="13">
        <f>37*$I38+1</f>
        <v>112</v>
      </c>
      <c r="P38" s="12"/>
      <c r="Q38" s="166" t="s">
        <v>17</v>
      </c>
      <c r="R38" s="166"/>
      <c r="S38" s="167"/>
    </row>
    <row r="39" spans="7:19" x14ac:dyDescent="0.3">
      <c r="G39" s="169"/>
      <c r="H39" s="11" t="s">
        <v>10</v>
      </c>
      <c r="I39" s="9" t="s">
        <v>9</v>
      </c>
      <c r="J39" s="9" t="s">
        <v>8</v>
      </c>
      <c r="K39" s="9" t="s">
        <v>7</v>
      </c>
      <c r="L39" s="9" t="s">
        <v>6</v>
      </c>
      <c r="M39" s="9" t="s">
        <v>5</v>
      </c>
      <c r="N39" s="9" t="s">
        <v>4</v>
      </c>
      <c r="O39" s="9" t="s">
        <v>3</v>
      </c>
      <c r="P39" s="10"/>
      <c r="Q39" s="9" t="s">
        <v>2</v>
      </c>
      <c r="R39" s="9" t="s">
        <v>1</v>
      </c>
      <c r="S39" s="8" t="s">
        <v>0</v>
      </c>
    </row>
    <row r="40" spans="7:19" ht="17.25" thickBot="1" x14ac:dyDescent="0.35">
      <c r="G40" s="169"/>
      <c r="H40" s="7">
        <f>$M38*$E$4</f>
        <v>335400</v>
      </c>
      <c r="I40" s="6">
        <f>$E$7*$H38*$O38</f>
        <v>29102.362204724413</v>
      </c>
      <c r="J40" s="5">
        <f>$E$9*$O38</f>
        <v>28336.000000000004</v>
      </c>
      <c r="K40" s="5">
        <f>$E$11*37</f>
        <v>9157.5000000000018</v>
      </c>
      <c r="L40" s="5">
        <f>($E$22-50)*$O38/$I38</f>
        <v>5600</v>
      </c>
      <c r="M40" s="5">
        <f>H40+I40+J40+K40+L40</f>
        <v>407595.8622047244</v>
      </c>
      <c r="N40" s="5">
        <f>$K38*$O38/$I38</f>
        <v>522666.66666666669</v>
      </c>
      <c r="O40" s="5">
        <f>N40-M40</f>
        <v>115070.80446194229</v>
      </c>
      <c r="P40" s="5"/>
      <c r="Q40" s="5">
        <f>M40/$O38*$I38</f>
        <v>10917.746309055117</v>
      </c>
      <c r="R40" s="5">
        <f>$K38-Q40-(K38*0.02)</f>
        <v>2802.2536909448827</v>
      </c>
      <c r="S40" s="4">
        <f>R40/$K38</f>
        <v>0.20016097792463447</v>
      </c>
    </row>
    <row r="41" spans="7:19" ht="17.25" thickBot="1" x14ac:dyDescent="0.35"/>
    <row r="42" spans="7:19" ht="17.25" x14ac:dyDescent="0.3">
      <c r="G42" s="164" t="s">
        <v>32</v>
      </c>
      <c r="H42" s="108">
        <v>30</v>
      </c>
      <c r="I42" s="109">
        <v>3</v>
      </c>
      <c r="J42" s="15" t="s">
        <v>15</v>
      </c>
      <c r="K42" s="13">
        <v>20000</v>
      </c>
      <c r="L42" s="111" t="s">
        <v>13</v>
      </c>
      <c r="M42" s="13">
        <v>259</v>
      </c>
      <c r="N42" s="111" t="s">
        <v>12</v>
      </c>
      <c r="O42" s="13">
        <f>24*$I42+2</f>
        <v>74</v>
      </c>
      <c r="P42" s="12"/>
      <c r="Q42" s="166" t="s">
        <v>11</v>
      </c>
      <c r="R42" s="166"/>
      <c r="S42" s="167"/>
    </row>
    <row r="43" spans="7:19" x14ac:dyDescent="0.3">
      <c r="G43" s="165"/>
      <c r="H43" s="11" t="s">
        <v>10</v>
      </c>
      <c r="I43" s="9" t="s">
        <v>9</v>
      </c>
      <c r="J43" s="9" t="s">
        <v>8</v>
      </c>
      <c r="K43" s="9" t="s">
        <v>7</v>
      </c>
      <c r="L43" s="9" t="s">
        <v>6</v>
      </c>
      <c r="M43" s="9" t="s">
        <v>5</v>
      </c>
      <c r="N43" s="9" t="s">
        <v>4</v>
      </c>
      <c r="O43" s="9" t="s">
        <v>3</v>
      </c>
      <c r="P43" s="10"/>
      <c r="Q43" s="9" t="s">
        <v>2</v>
      </c>
      <c r="R43" s="9" t="s">
        <v>1</v>
      </c>
      <c r="S43" s="8" t="s">
        <v>0</v>
      </c>
    </row>
    <row r="44" spans="7:19" ht="17.25" thickBot="1" x14ac:dyDescent="0.35">
      <c r="G44" s="165"/>
      <c r="H44" s="7">
        <f>$M42*$E$4</f>
        <v>334110</v>
      </c>
      <c r="I44" s="6">
        <f>$E$7*$H42*$O42</f>
        <v>19228.346456692918</v>
      </c>
      <c r="J44" s="5">
        <f>$E$9*$O42</f>
        <v>18722.000000000004</v>
      </c>
      <c r="K44" s="5">
        <f>$E$13*$O42/$I42</f>
        <v>6294.9333333333343</v>
      </c>
      <c r="L44" s="5">
        <f>($E$22+50)*$O42/$I42</f>
        <v>6166.666666666667</v>
      </c>
      <c r="M44" s="5">
        <f>H44+I44+J44+K44+L44</f>
        <v>384521.94645669294</v>
      </c>
      <c r="N44" s="5">
        <f>$K42*$O42/$I42</f>
        <v>493333.33333333331</v>
      </c>
      <c r="O44" s="5">
        <f>N44-M44</f>
        <v>108811.38687664038</v>
      </c>
      <c r="P44" s="5"/>
      <c r="Q44" s="5">
        <f>M44/$O42*$I42</f>
        <v>15588.72755905512</v>
      </c>
      <c r="R44" s="5">
        <f>$K42-Q44-(K42*0.02)</f>
        <v>4011.2724409448801</v>
      </c>
      <c r="S44" s="4">
        <f>R44/$K42</f>
        <v>0.20056362204724401</v>
      </c>
    </row>
  </sheetData>
  <mergeCells count="45">
    <mergeCell ref="AE2:AG2"/>
    <mergeCell ref="U2:U4"/>
    <mergeCell ref="AE18:AG18"/>
    <mergeCell ref="U18:U20"/>
    <mergeCell ref="AE14:AG14"/>
    <mergeCell ref="U14:U16"/>
    <mergeCell ref="AE10:AG10"/>
    <mergeCell ref="U10:U12"/>
    <mergeCell ref="AE6:AG6"/>
    <mergeCell ref="U6:U8"/>
    <mergeCell ref="U30:U32"/>
    <mergeCell ref="AE30:AG30"/>
    <mergeCell ref="Q34:S34"/>
    <mergeCell ref="G18:G20"/>
    <mergeCell ref="G22:G24"/>
    <mergeCell ref="G26:G28"/>
    <mergeCell ref="Q26:S26"/>
    <mergeCell ref="G30:G32"/>
    <mergeCell ref="Q30:S30"/>
    <mergeCell ref="Q18:S18"/>
    <mergeCell ref="Q22:S22"/>
    <mergeCell ref="G34:G36"/>
    <mergeCell ref="U22:U24"/>
    <mergeCell ref="AE22:AG22"/>
    <mergeCell ref="U26:U28"/>
    <mergeCell ref="AE26:AG26"/>
    <mergeCell ref="B11:B13"/>
    <mergeCell ref="G2:G4"/>
    <mergeCell ref="G6:G8"/>
    <mergeCell ref="G10:G12"/>
    <mergeCell ref="G14:G16"/>
    <mergeCell ref="B14:B15"/>
    <mergeCell ref="B2:E2"/>
    <mergeCell ref="B4:B5"/>
    <mergeCell ref="B6:B8"/>
    <mergeCell ref="C6:C7"/>
    <mergeCell ref="B9:B10"/>
    <mergeCell ref="G42:G44"/>
    <mergeCell ref="Q42:S42"/>
    <mergeCell ref="Q2:S2"/>
    <mergeCell ref="Q6:S6"/>
    <mergeCell ref="Q10:S10"/>
    <mergeCell ref="Q14:S14"/>
    <mergeCell ref="G38:G40"/>
    <mergeCell ref="Q38:S38"/>
  </mergeCells>
  <phoneticPr fontId="3" type="noConversion"/>
  <pageMargins left="0.7" right="0.7" top="0.75" bottom="0.75" header="0.3" footer="0.3"/>
  <pageSetup paperSize="256" scale="52" orientation="landscape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B9E-2C50-4AA9-BC7C-3D13D5CE3266}">
  <dimension ref="B1:AF62"/>
  <sheetViews>
    <sheetView zoomScale="55" zoomScaleNormal="55" workbookViewId="0">
      <selection activeCell="V12" sqref="V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5" bestFit="1" customWidth="1"/>
    <col min="4" max="4" width="12.75" bestFit="1" customWidth="1"/>
    <col min="5" max="6" width="6.5" bestFit="1" customWidth="1"/>
    <col min="7" max="7" width="10" customWidth="1"/>
    <col min="8" max="8" width="10" style="66" bestFit="1" customWidth="1"/>
    <col min="9" max="9" width="10" style="67" bestFit="1" customWidth="1"/>
    <col min="10" max="10" width="9.625" style="67" bestFit="1" customWidth="1"/>
    <col min="11" max="11" width="10" style="67" bestFit="1" customWidth="1"/>
    <col min="12" max="12" width="10.625" style="67" bestFit="1" customWidth="1"/>
    <col min="13" max="13" width="11.5" style="67" bestFit="1" customWidth="1"/>
    <col min="14" max="14" width="8" style="67" bestFit="1" customWidth="1"/>
    <col min="15" max="15" width="8.75" style="68" bestFit="1" customWidth="1"/>
    <col min="16" max="16" width="7" style="68" bestFit="1" customWidth="1"/>
    <col min="17" max="17" width="6.375" style="68" bestFit="1" customWidth="1"/>
    <col min="18" max="18" width="9.375" style="68" customWidth="1"/>
    <col min="19" max="19" width="8.5" style="68" customWidth="1"/>
    <col min="20" max="20" width="6.625" style="68" customWidth="1"/>
    <col min="21" max="21" width="12.125" style="68" bestFit="1" customWidth="1"/>
    <col min="22" max="23" width="12.375" style="69" bestFit="1" customWidth="1"/>
    <col min="24" max="25" width="11.25" style="69" bestFit="1" customWidth="1"/>
    <col min="26" max="27" width="12.375" style="69" bestFit="1" customWidth="1"/>
    <col min="28" max="28" width="13.5" style="69" bestFit="1" customWidth="1"/>
    <col min="29" max="29" width="16" style="69" bestFit="1" customWidth="1"/>
  </cols>
  <sheetData>
    <row r="1" spans="2:32" ht="6" customHeight="1" x14ac:dyDescent="0.3"/>
    <row r="2" spans="2:32" ht="6" customHeight="1" x14ac:dyDescent="0.3"/>
    <row r="3" spans="2:32" x14ac:dyDescent="0.3">
      <c r="B3" s="195" t="s">
        <v>101</v>
      </c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</row>
    <row r="4" spans="2:32" x14ac:dyDescent="0.3"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</row>
    <row r="5" spans="2:32" x14ac:dyDescent="0.3"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</row>
    <row r="6" spans="2:32" ht="6.75" customHeight="1" x14ac:dyDescent="0.3"/>
    <row r="7" spans="2:32" ht="6.75" customHeight="1" thickBot="1" x14ac:dyDescent="0.35">
      <c r="AF7">
        <v>21</v>
      </c>
    </row>
    <row r="8" spans="2:32" ht="27" thickTop="1" x14ac:dyDescent="0.3">
      <c r="B8" s="196" t="s">
        <v>102</v>
      </c>
      <c r="C8" s="197"/>
      <c r="D8" s="197"/>
      <c r="E8" s="197"/>
      <c r="F8" s="197"/>
      <c r="G8" s="197"/>
      <c r="H8" s="197"/>
      <c r="I8" s="197"/>
      <c r="J8" s="197"/>
      <c r="K8" s="198"/>
      <c r="L8" s="199"/>
      <c r="M8" s="200"/>
      <c r="N8" s="201" t="s">
        <v>73</v>
      </c>
      <c r="O8" s="202"/>
      <c r="P8" s="202"/>
      <c r="Q8" s="203"/>
      <c r="R8" s="204" t="s">
        <v>103</v>
      </c>
      <c r="S8" s="205"/>
      <c r="T8" s="206"/>
      <c r="U8" s="70" t="s">
        <v>104</v>
      </c>
      <c r="V8" s="207" t="s">
        <v>0</v>
      </c>
      <c r="W8" s="208"/>
      <c r="X8" s="208"/>
      <c r="Y8" s="208"/>
      <c r="Z8" s="208"/>
      <c r="AA8" s="208"/>
      <c r="AB8" s="208"/>
      <c r="AC8" s="209"/>
    </row>
    <row r="9" spans="2:32" ht="16.5" customHeight="1" x14ac:dyDescent="0.3">
      <c r="B9" s="212" t="s">
        <v>72</v>
      </c>
      <c r="C9" s="213" t="s">
        <v>105</v>
      </c>
      <c r="D9" s="213" t="s">
        <v>69</v>
      </c>
      <c r="E9" s="215" t="s">
        <v>70</v>
      </c>
      <c r="F9" s="216"/>
      <c r="G9" s="213" t="s">
        <v>106</v>
      </c>
      <c r="H9" s="217" t="s">
        <v>102</v>
      </c>
      <c r="I9" s="218" t="s">
        <v>71</v>
      </c>
      <c r="J9" s="219" t="s">
        <v>107</v>
      </c>
      <c r="K9" s="218" t="s">
        <v>108</v>
      </c>
      <c r="L9" s="221" t="s">
        <v>109</v>
      </c>
      <c r="M9" s="210" t="s">
        <v>110</v>
      </c>
      <c r="N9" s="228" t="s">
        <v>111</v>
      </c>
      <c r="O9" s="229" t="s">
        <v>73</v>
      </c>
      <c r="P9" s="228" t="s">
        <v>112</v>
      </c>
      <c r="Q9" s="230" t="s">
        <v>113</v>
      </c>
      <c r="R9" s="223" t="s">
        <v>114</v>
      </c>
      <c r="S9" s="223" t="s">
        <v>115</v>
      </c>
      <c r="T9" s="223" t="s">
        <v>116</v>
      </c>
      <c r="U9" s="225" t="s">
        <v>117</v>
      </c>
      <c r="V9" s="226" t="s">
        <v>118</v>
      </c>
      <c r="W9" s="226"/>
      <c r="X9" s="226"/>
      <c r="Y9" s="226"/>
      <c r="Z9" s="226" t="s">
        <v>119</v>
      </c>
      <c r="AA9" s="226"/>
      <c r="AB9" s="226"/>
      <c r="AC9" s="227"/>
    </row>
    <row r="10" spans="2:32" ht="17.25" thickBot="1" x14ac:dyDescent="0.35">
      <c r="B10" s="212"/>
      <c r="C10" s="214"/>
      <c r="D10" s="214"/>
      <c r="E10" s="71" t="s">
        <v>120</v>
      </c>
      <c r="F10" s="71" t="s">
        <v>121</v>
      </c>
      <c r="G10" s="214"/>
      <c r="H10" s="217"/>
      <c r="I10" s="218"/>
      <c r="J10" s="220"/>
      <c r="K10" s="218"/>
      <c r="L10" s="222"/>
      <c r="M10" s="211"/>
      <c r="N10" s="229"/>
      <c r="O10" s="229"/>
      <c r="P10" s="229"/>
      <c r="Q10" s="231"/>
      <c r="R10" s="224"/>
      <c r="S10" s="224"/>
      <c r="T10" s="224"/>
      <c r="U10" s="225"/>
      <c r="V10" s="72" t="s">
        <v>122</v>
      </c>
      <c r="W10" s="72" t="s">
        <v>123</v>
      </c>
      <c r="X10" s="72" t="s">
        <v>124</v>
      </c>
      <c r="Y10" s="72" t="s">
        <v>125</v>
      </c>
      <c r="Z10" s="73" t="s">
        <v>122</v>
      </c>
      <c r="AA10" s="73" t="s">
        <v>126</v>
      </c>
      <c r="AB10" s="73" t="s">
        <v>127</v>
      </c>
      <c r="AC10" s="74" t="s">
        <v>128</v>
      </c>
    </row>
    <row r="11" spans="2:32" ht="21.75" hidden="1" thickTop="1" thickBot="1" x14ac:dyDescent="0.35">
      <c r="B11" s="75" t="s">
        <v>129</v>
      </c>
      <c r="C11" s="76" t="s">
        <v>130</v>
      </c>
      <c r="D11" s="77" t="s">
        <v>131</v>
      </c>
      <c r="E11" s="78">
        <v>1</v>
      </c>
      <c r="F11" s="78">
        <v>1</v>
      </c>
      <c r="G11" s="78">
        <f>INDEX(정보!$B$4:$C$23, MATCH(D11, 정보!$B$4:$B23, 0), 2)*E11</f>
        <v>11127</v>
      </c>
      <c r="H11" s="79">
        <f>ROUNDUP(G11, -2)*F11</f>
        <v>11200</v>
      </c>
      <c r="I11" s="79">
        <f t="array" ref="I11">INDEX(정보!$E$4:$G$43, MATCH(1, (정보!$E$4:$E$43=D11)*(정보!$F$4:$F$43=E11), 0), 3)*F11</f>
        <v>2700</v>
      </c>
      <c r="J11" s="80">
        <v>0</v>
      </c>
      <c r="K11" s="80">
        <f>H11+I11-(J11*F11)</f>
        <v>13900</v>
      </c>
      <c r="L11" s="81">
        <v>0.21129999999999999</v>
      </c>
      <c r="M11" s="82">
        <f>ROUND(((10-S11)*K11/(-11*L11+(10-S11)*(1-O11)))-(J11*F11), -1)</f>
        <v>21130</v>
      </c>
      <c r="N11" s="83" t="s">
        <v>132</v>
      </c>
      <c r="O11" s="116">
        <f t="array" ref="O11">INDEX(정보!$I$4:$J$13, MATCH(B11,정보!$I$4:$I$13, 0), 2)</f>
        <v>0.1</v>
      </c>
      <c r="P11" s="84">
        <f>IF(N11="N", M11*(O11+(O11/10)), M11*O11)</f>
        <v>2113</v>
      </c>
      <c r="Q11" s="84">
        <f>IF(N11="N", P11*0.1, 0)</f>
        <v>0</v>
      </c>
      <c r="R11" s="85">
        <f>ROUND((M11-K11-P11-Q11)/11, 0)</f>
        <v>465</v>
      </c>
      <c r="S11" s="86">
        <v>0.4</v>
      </c>
      <c r="T11" s="85">
        <f>ROUND(R11*S11, 0)</f>
        <v>186</v>
      </c>
      <c r="U11" s="87">
        <f>M11-P11-Q11</f>
        <v>19017</v>
      </c>
      <c r="V11" s="88">
        <f>W11-(W11/11)-((W11/11)*S11)</f>
        <v>2880</v>
      </c>
      <c r="W11" s="88">
        <f t="array" ref="W11">INDEX(정보!$N$4:$O$23, MATCH(D11, 정보!$N$4:$N$23, 0), 2)*F11-H11</f>
        <v>3300</v>
      </c>
      <c r="X11" s="88">
        <f>Y11-R11-T11</f>
        <v>4466</v>
      </c>
      <c r="Y11" s="88">
        <f>U11-K11</f>
        <v>5117</v>
      </c>
      <c r="Z11" s="89">
        <f t="array" ref="Z11">V11/(INDEX(정보!$N$4:$O$23, MATCH(D11, 정보!$N$4:$N$23, 0), 2)*F11)</f>
        <v>0.19862068965517241</v>
      </c>
      <c r="AA11" s="90">
        <f t="array" ref="AA11">W11/(INDEX(정보!$N$4:$O$23, MATCH(D11, 정보!$N$4:$N$23, 0), 2)*F11)</f>
        <v>0.22758620689655173</v>
      </c>
      <c r="AB11" s="91">
        <f>X11/M11</f>
        <v>0.21135825840037861</v>
      </c>
      <c r="AC11" s="92">
        <f>Y11/M11</f>
        <v>0.24216753431140559</v>
      </c>
      <c r="AD11" s="93">
        <f>AC11-AB11</f>
        <v>3.0809275911026973E-2</v>
      </c>
      <c r="AE11" s="94"/>
      <c r="AF11" s="93"/>
    </row>
    <row r="12" spans="2:32" ht="21.75" thickTop="1" thickBot="1" x14ac:dyDescent="0.35">
      <c r="B12" s="75" t="s">
        <v>129</v>
      </c>
      <c r="C12" s="76" t="s">
        <v>133</v>
      </c>
      <c r="D12" s="77" t="s">
        <v>131</v>
      </c>
      <c r="E12" s="78">
        <v>1</v>
      </c>
      <c r="F12" s="78">
        <v>1</v>
      </c>
      <c r="G12" s="78">
        <f>INDEX(정보!$B$4:$C$23, MATCH(D12, 정보!$B$4:$B23, 0), 2)*E12</f>
        <v>11127</v>
      </c>
      <c r="H12" s="79">
        <f>ROUNDUP(G12, -2)*F12+227</f>
        <v>11427</v>
      </c>
      <c r="I12" s="79">
        <f t="array" ref="I12">INDEX(정보!$E$4:$G$43, MATCH(1, (정보!$E$4:$E$43=D12)*(정보!$F$4:$F$43=E12), 0), 3)*F12</f>
        <v>2700</v>
      </c>
      <c r="J12" s="80">
        <v>0</v>
      </c>
      <c r="K12" s="80">
        <f t="shared" ref="K12:K53" si="0">H12+I12-(J12*F12)</f>
        <v>14127</v>
      </c>
      <c r="L12" s="81">
        <v>0.2</v>
      </c>
      <c r="M12" s="82">
        <f>((10-S12)*K12/(-11*L12+(10-S12)*(1-O12)))-(J12*F12)</f>
        <v>21058.881987577635</v>
      </c>
      <c r="N12" s="83" t="s">
        <v>132</v>
      </c>
      <c r="O12" s="116">
        <v>0.1</v>
      </c>
      <c r="P12" s="84">
        <f>IF(N12="N", M12*(O12+(O12/10)), M12*O12)</f>
        <v>2105.8881987577638</v>
      </c>
      <c r="Q12" s="84">
        <f t="shared" ref="Q12:Q53" si="1">IF(N12="N", P12*0.1, 0)</f>
        <v>0</v>
      </c>
      <c r="R12" s="85">
        <f>ROUND((M12-K12-P12-Q12)/11, 0)</f>
        <v>439</v>
      </c>
      <c r="S12" s="86">
        <v>0.4</v>
      </c>
      <c r="T12" s="85">
        <f t="shared" ref="T12:T53" si="2">ROUND(R12*S12, 0)</f>
        <v>176</v>
      </c>
      <c r="U12" s="87">
        <f>M12-P12-Q12</f>
        <v>18952.993788819873</v>
      </c>
      <c r="V12" s="88">
        <f t="shared" ref="V12:V53" si="3">W12-(W12/11)-((W12/11)*S12)</f>
        <v>2681.8909090909092</v>
      </c>
      <c r="W12" s="88">
        <f t="array" ref="W12">INDEX(정보!$N$4:$O$23, MATCH(D12, 정보!$N$4:$N$23, 0), 2)*F12-H12</f>
        <v>3073</v>
      </c>
      <c r="X12" s="88">
        <f>Y12-R12-T12</f>
        <v>4210.9937888198729</v>
      </c>
      <c r="Y12" s="88">
        <f>U12-K12</f>
        <v>4825.9937888198729</v>
      </c>
      <c r="Z12" s="89">
        <f t="array" ref="Z12">V12/(INDEX(정보!$N$4:$O$23, MATCH(D12, 정보!$N$4:$N$23, 0), 2)*F12)</f>
        <v>0.18495799373040753</v>
      </c>
      <c r="AA12" s="90">
        <f t="array" ref="AA12">W12/(INDEX(정보!$N$4:$O$23, MATCH(D12, 정보!$N$4:$N$23, 0), 2)*F12)</f>
        <v>0.21193103448275863</v>
      </c>
      <c r="AB12" s="91">
        <f>X12/M12</f>
        <v>0.19996283712040763</v>
      </c>
      <c r="AC12" s="92">
        <f t="shared" ref="AC12:AC53" si="4">Y12/M12</f>
        <v>0.22916666666666657</v>
      </c>
      <c r="AD12" s="93">
        <f t="shared" ref="AD12:AD53" si="5">AC12-AB12</f>
        <v>2.9203829546258941E-2</v>
      </c>
      <c r="AF12" s="95"/>
    </row>
    <row r="13" spans="2:32" s="112" customFormat="1" ht="8.1" customHeight="1" thickTop="1" thickBot="1" x14ac:dyDescent="0.35">
      <c r="B13" s="96"/>
      <c r="C13" s="97"/>
      <c r="D13" s="98"/>
      <c r="E13" s="99"/>
      <c r="F13" s="99"/>
      <c r="G13" s="99"/>
      <c r="H13" s="100"/>
      <c r="I13" s="100"/>
      <c r="J13" s="101"/>
      <c r="K13" s="101"/>
      <c r="L13" s="113"/>
      <c r="M13" s="114"/>
      <c r="N13" s="102"/>
      <c r="O13" s="117"/>
      <c r="P13" s="104"/>
      <c r="Q13" s="104"/>
      <c r="R13" s="104"/>
      <c r="S13" s="103"/>
      <c r="T13" s="104"/>
      <c r="U13" s="104"/>
      <c r="V13" s="105"/>
      <c r="W13" s="105"/>
      <c r="X13" s="105"/>
      <c r="Y13" s="105"/>
      <c r="Z13" s="106"/>
      <c r="AA13" s="106"/>
      <c r="AB13" s="106"/>
      <c r="AC13" s="107"/>
      <c r="AD13" s="115"/>
    </row>
    <row r="14" spans="2:32" ht="21.75" thickTop="1" thickBot="1" x14ac:dyDescent="0.35">
      <c r="B14" s="75" t="s">
        <v>129</v>
      </c>
      <c r="C14" s="76" t="s">
        <v>130</v>
      </c>
      <c r="D14" s="77" t="s">
        <v>134</v>
      </c>
      <c r="E14" s="78">
        <v>1</v>
      </c>
      <c r="F14" s="78">
        <v>1</v>
      </c>
      <c r="G14" s="78">
        <f>INDEX(정보!$B$4:$C$23, MATCH(D14, 정보!$B$4:$B27, 0), 2)*E14</f>
        <v>11660</v>
      </c>
      <c r="H14" s="79">
        <f>ROUNDUP(G14, -2)*F14+300</f>
        <v>12000</v>
      </c>
      <c r="I14" s="79">
        <f t="array" ref="I14">INDEX(정보!$E$4:$G$43, MATCH(1, (정보!$E$4:$E$43=D14)*(정보!$F$4:$F$43=E14), 0), 3)*F14</f>
        <v>2700</v>
      </c>
      <c r="J14" s="80">
        <v>0</v>
      </c>
      <c r="K14" s="80">
        <f t="shared" si="0"/>
        <v>14700</v>
      </c>
      <c r="L14" s="81">
        <v>0.19900000000000001</v>
      </c>
      <c r="M14" s="82">
        <f>ROUND(((10-S14)*K14/(-11*L14+(10-S14)*(1-O14)))-(J14*F14), -1)</f>
        <v>21880</v>
      </c>
      <c r="N14" s="83" t="s">
        <v>132</v>
      </c>
      <c r="O14" s="116">
        <f t="array" ref="O14">INDEX(정보!$I$4:$J$13, MATCH(B14,정보!$I$4:$I$13, 0), 2)</f>
        <v>0.1</v>
      </c>
      <c r="P14" s="84">
        <f t="shared" ref="P14:P53" si="6">IF(N14="N", M14*(O14+(O14/10)), M14*O14)</f>
        <v>2188</v>
      </c>
      <c r="Q14" s="84">
        <f t="shared" si="1"/>
        <v>0</v>
      </c>
      <c r="R14" s="85">
        <f>ROUND((M14-K14-P14-Q14)/11, 0)</f>
        <v>454</v>
      </c>
      <c r="S14" s="86">
        <v>0.4</v>
      </c>
      <c r="T14" s="85">
        <f t="shared" si="2"/>
        <v>182</v>
      </c>
      <c r="U14" s="87">
        <f t="shared" ref="U14:U53" si="7">M14-P14-Q14</f>
        <v>19692</v>
      </c>
      <c r="V14" s="88">
        <f t="shared" si="3"/>
        <v>2792.7272727272725</v>
      </c>
      <c r="W14" s="88">
        <f t="array" ref="W14">INDEX(정보!$N$4:$O$23, MATCH(D14, 정보!$N$4:$N$23, 0), 2)*F14-H14</f>
        <v>3200</v>
      </c>
      <c r="X14" s="88">
        <f t="shared" ref="X14:X53" si="8">Y14-R14-T14</f>
        <v>4356</v>
      </c>
      <c r="Y14" s="88">
        <f>U14-K14</f>
        <v>4992</v>
      </c>
      <c r="Z14" s="89">
        <f t="array" ref="Z14">V14/(INDEX(정보!$N$4:$O$23, MATCH(D14, 정보!$N$4:$N$23, 0), 2)*F14)</f>
        <v>0.18373205741626794</v>
      </c>
      <c r="AA14" s="90">
        <f t="array" ref="AA14">W14/(INDEX(정보!$N$4:$O$23, MATCH(D14, 정보!$N$4:$N$23, 0), 2)*F14)</f>
        <v>0.21052631578947367</v>
      </c>
      <c r="AB14" s="91">
        <f t="shared" ref="AB14:AB53" si="9">X14/M14</f>
        <v>0.19908592321755028</v>
      </c>
      <c r="AC14" s="92">
        <f t="shared" si="4"/>
        <v>0.22815356489945154</v>
      </c>
      <c r="AD14" s="93">
        <f t="shared" si="5"/>
        <v>2.9067641681901263E-2</v>
      </c>
    </row>
    <row r="15" spans="2:32" s="112" customFormat="1" ht="8.1" customHeight="1" thickTop="1" thickBot="1" x14ac:dyDescent="0.35">
      <c r="B15" s="96"/>
      <c r="C15" s="97"/>
      <c r="D15" s="98"/>
      <c r="E15" s="99"/>
      <c r="F15" s="99"/>
      <c r="G15" s="99"/>
      <c r="H15" s="100"/>
      <c r="I15" s="101"/>
      <c r="J15" s="101"/>
      <c r="K15" s="101"/>
      <c r="L15" s="113"/>
      <c r="M15" s="114"/>
      <c r="N15" s="102"/>
      <c r="O15" s="117"/>
      <c r="P15" s="104"/>
      <c r="Q15" s="104"/>
      <c r="R15" s="104"/>
      <c r="S15" s="103"/>
      <c r="T15" s="104"/>
      <c r="U15" s="104"/>
      <c r="V15" s="105"/>
      <c r="W15" s="105"/>
      <c r="X15" s="105"/>
      <c r="Y15" s="105"/>
      <c r="Z15" s="106"/>
      <c r="AA15" s="106"/>
      <c r="AB15" s="106"/>
      <c r="AC15" s="107"/>
      <c r="AD15" s="115"/>
    </row>
    <row r="16" spans="2:32" ht="16.5" customHeight="1" thickTop="1" thickBot="1" x14ac:dyDescent="0.35">
      <c r="B16" s="75" t="s">
        <v>129</v>
      </c>
      <c r="C16" s="76" t="s">
        <v>133</v>
      </c>
      <c r="D16" s="77" t="s">
        <v>135</v>
      </c>
      <c r="E16" s="78">
        <v>1</v>
      </c>
      <c r="F16" s="78">
        <v>1</v>
      </c>
      <c r="G16" s="78">
        <f>INDEX(정보!$B$4:$C$23, MATCH(D16, 정보!$B$4:$B33, 0), 2)*E16</f>
        <v>1968</v>
      </c>
      <c r="H16" s="79">
        <f t="shared" ref="H16:H53" si="10">ROUNDUP(G16, -2)*F16</f>
        <v>2000</v>
      </c>
      <c r="I16" s="79">
        <f t="array" ref="I16">INDEX(정보!$E$4:$G$43, MATCH(1, (정보!$E$4:$E$43=D16)*(정보!$F$4:$F$43=E16), 0), 3)*F16</f>
        <v>2300</v>
      </c>
      <c r="J16" s="80">
        <v>12</v>
      </c>
      <c r="K16" s="80">
        <f t="shared" si="0"/>
        <v>4288</v>
      </c>
      <c r="L16" s="81">
        <v>0.19900000000000001</v>
      </c>
      <c r="M16" s="82">
        <f t="shared" ref="M16:M22" si="11">ROUND(((10-S16)*K16/(-11*L16+(10-S16)*(1-O16)))-(J16*F16), -1)</f>
        <v>6370</v>
      </c>
      <c r="N16" s="83" t="s">
        <v>132</v>
      </c>
      <c r="O16" s="116">
        <f t="array" ref="O16">INDEX(정보!$I$4:$J$13, MATCH(B16,정보!$I$4:$I$13, 0), 2)</f>
        <v>0.1</v>
      </c>
      <c r="P16" s="84">
        <f t="shared" si="6"/>
        <v>637</v>
      </c>
      <c r="Q16" s="84">
        <f t="shared" si="1"/>
        <v>0</v>
      </c>
      <c r="R16" s="85">
        <f t="shared" ref="R16:R22" si="12">ROUND((M16-K16-P16-Q16)/11, 0)</f>
        <v>131</v>
      </c>
      <c r="S16" s="86">
        <v>0.4</v>
      </c>
      <c r="T16" s="85">
        <f t="shared" si="2"/>
        <v>52</v>
      </c>
      <c r="U16" s="87">
        <f t="shared" si="7"/>
        <v>5733</v>
      </c>
      <c r="V16" s="88">
        <f t="shared" si="3"/>
        <v>261.81818181818181</v>
      </c>
      <c r="W16" s="88">
        <f>INDEX(정보!$N$4:$O$23, MATCH(D16, 정보!$N$4:$N$23, 0), 2)*E16-H16</f>
        <v>300</v>
      </c>
      <c r="X16" s="88">
        <f t="shared" si="8"/>
        <v>1262</v>
      </c>
      <c r="Y16" s="88">
        <f t="shared" ref="Y16:Y22" si="13">U16-K16</f>
        <v>1445</v>
      </c>
      <c r="Z16" s="89">
        <f>V16/(INDEX(정보!$N$4:$O$23, MATCH(D16, 정보!$N$4:$N$23, 0), 2)*E16)</f>
        <v>0.11383399209486166</v>
      </c>
      <c r="AA16" s="90">
        <f>W16/(INDEX(정보!$N$4:$O$23, MATCH(D16, 정보!$N$4:$N$23, 0), 2)*E16)</f>
        <v>0.13043478260869565</v>
      </c>
      <c r="AB16" s="91">
        <f t="shared" si="9"/>
        <v>0.19811616954474098</v>
      </c>
      <c r="AC16" s="92">
        <f t="shared" si="4"/>
        <v>0.22684458398744112</v>
      </c>
      <c r="AD16" s="93">
        <f t="shared" si="5"/>
        <v>2.8728414442700134E-2</v>
      </c>
    </row>
    <row r="17" spans="2:30" ht="16.5" customHeight="1" thickTop="1" thickBot="1" x14ac:dyDescent="0.35">
      <c r="B17" s="75" t="s">
        <v>129</v>
      </c>
      <c r="C17" s="76" t="s">
        <v>133</v>
      </c>
      <c r="D17" s="77" t="s">
        <v>135</v>
      </c>
      <c r="E17" s="78">
        <v>3</v>
      </c>
      <c r="F17" s="78">
        <v>1</v>
      </c>
      <c r="G17" s="78">
        <f>INDEX(정보!$B$4:$C$23, MATCH(D17, 정보!$B$4:$B34, 0), 2)*E17</f>
        <v>5904</v>
      </c>
      <c r="H17" s="79">
        <f t="shared" si="10"/>
        <v>6000</v>
      </c>
      <c r="I17" s="79">
        <f t="array" ref="I17">INDEX(정보!$E$4:$G$43, MATCH(1, (정보!$E$4:$E$43=D17)*(정보!$F$4:$F$43=E17), 0), 3)*F17</f>
        <v>2300</v>
      </c>
      <c r="J17" s="80">
        <v>13</v>
      </c>
      <c r="K17" s="80">
        <f t="shared" si="0"/>
        <v>8287</v>
      </c>
      <c r="L17" s="81">
        <v>0.19900000000000001</v>
      </c>
      <c r="M17" s="82">
        <f t="shared" si="11"/>
        <v>12320</v>
      </c>
      <c r="N17" s="83" t="s">
        <v>132</v>
      </c>
      <c r="O17" s="116">
        <f t="array" ref="O17">INDEX(정보!$I$4:$J$13, MATCH(B17,정보!$I$4:$I$13, 0), 2)</f>
        <v>0.1</v>
      </c>
      <c r="P17" s="84">
        <f t="shared" si="6"/>
        <v>1232</v>
      </c>
      <c r="Q17" s="84">
        <f t="shared" si="1"/>
        <v>0</v>
      </c>
      <c r="R17" s="85">
        <f t="shared" si="12"/>
        <v>255</v>
      </c>
      <c r="S17" s="86">
        <v>0.4</v>
      </c>
      <c r="T17" s="85">
        <f t="shared" si="2"/>
        <v>102</v>
      </c>
      <c r="U17" s="87">
        <f t="shared" si="7"/>
        <v>11088</v>
      </c>
      <c r="V17" s="88">
        <f t="shared" ref="V17:V22" si="14">W17-(W17/11)-((W17/11)*S17)</f>
        <v>785.4545454545455</v>
      </c>
      <c r="W17" s="88">
        <f>INDEX(정보!$N$4:$O$23, MATCH(D17, 정보!$N$4:$N$23, 0), 2)*E17-H17</f>
        <v>900</v>
      </c>
      <c r="X17" s="88">
        <f t="shared" si="8"/>
        <v>2444</v>
      </c>
      <c r="Y17" s="88">
        <f t="shared" si="13"/>
        <v>2801</v>
      </c>
      <c r="Z17" s="89">
        <f>V17/(INDEX(정보!$N$4:$O$23, MATCH(D17, 정보!$N$4:$N$23, 0), 2)*E17)</f>
        <v>0.11383399209486167</v>
      </c>
      <c r="AA17" s="90">
        <f>W17/(INDEX(정보!$N$4:$O$23, MATCH(D17, 정보!$N$4:$N$23, 0), 2)*E17)</f>
        <v>0.13043478260869565</v>
      </c>
      <c r="AB17" s="91">
        <f t="shared" si="9"/>
        <v>0.19837662337662337</v>
      </c>
      <c r="AC17" s="92">
        <f t="shared" si="4"/>
        <v>0.22735389610389611</v>
      </c>
      <c r="AD17" s="93">
        <f t="shared" si="5"/>
        <v>2.897727272727274E-2</v>
      </c>
    </row>
    <row r="18" spans="2:30" ht="16.5" customHeight="1" thickTop="1" thickBot="1" x14ac:dyDescent="0.35">
      <c r="B18" s="75" t="s">
        <v>129</v>
      </c>
      <c r="C18" s="76" t="s">
        <v>133</v>
      </c>
      <c r="D18" s="77" t="s">
        <v>135</v>
      </c>
      <c r="E18" s="78">
        <v>4</v>
      </c>
      <c r="F18" s="78">
        <v>1</v>
      </c>
      <c r="G18" s="78">
        <f>INDEX(정보!$B$4:$C$23, MATCH(D18, 정보!$B$4:$B35, 0), 2)*E18</f>
        <v>7872</v>
      </c>
      <c r="H18" s="79">
        <f t="shared" si="10"/>
        <v>7900</v>
      </c>
      <c r="I18" s="79">
        <f t="array" ref="I18">INDEX(정보!$E$4:$G$43, MATCH(1, (정보!$E$4:$E$43=D18)*(정보!$F$4:$F$43=E18), 0), 3)*F18</f>
        <v>2300</v>
      </c>
      <c r="J18" s="80">
        <v>14</v>
      </c>
      <c r="K18" s="80">
        <f t="shared" si="0"/>
        <v>10186</v>
      </c>
      <c r="L18" s="81">
        <v>0.19900000000000001</v>
      </c>
      <c r="M18" s="82">
        <f t="shared" si="11"/>
        <v>15140</v>
      </c>
      <c r="N18" s="83" t="s">
        <v>132</v>
      </c>
      <c r="O18" s="116">
        <f t="array" ref="O18">INDEX(정보!$I$4:$J$13, MATCH(B18,정보!$I$4:$I$13, 0), 2)</f>
        <v>0.1</v>
      </c>
      <c r="P18" s="84">
        <f t="shared" si="6"/>
        <v>1514</v>
      </c>
      <c r="Q18" s="84">
        <f t="shared" si="1"/>
        <v>0</v>
      </c>
      <c r="R18" s="85">
        <f t="shared" si="12"/>
        <v>313</v>
      </c>
      <c r="S18" s="86">
        <v>0.4</v>
      </c>
      <c r="T18" s="85">
        <f t="shared" si="2"/>
        <v>125</v>
      </c>
      <c r="U18" s="87">
        <f t="shared" si="7"/>
        <v>13626</v>
      </c>
      <c r="V18" s="88">
        <f t="shared" si="14"/>
        <v>1134.5454545454545</v>
      </c>
      <c r="W18" s="88">
        <f>INDEX(정보!$N$4:$O$23, MATCH(D18, 정보!$N$4:$N$23, 0), 2)*E18-H18</f>
        <v>1300</v>
      </c>
      <c r="X18" s="88">
        <f t="shared" si="8"/>
        <v>3002</v>
      </c>
      <c r="Y18" s="88">
        <f t="shared" si="13"/>
        <v>3440</v>
      </c>
      <c r="Z18" s="89">
        <f>V18/(INDEX(정보!$N$4:$O$23, MATCH(D18, 정보!$N$4:$N$23, 0), 2)*E18)</f>
        <v>0.12332015810276679</v>
      </c>
      <c r="AA18" s="90">
        <f>W18/(INDEX(정보!$N$4:$O$23, MATCH(D18, 정보!$N$4:$N$23, 0), 2)*E18)</f>
        <v>0.14130434782608695</v>
      </c>
      <c r="AB18" s="91">
        <f t="shared" si="9"/>
        <v>0.19828269484808456</v>
      </c>
      <c r="AC18" s="92">
        <f t="shared" si="4"/>
        <v>0.22721268163804492</v>
      </c>
      <c r="AD18" s="93">
        <f t="shared" si="5"/>
        <v>2.8929986789960366E-2</v>
      </c>
    </row>
    <row r="19" spans="2:30" ht="16.5" customHeight="1" thickTop="1" thickBot="1" x14ac:dyDescent="0.35">
      <c r="B19" s="75" t="s">
        <v>129</v>
      </c>
      <c r="C19" s="76" t="s">
        <v>133</v>
      </c>
      <c r="D19" s="77" t="s">
        <v>135</v>
      </c>
      <c r="E19" s="78">
        <v>5</v>
      </c>
      <c r="F19" s="78">
        <v>1</v>
      </c>
      <c r="G19" s="78">
        <f>INDEX(정보!$B$4:$C$23, MATCH(D19, 정보!$B$4:$B36, 0), 2)*E19</f>
        <v>9840</v>
      </c>
      <c r="H19" s="79">
        <f t="shared" si="10"/>
        <v>9900</v>
      </c>
      <c r="I19" s="79">
        <f t="array" ref="I19">INDEX(정보!$E$4:$G$43, MATCH(1, (정보!$E$4:$E$43=D19)*(정보!$F$4:$F$43=E19), 0), 3)*F19</f>
        <v>2700</v>
      </c>
      <c r="J19" s="80">
        <v>15</v>
      </c>
      <c r="K19" s="80">
        <f t="shared" si="0"/>
        <v>12585</v>
      </c>
      <c r="L19" s="81">
        <v>0.19900000000000001</v>
      </c>
      <c r="M19" s="82">
        <f t="shared" si="11"/>
        <v>18710</v>
      </c>
      <c r="N19" s="83" t="s">
        <v>132</v>
      </c>
      <c r="O19" s="116">
        <f t="array" ref="O19">INDEX(정보!$I$4:$J$13, MATCH(B19,정보!$I$4:$I$13, 0), 2)</f>
        <v>0.1</v>
      </c>
      <c r="P19" s="84">
        <f t="shared" si="6"/>
        <v>1871</v>
      </c>
      <c r="Q19" s="84">
        <f t="shared" si="1"/>
        <v>0</v>
      </c>
      <c r="R19" s="85">
        <f t="shared" si="12"/>
        <v>387</v>
      </c>
      <c r="S19" s="86">
        <v>0.4</v>
      </c>
      <c r="T19" s="85">
        <f t="shared" si="2"/>
        <v>155</v>
      </c>
      <c r="U19" s="87">
        <f t="shared" si="7"/>
        <v>16839</v>
      </c>
      <c r="V19" s="88">
        <f t="shared" si="14"/>
        <v>1396.3636363636363</v>
      </c>
      <c r="W19" s="88">
        <f>INDEX(정보!$N$4:$O$23, MATCH(D19, 정보!$N$4:$N$23, 0), 2)*E19-H19</f>
        <v>1600</v>
      </c>
      <c r="X19" s="88">
        <f t="shared" si="8"/>
        <v>3712</v>
      </c>
      <c r="Y19" s="88">
        <f t="shared" si="13"/>
        <v>4254</v>
      </c>
      <c r="Z19" s="89">
        <f>V19/(INDEX(정보!$N$4:$O$23, MATCH(D19, 정보!$N$4:$N$23, 0), 2)*E19)</f>
        <v>0.12142292490118577</v>
      </c>
      <c r="AA19" s="90">
        <f>W19/(INDEX(정보!$N$4:$O$23, MATCH(D19, 정보!$N$4:$N$23, 0), 2)*E19)</f>
        <v>0.1391304347826087</v>
      </c>
      <c r="AB19" s="91">
        <f t="shared" si="9"/>
        <v>0.19839657936932123</v>
      </c>
      <c r="AC19" s="92">
        <f t="shared" si="4"/>
        <v>0.22736504543025121</v>
      </c>
      <c r="AD19" s="93">
        <f t="shared" si="5"/>
        <v>2.8968466060929982E-2</v>
      </c>
    </row>
    <row r="20" spans="2:30" ht="16.5" customHeight="1" thickTop="1" thickBot="1" x14ac:dyDescent="0.35">
      <c r="B20" s="75" t="s">
        <v>129</v>
      </c>
      <c r="C20" s="76" t="s">
        <v>133</v>
      </c>
      <c r="D20" s="77" t="s">
        <v>135</v>
      </c>
      <c r="E20" s="78">
        <v>7</v>
      </c>
      <c r="F20" s="78">
        <v>1</v>
      </c>
      <c r="G20" s="78">
        <f>INDEX(정보!$B$4:$C$23, MATCH(D20, 정보!$B$4:$B37, 0), 2)*E20</f>
        <v>13776</v>
      </c>
      <c r="H20" s="79">
        <f t="shared" si="10"/>
        <v>13800</v>
      </c>
      <c r="I20" s="79">
        <f t="array" ref="I20">INDEX(정보!$E$4:$G$43, MATCH(1, (정보!$E$4:$E$43=D20)*(정보!$F$4:$F$43=E20), 0), 3)*F20</f>
        <v>2700</v>
      </c>
      <c r="J20" s="80">
        <v>16</v>
      </c>
      <c r="K20" s="80">
        <f t="shared" si="0"/>
        <v>16484</v>
      </c>
      <c r="L20" s="81">
        <v>0.19900000000000001</v>
      </c>
      <c r="M20" s="82">
        <f t="shared" si="11"/>
        <v>24510</v>
      </c>
      <c r="N20" s="83" t="s">
        <v>132</v>
      </c>
      <c r="O20" s="116">
        <f t="array" ref="O20">INDEX(정보!$I$4:$J$13, MATCH(B20,정보!$I$4:$I$13, 0), 2)</f>
        <v>0.1</v>
      </c>
      <c r="P20" s="84">
        <f t="shared" si="6"/>
        <v>2451</v>
      </c>
      <c r="Q20" s="84">
        <f t="shared" si="1"/>
        <v>0</v>
      </c>
      <c r="R20" s="85">
        <f t="shared" si="12"/>
        <v>507</v>
      </c>
      <c r="S20" s="86">
        <v>0.4</v>
      </c>
      <c r="T20" s="85">
        <f t="shared" si="2"/>
        <v>203</v>
      </c>
      <c r="U20" s="87">
        <f t="shared" si="7"/>
        <v>22059</v>
      </c>
      <c r="V20" s="88">
        <f t="shared" si="14"/>
        <v>2007.2727272727273</v>
      </c>
      <c r="W20" s="88">
        <f>INDEX(정보!$N$4:$O$23, MATCH(D20, 정보!$N$4:$N$23, 0), 2)*E20-H20</f>
        <v>2300</v>
      </c>
      <c r="X20" s="88">
        <f t="shared" si="8"/>
        <v>4865</v>
      </c>
      <c r="Y20" s="88">
        <f t="shared" si="13"/>
        <v>5575</v>
      </c>
      <c r="Z20" s="89">
        <f>V20/(INDEX(정보!$N$4:$O$23, MATCH(D20, 정보!$N$4:$N$23, 0), 2)*E20)</f>
        <v>0.12467532467532468</v>
      </c>
      <c r="AA20" s="90">
        <f>W20/(INDEX(정보!$N$4:$O$23, MATCH(D20, 정보!$N$4:$N$23, 0), 2)*E20)</f>
        <v>0.14285714285714285</v>
      </c>
      <c r="AB20" s="91">
        <f t="shared" si="9"/>
        <v>0.1984904120767034</v>
      </c>
      <c r="AC20" s="92">
        <f t="shared" si="4"/>
        <v>0.22745818033455734</v>
      </c>
      <c r="AD20" s="93">
        <f t="shared" si="5"/>
        <v>2.8967768257853937E-2</v>
      </c>
    </row>
    <row r="21" spans="2:30" ht="16.5" customHeight="1" thickTop="1" thickBot="1" x14ac:dyDescent="0.35">
      <c r="B21" s="75" t="s">
        <v>129</v>
      </c>
      <c r="C21" s="76" t="s">
        <v>133</v>
      </c>
      <c r="D21" s="77" t="s">
        <v>135</v>
      </c>
      <c r="E21" s="78">
        <v>8</v>
      </c>
      <c r="F21" s="78">
        <v>1</v>
      </c>
      <c r="G21" s="78">
        <f>INDEX(정보!$B$4:$C$23, MATCH(D21, 정보!$B$4:$B38, 0), 2)*E21</f>
        <v>15744</v>
      </c>
      <c r="H21" s="79">
        <f t="shared" si="10"/>
        <v>15800</v>
      </c>
      <c r="I21" s="79">
        <f t="array" ref="I21">INDEX(정보!$E$4:$G$43, MATCH(1, (정보!$E$4:$E$43=D21)*(정보!$F$4:$F$43=E21), 0), 3)*F21</f>
        <v>3200</v>
      </c>
      <c r="J21" s="80">
        <v>17</v>
      </c>
      <c r="K21" s="80">
        <f t="shared" si="0"/>
        <v>18983</v>
      </c>
      <c r="L21" s="81">
        <v>0.19900000000000001</v>
      </c>
      <c r="M21" s="82">
        <f t="shared" si="11"/>
        <v>28230</v>
      </c>
      <c r="N21" s="83" t="s">
        <v>132</v>
      </c>
      <c r="O21" s="116">
        <f t="array" ref="O21">INDEX(정보!$I$4:$J$13, MATCH(B21,정보!$I$4:$I$13, 0), 2)</f>
        <v>0.1</v>
      </c>
      <c r="P21" s="84">
        <f t="shared" si="6"/>
        <v>2823</v>
      </c>
      <c r="Q21" s="84">
        <f t="shared" si="1"/>
        <v>0</v>
      </c>
      <c r="R21" s="85">
        <f t="shared" si="12"/>
        <v>584</v>
      </c>
      <c r="S21" s="86">
        <v>0.4</v>
      </c>
      <c r="T21" s="85">
        <f t="shared" si="2"/>
        <v>234</v>
      </c>
      <c r="U21" s="87">
        <f t="shared" si="7"/>
        <v>25407</v>
      </c>
      <c r="V21" s="88">
        <f t="shared" si="14"/>
        <v>2269.090909090909</v>
      </c>
      <c r="W21" s="88">
        <f>INDEX(정보!$N$4:$O$23, MATCH(D21, 정보!$N$4:$N$23, 0), 2)*E21-H21</f>
        <v>2600</v>
      </c>
      <c r="X21" s="88">
        <f t="shared" si="8"/>
        <v>5606</v>
      </c>
      <c r="Y21" s="88">
        <f t="shared" si="13"/>
        <v>6424</v>
      </c>
      <c r="Z21" s="89">
        <f>V21/(INDEX(정보!$N$4:$O$23, MATCH(D21, 정보!$N$4:$N$23, 0), 2)*E21)</f>
        <v>0.12332015810276679</v>
      </c>
      <c r="AA21" s="90">
        <f>W21/(INDEX(정보!$N$4:$O$23, MATCH(D21, 정보!$N$4:$N$23, 0), 2)*E21)</f>
        <v>0.14130434782608695</v>
      </c>
      <c r="AB21" s="91">
        <f t="shared" si="9"/>
        <v>0.1985830676585193</v>
      </c>
      <c r="AC21" s="92">
        <f t="shared" si="4"/>
        <v>0.22755933404179951</v>
      </c>
      <c r="AD21" s="93">
        <f t="shared" si="5"/>
        <v>2.8976266383280214E-2</v>
      </c>
    </row>
    <row r="22" spans="2:30" ht="16.5" customHeight="1" thickTop="1" thickBot="1" x14ac:dyDescent="0.35">
      <c r="B22" s="75" t="s">
        <v>129</v>
      </c>
      <c r="C22" s="76" t="s">
        <v>130</v>
      </c>
      <c r="D22" s="77" t="s">
        <v>135</v>
      </c>
      <c r="E22" s="78">
        <v>10</v>
      </c>
      <c r="F22" s="78">
        <v>1</v>
      </c>
      <c r="G22" s="78">
        <f>INDEX(정보!$B$4:$C$23, MATCH(D22, 정보!$B$4:$B39, 0), 2)*E22</f>
        <v>19680</v>
      </c>
      <c r="H22" s="79">
        <f t="shared" si="10"/>
        <v>19700</v>
      </c>
      <c r="I22" s="79">
        <f t="array" ref="I22">INDEX(정보!$E$4:$G$43, MATCH(1, (정보!$E$4:$E$43=D22)*(정보!$F$4:$F$43=E22), 0), 3)*F22</f>
        <v>3200</v>
      </c>
      <c r="J22" s="80">
        <v>18</v>
      </c>
      <c r="K22" s="80">
        <f t="shared" si="0"/>
        <v>22882</v>
      </c>
      <c r="L22" s="81">
        <v>0.19900000000000001</v>
      </c>
      <c r="M22" s="82">
        <f t="shared" si="11"/>
        <v>34030</v>
      </c>
      <c r="N22" s="83" t="s">
        <v>132</v>
      </c>
      <c r="O22" s="116">
        <f t="array" ref="O22">INDEX(정보!$I$4:$J$13, MATCH(B22,정보!$I$4:$I$13, 0), 2)</f>
        <v>0.1</v>
      </c>
      <c r="P22" s="84">
        <f t="shared" si="6"/>
        <v>3403</v>
      </c>
      <c r="Q22" s="84">
        <f t="shared" si="1"/>
        <v>0</v>
      </c>
      <c r="R22" s="85">
        <f t="shared" si="12"/>
        <v>704</v>
      </c>
      <c r="S22" s="86">
        <v>0.4</v>
      </c>
      <c r="T22" s="85">
        <f t="shared" si="2"/>
        <v>282</v>
      </c>
      <c r="U22" s="87">
        <f t="shared" si="7"/>
        <v>30627</v>
      </c>
      <c r="V22" s="88">
        <f t="shared" si="14"/>
        <v>2880</v>
      </c>
      <c r="W22" s="88">
        <f>INDEX(정보!$N$4:$O$23, MATCH(D22, 정보!$N$4:$N$23, 0), 2)*E22-H22</f>
        <v>3300</v>
      </c>
      <c r="X22" s="88">
        <f t="shared" si="8"/>
        <v>6759</v>
      </c>
      <c r="Y22" s="88">
        <f t="shared" si="13"/>
        <v>7745</v>
      </c>
      <c r="Z22" s="89">
        <f>V22/(INDEX(정보!$N$4:$O$23, MATCH(D22, 정보!$N$4:$N$23, 0), 2)*E22)</f>
        <v>0.12521739130434784</v>
      </c>
      <c r="AA22" s="90">
        <f>W22/(INDEX(정보!$N$4:$O$23, MATCH(D22, 정보!$N$4:$N$23, 0), 2)*E22)</f>
        <v>0.14347826086956522</v>
      </c>
      <c r="AB22" s="91">
        <f t="shared" si="9"/>
        <v>0.19861886570672935</v>
      </c>
      <c r="AC22" s="92">
        <f t="shared" si="4"/>
        <v>0.22759330002938583</v>
      </c>
      <c r="AD22" s="93">
        <f t="shared" si="5"/>
        <v>2.8974434322656478E-2</v>
      </c>
    </row>
    <row r="23" spans="2:30" s="112" customFormat="1" ht="8.1" customHeight="1" thickTop="1" thickBot="1" x14ac:dyDescent="0.35">
      <c r="B23" s="96"/>
      <c r="C23" s="97"/>
      <c r="D23" s="98"/>
      <c r="E23" s="99"/>
      <c r="F23" s="99"/>
      <c r="G23" s="99"/>
      <c r="H23" s="100"/>
      <c r="I23" s="101"/>
      <c r="J23" s="101"/>
      <c r="K23" s="101"/>
      <c r="L23" s="113"/>
      <c r="M23" s="114"/>
      <c r="N23" s="102"/>
      <c r="O23" s="117"/>
      <c r="P23" s="104"/>
      <c r="Q23" s="104"/>
      <c r="R23" s="104"/>
      <c r="S23" s="103"/>
      <c r="T23" s="104"/>
      <c r="U23" s="104"/>
      <c r="V23" s="105"/>
      <c r="W23" s="105"/>
      <c r="X23" s="105"/>
      <c r="Y23" s="105"/>
      <c r="Z23" s="106"/>
      <c r="AA23" s="106"/>
      <c r="AB23" s="106"/>
      <c r="AC23" s="107"/>
      <c r="AD23" s="115"/>
    </row>
    <row r="24" spans="2:30" ht="16.5" customHeight="1" thickTop="1" thickBot="1" x14ac:dyDescent="0.35">
      <c r="B24" s="75" t="s">
        <v>129</v>
      </c>
      <c r="C24" s="76" t="s">
        <v>133</v>
      </c>
      <c r="D24" s="77" t="s">
        <v>136</v>
      </c>
      <c r="E24" s="78">
        <v>1</v>
      </c>
      <c r="F24" s="78">
        <v>1</v>
      </c>
      <c r="G24" s="78">
        <f>INDEX(정보!$B$4:$C$23, MATCH(D24, 정보!$B$4:$B41, 0), 2)*E24</f>
        <v>3858.75</v>
      </c>
      <c r="H24" s="79">
        <f t="shared" si="10"/>
        <v>3900</v>
      </c>
      <c r="I24" s="79">
        <f t="array" ref="I24">INDEX(정보!$E$4:$G$43, MATCH(1, (정보!$E$4:$E$43=D24)*(정보!$F$4:$F$43=E24), 0), 3)*F24</f>
        <v>2300</v>
      </c>
      <c r="J24" s="80">
        <v>20</v>
      </c>
      <c r="K24" s="80">
        <f t="shared" si="0"/>
        <v>6180</v>
      </c>
      <c r="L24" s="81">
        <v>20.203700000000001</v>
      </c>
      <c r="M24" s="82">
        <f>ROUND(((10-S24)*K24/(-11*L24+(10-S24)*(1-O24)))-(J24*F24), -1)</f>
        <v>-300</v>
      </c>
      <c r="N24" s="83" t="s">
        <v>132</v>
      </c>
      <c r="O24" s="116">
        <f t="array" ref="O24">INDEX(정보!$I$4:$J$13, MATCH(B24,정보!$I$4:$I$13, 0), 2)</f>
        <v>0.1</v>
      </c>
      <c r="P24" s="84">
        <f t="shared" si="6"/>
        <v>-30</v>
      </c>
      <c r="Q24" s="84">
        <f t="shared" si="1"/>
        <v>0</v>
      </c>
      <c r="R24" s="85">
        <f>ROUND((M24-K24-P24-Q24)/11, 0)</f>
        <v>-586</v>
      </c>
      <c r="S24" s="86">
        <v>0.4</v>
      </c>
      <c r="T24" s="85">
        <f t="shared" si="2"/>
        <v>-234</v>
      </c>
      <c r="U24" s="87">
        <f t="shared" si="7"/>
        <v>-270</v>
      </c>
      <c r="V24" s="88">
        <f t="shared" si="3"/>
        <v>916.36363636363637</v>
      </c>
      <c r="W24" s="88">
        <f t="array" ref="W24">INDEX(정보!$N$4:$O$23, MATCH(D24, 정보!$N$4:$N$23, 0), 2)*F24-H24</f>
        <v>1050</v>
      </c>
      <c r="X24" s="88">
        <f t="shared" si="8"/>
        <v>-5630</v>
      </c>
      <c r="Y24" s="88">
        <f>U24-K24</f>
        <v>-6450</v>
      </c>
      <c r="Z24" s="89">
        <f t="array" ref="Z24">V24/(INDEX(정보!$N$4:$O$23, MATCH(D24, 정보!$N$4:$N$23, 0), 2)*F24)</f>
        <v>0.18512396694214875</v>
      </c>
      <c r="AA24" s="90">
        <f t="array" ref="AA24">W24/(INDEX(정보!$N$4:$O$23, MATCH(D24, 정보!$N$4:$N$23, 0), 2)*F24)</f>
        <v>0.21212121212121213</v>
      </c>
      <c r="AB24" s="91">
        <f t="shared" si="9"/>
        <v>18.766666666666666</v>
      </c>
      <c r="AC24" s="92">
        <f t="shared" si="4"/>
        <v>21.5</v>
      </c>
      <c r="AD24" s="93">
        <f t="shared" si="5"/>
        <v>2.7333333333333343</v>
      </c>
    </row>
    <row r="25" spans="2:30" ht="16.5" customHeight="1" thickTop="1" thickBot="1" x14ac:dyDescent="0.35">
      <c r="B25" s="75" t="s">
        <v>129</v>
      </c>
      <c r="C25" s="76" t="s">
        <v>133</v>
      </c>
      <c r="D25" s="77" t="s">
        <v>136</v>
      </c>
      <c r="E25" s="78">
        <v>2</v>
      </c>
      <c r="F25" s="78">
        <v>1</v>
      </c>
      <c r="G25" s="78">
        <f>INDEX(정보!$B$4:$C$23, MATCH(D25, 정보!$B$4:$B42, 0), 2)*E25</f>
        <v>7717.5</v>
      </c>
      <c r="H25" s="79">
        <f t="shared" si="10"/>
        <v>7800</v>
      </c>
      <c r="I25" s="79">
        <f t="array" ref="I25">INDEX(정보!$E$4:$G$43, MATCH(1, (정보!$E$4:$E$43=D25)*(정보!$F$4:$F$43=E25), 0), 3)*F25</f>
        <v>2300</v>
      </c>
      <c r="J25" s="80">
        <v>21</v>
      </c>
      <c r="K25" s="80">
        <f t="shared" si="0"/>
        <v>10079</v>
      </c>
      <c r="L25" s="81">
        <v>21.203700000000001</v>
      </c>
      <c r="M25" s="82">
        <f>ROUND(((10-S25)*K25/(-11*L25+(10-S25)*(1-O25)))-(J25*F25), -1)</f>
        <v>-450</v>
      </c>
      <c r="N25" s="83" t="s">
        <v>132</v>
      </c>
      <c r="O25" s="116">
        <f t="array" ref="O25">INDEX(정보!$I$4:$J$13, MATCH(B25,정보!$I$4:$I$13, 0), 2)</f>
        <v>0.1</v>
      </c>
      <c r="P25" s="84">
        <f t="shared" si="6"/>
        <v>-45</v>
      </c>
      <c r="Q25" s="84">
        <f t="shared" si="1"/>
        <v>0</v>
      </c>
      <c r="R25" s="85">
        <f>ROUND((M25-K25-P25-Q25)/11, 0)</f>
        <v>-953</v>
      </c>
      <c r="S25" s="86">
        <v>0.4</v>
      </c>
      <c r="T25" s="85">
        <f t="shared" si="2"/>
        <v>-381</v>
      </c>
      <c r="U25" s="87">
        <f t="shared" si="7"/>
        <v>-405</v>
      </c>
      <c r="V25" s="88">
        <f t="shared" si="3"/>
        <v>-2487.2727272727275</v>
      </c>
      <c r="W25" s="88">
        <f t="array" ref="W25">INDEX(정보!$N$4:$O$23, MATCH(D25, 정보!$N$4:$N$23, 0), 2)*F25-H25</f>
        <v>-2850</v>
      </c>
      <c r="X25" s="88">
        <f t="shared" si="8"/>
        <v>-9150</v>
      </c>
      <c r="Y25" s="88">
        <f>U25-K25</f>
        <v>-10484</v>
      </c>
      <c r="Z25" s="89">
        <f t="array" ref="Z25">V25/(INDEX(정보!$N$4:$O$23, MATCH(D25, 정보!$N$4:$N$23, 0), 2)*F25)</f>
        <v>-0.50247933884297524</v>
      </c>
      <c r="AA25" s="90">
        <f t="array" ref="AA25">W25/(INDEX(정보!$N$4:$O$23, MATCH(D25, 정보!$N$4:$N$23, 0), 2)*F25)</f>
        <v>-0.5757575757575758</v>
      </c>
      <c r="AB25" s="91">
        <f t="shared" si="9"/>
        <v>20.333333333333332</v>
      </c>
      <c r="AC25" s="92">
        <f t="shared" si="4"/>
        <v>23.297777777777778</v>
      </c>
      <c r="AD25" s="93">
        <f t="shared" si="5"/>
        <v>2.964444444444446</v>
      </c>
    </row>
    <row r="26" spans="2:30" ht="16.5" customHeight="1" thickTop="1" thickBot="1" x14ac:dyDescent="0.35">
      <c r="B26" s="75" t="s">
        <v>129</v>
      </c>
      <c r="C26" s="76" t="s">
        <v>133</v>
      </c>
      <c r="D26" s="77" t="s">
        <v>136</v>
      </c>
      <c r="E26" s="78">
        <v>3</v>
      </c>
      <c r="F26" s="78">
        <v>1</v>
      </c>
      <c r="G26" s="78">
        <f>INDEX(정보!$B$4:$C$23, MATCH(D26, 정보!$B$4:$B43, 0), 2)*E26</f>
        <v>11576.25</v>
      </c>
      <c r="H26" s="79">
        <f t="shared" si="10"/>
        <v>11600</v>
      </c>
      <c r="I26" s="79">
        <f t="array" ref="I26">INDEX(정보!$E$4:$G$43, MATCH(1, (정보!$E$4:$E$43=D26)*(정보!$F$4:$F$43=E26), 0), 3)*F26</f>
        <v>2700</v>
      </c>
      <c r="J26" s="80">
        <v>22</v>
      </c>
      <c r="K26" s="80">
        <f t="shared" si="0"/>
        <v>14278</v>
      </c>
      <c r="L26" s="81">
        <v>22.203700000000001</v>
      </c>
      <c r="M26" s="82">
        <f>ROUND(((10-S26)*K26/(-11*L26+(10-S26)*(1-O26)))-(J26*F26), -1)</f>
        <v>-600</v>
      </c>
      <c r="N26" s="83" t="s">
        <v>132</v>
      </c>
      <c r="O26" s="116">
        <f t="array" ref="O26">INDEX(정보!$I$4:$J$13, MATCH(B26,정보!$I$4:$I$13, 0), 2)</f>
        <v>0.1</v>
      </c>
      <c r="P26" s="84">
        <f t="shared" si="6"/>
        <v>-60</v>
      </c>
      <c r="Q26" s="84">
        <f t="shared" si="1"/>
        <v>0</v>
      </c>
      <c r="R26" s="85">
        <f>ROUND((M26-K26-P26-Q26)/11, 0)</f>
        <v>-1347</v>
      </c>
      <c r="S26" s="86">
        <v>0.4</v>
      </c>
      <c r="T26" s="85">
        <f t="shared" si="2"/>
        <v>-539</v>
      </c>
      <c r="U26" s="87">
        <f t="shared" si="7"/>
        <v>-540</v>
      </c>
      <c r="V26" s="88">
        <f t="shared" si="3"/>
        <v>-5803.636363636364</v>
      </c>
      <c r="W26" s="88">
        <f t="array" ref="W26">INDEX(정보!$N$4:$O$23, MATCH(D26, 정보!$N$4:$N$23, 0), 2)*F26-H26</f>
        <v>-6650</v>
      </c>
      <c r="X26" s="88">
        <f t="shared" si="8"/>
        <v>-12932</v>
      </c>
      <c r="Y26" s="88">
        <f>U26-K26</f>
        <v>-14818</v>
      </c>
      <c r="Z26" s="89">
        <f t="array" ref="Z26">V26/(INDEX(정보!$N$4:$O$23, MATCH(D26, 정보!$N$4:$N$23, 0), 2)*F26)</f>
        <v>-1.1724517906336089</v>
      </c>
      <c r="AA26" s="90">
        <f t="array" ref="AA26">W26/(INDEX(정보!$N$4:$O$23, MATCH(D26, 정보!$N$4:$N$23, 0), 2)*F26)</f>
        <v>-1.3434343434343434</v>
      </c>
      <c r="AB26" s="91">
        <f t="shared" si="9"/>
        <v>21.553333333333335</v>
      </c>
      <c r="AC26" s="92">
        <f t="shared" si="4"/>
        <v>24.696666666666665</v>
      </c>
      <c r="AD26" s="93">
        <f t="shared" si="5"/>
        <v>3.1433333333333309</v>
      </c>
    </row>
    <row r="27" spans="2:30" ht="16.5" customHeight="1" thickTop="1" thickBot="1" x14ac:dyDescent="0.35">
      <c r="B27" s="75" t="s">
        <v>129</v>
      </c>
      <c r="C27" s="76" t="s">
        <v>130</v>
      </c>
      <c r="D27" s="77" t="s">
        <v>136</v>
      </c>
      <c r="E27" s="78">
        <v>4</v>
      </c>
      <c r="F27" s="78">
        <v>1</v>
      </c>
      <c r="G27" s="78">
        <f>INDEX(정보!$B$4:$C$23, MATCH(D27, 정보!$B$4:$B44, 0), 2)*E27</f>
        <v>15435</v>
      </c>
      <c r="H27" s="79">
        <f t="shared" si="10"/>
        <v>15500</v>
      </c>
      <c r="I27" s="79">
        <f t="array" ref="I27">INDEX(정보!$E$4:$G$43, MATCH(1, (정보!$E$4:$E$43=D27)*(정보!$F$4:$F$43=E27), 0), 3)*F27</f>
        <v>3200</v>
      </c>
      <c r="J27" s="80">
        <v>23</v>
      </c>
      <c r="K27" s="80">
        <f t="shared" si="0"/>
        <v>18677</v>
      </c>
      <c r="L27" s="81">
        <v>23.203700000000001</v>
      </c>
      <c r="M27" s="82">
        <f>ROUND(((10-S27)*K27/(-11*L27+(10-S27)*(1-O27)))-(J27*F27), -1)</f>
        <v>-750</v>
      </c>
      <c r="N27" s="83" t="s">
        <v>132</v>
      </c>
      <c r="O27" s="116">
        <f t="array" ref="O27">INDEX(정보!$I$4:$J$13, MATCH(B27,정보!$I$4:$I$13, 0), 2)</f>
        <v>0.1</v>
      </c>
      <c r="P27" s="84">
        <f t="shared" si="6"/>
        <v>-75</v>
      </c>
      <c r="Q27" s="84">
        <f t="shared" si="1"/>
        <v>0</v>
      </c>
      <c r="R27" s="85">
        <f>ROUND((M27-K27-P27-Q27)/11, 0)</f>
        <v>-1759</v>
      </c>
      <c r="S27" s="86">
        <v>0.4</v>
      </c>
      <c r="T27" s="85">
        <f t="shared" si="2"/>
        <v>-704</v>
      </c>
      <c r="U27" s="87">
        <f t="shared" si="7"/>
        <v>-675</v>
      </c>
      <c r="V27" s="88">
        <f t="shared" si="3"/>
        <v>-9207.2727272727261</v>
      </c>
      <c r="W27" s="88">
        <f t="array" ref="W27">INDEX(정보!$N$4:$O$23, MATCH(D27, 정보!$N$4:$N$23, 0), 2)*F27-H27</f>
        <v>-10550</v>
      </c>
      <c r="X27" s="88">
        <f t="shared" si="8"/>
        <v>-16889</v>
      </c>
      <c r="Y27" s="88">
        <f>U27-K27</f>
        <v>-19352</v>
      </c>
      <c r="Z27" s="89">
        <f t="array" ref="Z27">V27/(INDEX(정보!$N$4:$O$23, MATCH(D27, 정보!$N$4:$N$23, 0), 2)*F27)</f>
        <v>-1.8600550964187326</v>
      </c>
      <c r="AA27" s="90">
        <f t="array" ref="AA27">W27/(INDEX(정보!$N$4:$O$23, MATCH(D27, 정보!$N$4:$N$23, 0), 2)*F27)</f>
        <v>-2.1313131313131315</v>
      </c>
      <c r="AB27" s="91">
        <f t="shared" si="9"/>
        <v>22.518666666666668</v>
      </c>
      <c r="AC27" s="92">
        <f t="shared" si="4"/>
        <v>25.802666666666667</v>
      </c>
      <c r="AD27" s="93">
        <f t="shared" si="5"/>
        <v>3.2839999999999989</v>
      </c>
    </row>
    <row r="28" spans="2:30" s="112" customFormat="1" ht="8.1" customHeight="1" thickTop="1" thickBot="1" x14ac:dyDescent="0.35">
      <c r="B28" s="96"/>
      <c r="C28" s="97"/>
      <c r="D28" s="98"/>
      <c r="E28" s="99"/>
      <c r="F28" s="99"/>
      <c r="G28" s="99"/>
      <c r="H28" s="100"/>
      <c r="I28" s="101"/>
      <c r="J28" s="101"/>
      <c r="K28" s="101"/>
      <c r="L28" s="113"/>
      <c r="M28" s="114"/>
      <c r="N28" s="102"/>
      <c r="O28" s="117"/>
      <c r="P28" s="104"/>
      <c r="Q28" s="104"/>
      <c r="R28" s="104"/>
      <c r="S28" s="103"/>
      <c r="T28" s="104"/>
      <c r="U28" s="104"/>
      <c r="V28" s="105"/>
      <c r="W28" s="105"/>
      <c r="X28" s="105"/>
      <c r="Y28" s="105"/>
      <c r="Z28" s="106"/>
      <c r="AA28" s="106"/>
      <c r="AB28" s="106"/>
      <c r="AC28" s="107"/>
      <c r="AD28" s="115"/>
    </row>
    <row r="29" spans="2:30" ht="16.5" customHeight="1" thickTop="1" thickBot="1" x14ac:dyDescent="0.35">
      <c r="B29" s="75" t="s">
        <v>129</v>
      </c>
      <c r="C29" s="76" t="s">
        <v>133</v>
      </c>
      <c r="D29" s="77" t="s">
        <v>137</v>
      </c>
      <c r="E29" s="78">
        <v>1</v>
      </c>
      <c r="F29" s="78">
        <v>1</v>
      </c>
      <c r="G29" s="78">
        <f>INDEX(정보!$B$4:$C$23, MATCH(D29, 정보!$B$4:$B46, 0), 2)*E29</f>
        <v>3639.3333333333335</v>
      </c>
      <c r="H29" s="79">
        <f t="shared" si="10"/>
        <v>3700</v>
      </c>
      <c r="I29" s="79">
        <f t="array" ref="I29">INDEX(정보!$E$4:$G$43, MATCH(1, (정보!$E$4:$E$43=D29)*(정보!$F$4:$F$43=E29), 0), 3)*F29</f>
        <v>2300</v>
      </c>
      <c r="J29" s="80">
        <v>50</v>
      </c>
      <c r="K29" s="80">
        <f t="shared" si="0"/>
        <v>5950</v>
      </c>
      <c r="L29" s="81">
        <v>0.22</v>
      </c>
      <c r="M29" s="82">
        <f>ROUND(((10-S29)*K29/(-11*L29+(10-S29)*(1-O29)))-(J29*F29), -1)</f>
        <v>9130</v>
      </c>
      <c r="N29" s="83" t="s">
        <v>132</v>
      </c>
      <c r="O29" s="116">
        <f t="array" ref="O29">INDEX(정보!$I$4:$J$13, MATCH(B29,정보!$I$4:$I$13, 0), 2)</f>
        <v>0.1</v>
      </c>
      <c r="P29" s="84">
        <f t="shared" si="6"/>
        <v>913</v>
      </c>
      <c r="Q29" s="84">
        <f t="shared" si="1"/>
        <v>0</v>
      </c>
      <c r="R29" s="85">
        <f>ROUND((M29-K29-P29-Q29)/11, 0)</f>
        <v>206</v>
      </c>
      <c r="S29" s="86">
        <v>0.4</v>
      </c>
      <c r="T29" s="85">
        <f t="shared" si="2"/>
        <v>82</v>
      </c>
      <c r="U29" s="87">
        <f t="shared" si="7"/>
        <v>8217</v>
      </c>
      <c r="V29" s="88">
        <f t="shared" si="3"/>
        <v>843.63636363636397</v>
      </c>
      <c r="W29" s="88">
        <f t="array" ref="W29">INDEX(정보!$N$4:$O$23, MATCH(D29, 정보!$N$4:$N$23, 0), 2)*F29-H29</f>
        <v>966.66666666666697</v>
      </c>
      <c r="X29" s="88">
        <f t="shared" si="8"/>
        <v>1979</v>
      </c>
      <c r="Y29" s="88">
        <f>U29-K29</f>
        <v>2267</v>
      </c>
      <c r="Z29" s="89">
        <f>V29/(INDEX(정보!$N$4:$O$23, MATCH(D29, 정보!$N$4:$N$23, 0), 2)*E29)</f>
        <v>0.18077922077922084</v>
      </c>
      <c r="AA29" s="90">
        <f>W29/(INDEX(정보!$N$4:$O$23, MATCH(D29, 정보!$N$4:$N$23, 0), 2)*E29)</f>
        <v>0.20714285714285718</v>
      </c>
      <c r="AB29" s="91">
        <f t="shared" si="9"/>
        <v>0.2167579408543264</v>
      </c>
      <c r="AC29" s="92">
        <f t="shared" si="4"/>
        <v>0.24830230010952903</v>
      </c>
      <c r="AD29" s="93">
        <f t="shared" si="5"/>
        <v>3.1544359255202631E-2</v>
      </c>
    </row>
    <row r="30" spans="2:30" ht="16.5" customHeight="1" thickTop="1" thickBot="1" x14ac:dyDescent="0.35">
      <c r="B30" s="75" t="s">
        <v>129</v>
      </c>
      <c r="C30" s="76" t="s">
        <v>133</v>
      </c>
      <c r="D30" s="77" t="s">
        <v>137</v>
      </c>
      <c r="E30" s="78">
        <v>2</v>
      </c>
      <c r="F30" s="78">
        <v>1</v>
      </c>
      <c r="G30" s="78">
        <f>INDEX(정보!$B$4:$C$23, MATCH(D30, 정보!$B$4:$B47, 0), 2)*E30</f>
        <v>7278.666666666667</v>
      </c>
      <c r="H30" s="79">
        <f t="shared" si="10"/>
        <v>7300</v>
      </c>
      <c r="I30" s="79">
        <f t="array" ref="I30">INDEX(정보!$E$4:$G$43, MATCH(1, (정보!$E$4:$E$43=D30)*(정보!$F$4:$F$43=E30), 0), 3)*F30</f>
        <v>2300</v>
      </c>
      <c r="J30" s="80">
        <v>0</v>
      </c>
      <c r="K30" s="80">
        <f t="shared" si="0"/>
        <v>9600</v>
      </c>
      <c r="L30" s="81">
        <v>0.21</v>
      </c>
      <c r="M30" s="82">
        <f>ROUND(((10-S30)*K30/(-11*L30+(10-S30)*(1-O30)))-(J30*F30), -1)</f>
        <v>14560</v>
      </c>
      <c r="N30" s="83" t="s">
        <v>132</v>
      </c>
      <c r="O30" s="116">
        <f t="array" ref="O30">INDEX(정보!$I$4:$J$13, MATCH(B30,정보!$I$4:$I$13, 0), 2)</f>
        <v>0.1</v>
      </c>
      <c r="P30" s="84">
        <f t="shared" si="6"/>
        <v>1456</v>
      </c>
      <c r="Q30" s="84">
        <f t="shared" si="1"/>
        <v>0</v>
      </c>
      <c r="R30" s="85">
        <f>ROUND((M30-K30-P30-Q30)/11, 0)</f>
        <v>319</v>
      </c>
      <c r="S30" s="86">
        <v>0.4</v>
      </c>
      <c r="T30" s="85">
        <f t="shared" si="2"/>
        <v>128</v>
      </c>
      <c r="U30" s="87">
        <f t="shared" si="7"/>
        <v>13104</v>
      </c>
      <c r="V30" s="88">
        <f t="shared" si="3"/>
        <v>1774.545454545455</v>
      </c>
      <c r="W30" s="88">
        <f>INDEX(정보!$N$4:$O$23, MATCH(D30, 정보!$N$4:$N$23, 0), 2)*E30-H30</f>
        <v>2033.3333333333339</v>
      </c>
      <c r="X30" s="88">
        <f t="shared" si="8"/>
        <v>3057</v>
      </c>
      <c r="Y30" s="88">
        <f>U30-K30</f>
        <v>3504</v>
      </c>
      <c r="Z30" s="89">
        <f>V30/(INDEX(정보!$N$4:$O$23, MATCH(D30, 정보!$N$4:$N$23, 0), 2)*E30)</f>
        <v>0.19012987012987015</v>
      </c>
      <c r="AA30" s="90">
        <f>W30/(INDEX(정보!$N$4:$O$23, MATCH(D30, 정보!$N$4:$N$23, 0), 2)*E30)</f>
        <v>0.21785714285714292</v>
      </c>
      <c r="AB30" s="91">
        <f t="shared" si="9"/>
        <v>0.20995879120879121</v>
      </c>
      <c r="AC30" s="92">
        <f t="shared" si="4"/>
        <v>0.24065934065934066</v>
      </c>
      <c r="AD30" s="93">
        <f t="shared" si="5"/>
        <v>3.0700549450549453E-2</v>
      </c>
    </row>
    <row r="31" spans="2:30" ht="16.5" customHeight="1" thickTop="1" thickBot="1" x14ac:dyDescent="0.35">
      <c r="B31" s="75" t="s">
        <v>129</v>
      </c>
      <c r="C31" s="76" t="s">
        <v>130</v>
      </c>
      <c r="D31" s="77" t="s">
        <v>137</v>
      </c>
      <c r="E31" s="78">
        <v>3</v>
      </c>
      <c r="F31" s="78">
        <v>1</v>
      </c>
      <c r="G31" s="78">
        <f>INDEX(정보!$B$4:$C$23, MATCH(D31, 정보!$B$4:$B48, 0), 2)*E31</f>
        <v>10918</v>
      </c>
      <c r="H31" s="79">
        <f t="shared" si="10"/>
        <v>11000</v>
      </c>
      <c r="I31" s="79">
        <f t="array" ref="I31">INDEX(정보!$E$4:$G$43, MATCH(1, (정보!$E$4:$E$43=D31)*(정보!$F$4:$F$43=E31), 0), 3)*F31</f>
        <v>2700</v>
      </c>
      <c r="J31" s="80">
        <v>0</v>
      </c>
      <c r="K31" s="80">
        <f t="shared" si="0"/>
        <v>13700</v>
      </c>
      <c r="L31" s="81">
        <v>0.19</v>
      </c>
      <c r="M31" s="82">
        <f>ROUND(((10-S31)*K31/(-11*L31+(10-S31)*(1-O31)))-(J31*F31), -1)</f>
        <v>20080</v>
      </c>
      <c r="N31" s="83" t="s">
        <v>132</v>
      </c>
      <c r="O31" s="116">
        <f t="array" ref="O31">INDEX(정보!$I$4:$J$13, MATCH(B31,정보!$I$4:$I$13, 0), 2)</f>
        <v>0.1</v>
      </c>
      <c r="P31" s="84">
        <f t="shared" si="6"/>
        <v>2008</v>
      </c>
      <c r="Q31" s="84">
        <f t="shared" si="1"/>
        <v>0</v>
      </c>
      <c r="R31" s="85">
        <f>ROUND((M31-K31-P31-Q31)/11, 0)</f>
        <v>397</v>
      </c>
      <c r="S31" s="86">
        <v>0.4</v>
      </c>
      <c r="T31" s="85">
        <f t="shared" si="2"/>
        <v>159</v>
      </c>
      <c r="U31" s="87">
        <f t="shared" si="7"/>
        <v>18072</v>
      </c>
      <c r="V31" s="88">
        <f t="shared" si="3"/>
        <v>2618.181818181818</v>
      </c>
      <c r="W31" s="88">
        <f>INDEX(정보!$N$4:$O$23, MATCH(D31, 정보!$N$4:$N$23, 0), 2)*E31-H31</f>
        <v>3000</v>
      </c>
      <c r="X31" s="88">
        <f t="shared" si="8"/>
        <v>3816</v>
      </c>
      <c r="Y31" s="88">
        <f>U31-K31</f>
        <v>4372</v>
      </c>
      <c r="Z31" s="89">
        <f>V31/(INDEX(정보!$N$4:$O$23, MATCH(D31, 정보!$N$4:$N$23, 0), 2)*E31)</f>
        <v>0.18701298701298699</v>
      </c>
      <c r="AA31" s="90">
        <f>W31/(INDEX(정보!$N$4:$O$23, MATCH(D31, 정보!$N$4:$N$23, 0), 2)*E31)</f>
        <v>0.21428571428571427</v>
      </c>
      <c r="AB31" s="91">
        <f t="shared" si="9"/>
        <v>0.19003984063745019</v>
      </c>
      <c r="AC31" s="92">
        <f t="shared" si="4"/>
        <v>0.21772908366533864</v>
      </c>
      <c r="AD31" s="93">
        <f t="shared" si="5"/>
        <v>2.7689243027888444E-2</v>
      </c>
    </row>
    <row r="32" spans="2:30" s="112" customFormat="1" ht="8.1" customHeight="1" thickTop="1" thickBot="1" x14ac:dyDescent="0.35">
      <c r="B32" s="96"/>
      <c r="C32" s="97"/>
      <c r="D32" s="98"/>
      <c r="E32" s="99"/>
      <c r="F32" s="99"/>
      <c r="G32" s="99"/>
      <c r="H32" s="100"/>
      <c r="I32" s="100"/>
      <c r="J32" s="101"/>
      <c r="K32" s="101"/>
      <c r="L32" s="113"/>
      <c r="M32" s="114"/>
      <c r="N32" s="102"/>
      <c r="O32" s="117"/>
      <c r="P32" s="104"/>
      <c r="Q32" s="104"/>
      <c r="R32" s="104"/>
      <c r="S32" s="103"/>
      <c r="T32" s="104"/>
      <c r="U32" s="104"/>
      <c r="V32" s="105"/>
      <c r="W32" s="105"/>
      <c r="X32" s="105"/>
      <c r="Y32" s="105"/>
      <c r="Z32" s="106"/>
      <c r="AA32" s="106"/>
      <c r="AB32" s="106"/>
      <c r="AC32" s="107"/>
      <c r="AD32" s="115"/>
    </row>
    <row r="33" spans="2:30" ht="16.5" customHeight="1" thickTop="1" thickBot="1" x14ac:dyDescent="0.35">
      <c r="B33" s="75" t="s">
        <v>129</v>
      </c>
      <c r="C33" s="76" t="s">
        <v>133</v>
      </c>
      <c r="D33" s="77" t="s">
        <v>138</v>
      </c>
      <c r="E33" s="78">
        <v>1</v>
      </c>
      <c r="F33" s="78">
        <v>1</v>
      </c>
      <c r="G33" s="78">
        <f>INDEX(정보!$B$4:$C$23, MATCH(D33, 정보!$B$4:$B50, 0), 2)*E33</f>
        <v>4373.333333333333</v>
      </c>
      <c r="H33" s="79">
        <f t="shared" si="10"/>
        <v>4400</v>
      </c>
      <c r="I33" s="79">
        <f t="array" ref="I33">INDEX(정보!$E$4:$G$43, MATCH(1, (정보!$E$4:$E$43=D33)*(정보!$F$4:$F$43=E33), 0), 3)*F33</f>
        <v>2300</v>
      </c>
      <c r="J33" s="80">
        <v>110</v>
      </c>
      <c r="K33" s="80">
        <f t="shared" si="0"/>
        <v>6590</v>
      </c>
      <c r="L33" s="81">
        <v>0.22500000000000001</v>
      </c>
      <c r="M33" s="82">
        <f>ROUND(((10-S33)*K33/(-11*L33+(10-S33)*(1-O33)))-(J33*F33), -1)</f>
        <v>10150</v>
      </c>
      <c r="N33" s="83" t="s">
        <v>132</v>
      </c>
      <c r="O33" s="116">
        <f t="array" ref="O33">INDEX(정보!$I$4:$J$13, MATCH(B33,정보!$I$4:$I$13, 0), 2)</f>
        <v>0.1</v>
      </c>
      <c r="P33" s="84">
        <f t="shared" si="6"/>
        <v>1015</v>
      </c>
      <c r="Q33" s="84">
        <f t="shared" si="1"/>
        <v>0</v>
      </c>
      <c r="R33" s="85">
        <f>ROUND((M33-K33-P33-Q33)/11, 0)</f>
        <v>231</v>
      </c>
      <c r="S33" s="86">
        <v>0.4</v>
      </c>
      <c r="T33" s="85">
        <f t="shared" si="2"/>
        <v>92</v>
      </c>
      <c r="U33" s="87">
        <f t="shared" si="7"/>
        <v>9135</v>
      </c>
      <c r="V33" s="88">
        <f t="shared" si="3"/>
        <v>1047.2727272727273</v>
      </c>
      <c r="W33" s="88">
        <f t="array" ref="W33">INDEX(정보!$N$4:$O$23, MATCH(D33, 정보!$N$4:$N$23, 0), 2)*F33-H33</f>
        <v>1200</v>
      </c>
      <c r="X33" s="88">
        <f t="shared" si="8"/>
        <v>2222</v>
      </c>
      <c r="Y33" s="88">
        <f>U33-K33</f>
        <v>2545</v>
      </c>
      <c r="Z33" s="89">
        <f t="array" ref="Z33">V33/(INDEX(정보!$N$4:$O$23, MATCH(D33, 정보!$N$4:$N$23, 0), 2)*F33)</f>
        <v>0.18701298701298702</v>
      </c>
      <c r="AA33" s="90">
        <f t="array" ref="AA33">W33/(INDEX(정보!$N$4:$O$23, MATCH(D33, 정보!$N$4:$N$23, 0), 2)*F33)</f>
        <v>0.21428571428571427</v>
      </c>
      <c r="AB33" s="91">
        <f t="shared" si="9"/>
        <v>0.21891625615763546</v>
      </c>
      <c r="AC33" s="92">
        <f t="shared" si="4"/>
        <v>0.25073891625615763</v>
      </c>
      <c r="AD33" s="93">
        <f t="shared" si="5"/>
        <v>3.1822660098522165E-2</v>
      </c>
    </row>
    <row r="34" spans="2:30" ht="16.5" customHeight="1" thickTop="1" thickBot="1" x14ac:dyDescent="0.35">
      <c r="B34" s="75" t="s">
        <v>129</v>
      </c>
      <c r="C34" s="76" t="s">
        <v>133</v>
      </c>
      <c r="D34" s="77" t="s">
        <v>138</v>
      </c>
      <c r="E34" s="78">
        <v>2</v>
      </c>
      <c r="F34" s="78">
        <v>1</v>
      </c>
      <c r="G34" s="78">
        <f>INDEX(정보!$B$4:$C$23, MATCH(D34, 정보!$B$4:$B51, 0), 2)*E34</f>
        <v>8746.6666666666661</v>
      </c>
      <c r="H34" s="79">
        <f t="shared" si="10"/>
        <v>8800</v>
      </c>
      <c r="I34" s="79">
        <f t="array" ref="I34">INDEX(정보!$E$4:$G$43, MATCH(1, (정보!$E$4:$E$43=D34)*(정보!$F$4:$F$43=E34), 0), 3)*F34</f>
        <v>2700</v>
      </c>
      <c r="J34" s="80"/>
      <c r="K34" s="80">
        <f t="shared" si="0"/>
        <v>11500</v>
      </c>
      <c r="L34" s="81">
        <v>0.215</v>
      </c>
      <c r="M34" s="82">
        <f>ROUND(((10-S34)*K34/(-11*L34+(10-S34)*(1-O34)))-(J34*F34), -1)</f>
        <v>17590</v>
      </c>
      <c r="N34" s="83" t="s">
        <v>132</v>
      </c>
      <c r="O34" s="116">
        <f t="array" ref="O34">INDEX(정보!$I$4:$J$13, MATCH(B34,정보!$I$4:$I$13, 0), 2)</f>
        <v>0.1</v>
      </c>
      <c r="P34" s="84">
        <f t="shared" si="6"/>
        <v>1759</v>
      </c>
      <c r="Q34" s="84">
        <f t="shared" si="1"/>
        <v>0</v>
      </c>
      <c r="R34" s="85">
        <f>ROUND((M34-K34-P34-Q34)/11, 0)</f>
        <v>394</v>
      </c>
      <c r="S34" s="86">
        <v>0.4</v>
      </c>
      <c r="T34" s="85">
        <f t="shared" si="2"/>
        <v>158</v>
      </c>
      <c r="U34" s="87">
        <f t="shared" si="7"/>
        <v>15831</v>
      </c>
      <c r="V34" s="88">
        <f t="shared" si="3"/>
        <v>-2792.7272727272725</v>
      </c>
      <c r="W34" s="88">
        <f t="array" ref="W34">INDEX(정보!$N$4:$O$23, MATCH(D34, 정보!$N$4:$N$23, 0), 2)*F34-H34</f>
        <v>-3200</v>
      </c>
      <c r="X34" s="88">
        <f t="shared" si="8"/>
        <v>3779</v>
      </c>
      <c r="Y34" s="88">
        <f>U34-K34</f>
        <v>4331</v>
      </c>
      <c r="Z34" s="89">
        <f t="array" ref="Z34">V34/(INDEX(정보!$N$4:$O$23, MATCH(D34, 정보!$N$4:$N$23, 0), 2)*F34)</f>
        <v>-0.49870129870129865</v>
      </c>
      <c r="AA34" s="90">
        <f t="array" ref="AA34">W34/(INDEX(정보!$N$4:$O$23, MATCH(D34, 정보!$N$4:$N$23, 0), 2)*F34)</f>
        <v>-0.5714285714285714</v>
      </c>
      <c r="AB34" s="91">
        <f t="shared" si="9"/>
        <v>0.21483797612279704</v>
      </c>
      <c r="AC34" s="92">
        <f t="shared" si="4"/>
        <v>0.24621944286526434</v>
      </c>
      <c r="AD34" s="93">
        <f t="shared" si="5"/>
        <v>3.1381466742467307E-2</v>
      </c>
    </row>
    <row r="35" spans="2:30" ht="16.5" customHeight="1" thickTop="1" thickBot="1" x14ac:dyDescent="0.35">
      <c r="B35" s="75" t="s">
        <v>129</v>
      </c>
      <c r="C35" s="76" t="s">
        <v>130</v>
      </c>
      <c r="D35" s="77" t="s">
        <v>138</v>
      </c>
      <c r="E35" s="78">
        <v>3</v>
      </c>
      <c r="F35" s="78">
        <v>1</v>
      </c>
      <c r="G35" s="78">
        <f>INDEX(정보!$B$4:$C$23, MATCH(D35, 정보!$B$4:$B52, 0), 2)*E35</f>
        <v>13120</v>
      </c>
      <c r="H35" s="79">
        <f t="shared" si="10"/>
        <v>13200</v>
      </c>
      <c r="I35" s="79">
        <f t="array" ref="I35">INDEX(정보!$E$4:$G$43, MATCH(1, (정보!$E$4:$E$43=D35)*(정보!$F$4:$F$43=E35), 0), 3)*F35</f>
        <v>3200</v>
      </c>
      <c r="J35" s="80">
        <v>120</v>
      </c>
      <c r="K35" s="80">
        <f t="shared" si="0"/>
        <v>16280</v>
      </c>
      <c r="L35" s="81">
        <v>0.2</v>
      </c>
      <c r="M35" s="82">
        <f>ROUND(((10-S35)*K35/(-11*L35+(10-S35)*(1-O35)))-(J35*F35), -1)</f>
        <v>24150</v>
      </c>
      <c r="N35" s="83" t="s">
        <v>132</v>
      </c>
      <c r="O35" s="116">
        <f t="array" ref="O35">INDEX(정보!$I$4:$J$13, MATCH(B35,정보!$I$4:$I$13, 0), 2)</f>
        <v>0.1</v>
      </c>
      <c r="P35" s="84">
        <f t="shared" si="6"/>
        <v>2415</v>
      </c>
      <c r="Q35" s="84">
        <f t="shared" si="1"/>
        <v>0</v>
      </c>
      <c r="R35" s="85">
        <f>ROUND((M35-K35-P35-Q35)/11, 0)</f>
        <v>496</v>
      </c>
      <c r="S35" s="86">
        <v>0.4</v>
      </c>
      <c r="T35" s="85">
        <f t="shared" si="2"/>
        <v>198</v>
      </c>
      <c r="U35" s="87">
        <f t="shared" si="7"/>
        <v>21735</v>
      </c>
      <c r="V35" s="88">
        <f t="shared" si="3"/>
        <v>-6632.727272727273</v>
      </c>
      <c r="W35" s="88">
        <f t="array" ref="W35">INDEX(정보!$N$4:$O$23, MATCH(D35, 정보!$N$4:$N$23, 0), 2)*F35-H35</f>
        <v>-7600</v>
      </c>
      <c r="X35" s="88">
        <f t="shared" si="8"/>
        <v>4761</v>
      </c>
      <c r="Y35" s="88">
        <f>U35-K35</f>
        <v>5455</v>
      </c>
      <c r="Z35" s="89">
        <f t="array" ref="Z35">V35/(INDEX(정보!$N$4:$O$23, MATCH(D35, 정보!$N$4:$N$23, 0), 2)*F35)</f>
        <v>-1.1844155844155844</v>
      </c>
      <c r="AA35" s="90">
        <f t="array" ref="AA35">W35/(INDEX(정보!$N$4:$O$23, MATCH(D35, 정보!$N$4:$N$23, 0), 2)*F35)</f>
        <v>-1.3571428571428572</v>
      </c>
      <c r="AB35" s="91">
        <f t="shared" si="9"/>
        <v>0.19714285714285715</v>
      </c>
      <c r="AC35" s="92">
        <f t="shared" si="4"/>
        <v>0.22587991718426501</v>
      </c>
      <c r="AD35" s="93">
        <f t="shared" si="5"/>
        <v>2.8737060041407858E-2</v>
      </c>
    </row>
    <row r="36" spans="2:30" s="112" customFormat="1" ht="8.1" customHeight="1" thickTop="1" thickBot="1" x14ac:dyDescent="0.35">
      <c r="B36" s="96"/>
      <c r="C36" s="97"/>
      <c r="D36" s="98"/>
      <c r="E36" s="99"/>
      <c r="F36" s="99"/>
      <c r="G36" s="99"/>
      <c r="H36" s="100"/>
      <c r="I36" s="100"/>
      <c r="J36" s="101"/>
      <c r="K36" s="101"/>
      <c r="L36" s="113"/>
      <c r="M36" s="114"/>
      <c r="N36" s="102"/>
      <c r="O36" s="117"/>
      <c r="P36" s="104"/>
      <c r="Q36" s="104"/>
      <c r="R36" s="104"/>
      <c r="S36" s="103"/>
      <c r="T36" s="104"/>
      <c r="U36" s="104"/>
      <c r="V36" s="105"/>
      <c r="W36" s="105"/>
      <c r="X36" s="105"/>
      <c r="Y36" s="105"/>
      <c r="Z36" s="106"/>
      <c r="AA36" s="106"/>
      <c r="AB36" s="106"/>
      <c r="AC36" s="107"/>
      <c r="AD36" s="115"/>
    </row>
    <row r="37" spans="2:30" ht="16.5" customHeight="1" thickTop="1" thickBot="1" x14ac:dyDescent="0.35">
      <c r="B37" s="75" t="s">
        <v>129</v>
      </c>
      <c r="C37" s="76" t="s">
        <v>133</v>
      </c>
      <c r="D37" s="77" t="s">
        <v>139</v>
      </c>
      <c r="E37" s="78">
        <v>1</v>
      </c>
      <c r="F37" s="78">
        <v>1</v>
      </c>
      <c r="G37" s="78">
        <f>INDEX(정보!$B$4:$C$23, MATCH(D37, 정보!$B$4:$B54, 0), 2)*E37</f>
        <v>5024.666666666667</v>
      </c>
      <c r="H37" s="79">
        <f t="shared" si="10"/>
        <v>5100</v>
      </c>
      <c r="I37" s="79">
        <f t="array" ref="I37">INDEX(정보!$E$4:$G$43, MATCH(1, (정보!$E$4:$E$43=D37)*(정보!$F$4:$F$43=E37), 0), 3)*F37</f>
        <v>2300</v>
      </c>
      <c r="J37" s="80">
        <v>40</v>
      </c>
      <c r="K37" s="80">
        <f t="shared" si="0"/>
        <v>7360</v>
      </c>
      <c r="L37" s="81">
        <v>0.21199999999999999</v>
      </c>
      <c r="M37" s="82">
        <f>ROUND(((10-S37)*K37/(-11*L37+(10-S37)*(1-O37)))-(J37*F37), -1)</f>
        <v>11160</v>
      </c>
      <c r="N37" s="83" t="s">
        <v>132</v>
      </c>
      <c r="O37" s="116">
        <f t="array" ref="O37">INDEX(정보!$I$4:$J$13, MATCH(B37,정보!$I$4:$I$13, 0), 2)</f>
        <v>0.1</v>
      </c>
      <c r="P37" s="84">
        <f t="shared" si="6"/>
        <v>1116</v>
      </c>
      <c r="Q37" s="84">
        <f t="shared" si="1"/>
        <v>0</v>
      </c>
      <c r="R37" s="85">
        <f>ROUND((M37-K37-P37-Q37)/11, 0)</f>
        <v>244</v>
      </c>
      <c r="S37" s="86">
        <v>0.4</v>
      </c>
      <c r="T37" s="85">
        <f t="shared" si="2"/>
        <v>98</v>
      </c>
      <c r="U37" s="87">
        <f t="shared" si="7"/>
        <v>10044</v>
      </c>
      <c r="V37" s="88">
        <f t="shared" si="3"/>
        <v>1163.6363636363633</v>
      </c>
      <c r="W37" s="88">
        <f t="array" ref="W37">INDEX(정보!$N$4:$O$23, MATCH(D37, 정보!$N$4:$N$23, 0), 2)*F37-H37</f>
        <v>1333.333333333333</v>
      </c>
      <c r="X37" s="88">
        <f t="shared" si="8"/>
        <v>2342</v>
      </c>
      <c r="Y37" s="88">
        <f>U37-K37</f>
        <v>2684</v>
      </c>
      <c r="Z37" s="89">
        <f t="array" ref="Z37">V37/(INDEX(정보!$N$4:$O$23, MATCH(D37, 정보!$N$4:$N$23, 0), 2)*F37)</f>
        <v>0.18087611869995285</v>
      </c>
      <c r="AA37" s="90">
        <f t="array" ref="AA37">W37/(INDEX(정보!$N$4:$O$23, MATCH(D37, 정보!$N$4:$N$23, 0), 2)*F37)</f>
        <v>0.20725388601036265</v>
      </c>
      <c r="AB37" s="91">
        <f t="shared" si="9"/>
        <v>0.20985663082437275</v>
      </c>
      <c r="AC37" s="92">
        <f t="shared" si="4"/>
        <v>0.24050179211469533</v>
      </c>
      <c r="AD37" s="93">
        <f t="shared" si="5"/>
        <v>3.0645161290322576E-2</v>
      </c>
    </row>
    <row r="38" spans="2:30" ht="16.5" customHeight="1" thickTop="1" thickBot="1" x14ac:dyDescent="0.35">
      <c r="B38" s="75" t="s">
        <v>129</v>
      </c>
      <c r="C38" s="76" t="s">
        <v>133</v>
      </c>
      <c r="D38" s="77" t="s">
        <v>139</v>
      </c>
      <c r="E38" s="78">
        <v>2</v>
      </c>
      <c r="F38" s="78">
        <v>1</v>
      </c>
      <c r="G38" s="78">
        <f>INDEX(정보!$B$4:$C$23, MATCH(D38, 정보!$B$4:$B55, 0), 2)*E38</f>
        <v>10049.333333333334</v>
      </c>
      <c r="H38" s="79">
        <f t="shared" si="10"/>
        <v>10100</v>
      </c>
      <c r="I38" s="79">
        <f t="array" ref="I38">INDEX(정보!$E$4:$G$43, MATCH(1, (정보!$E$4:$E$43=D38)*(정보!$F$4:$F$43=E38), 0), 3)*F38</f>
        <v>2700</v>
      </c>
      <c r="J38" s="80">
        <v>0</v>
      </c>
      <c r="K38" s="80">
        <f t="shared" si="0"/>
        <v>12800</v>
      </c>
      <c r="L38" s="81">
        <v>0.20200000000000001</v>
      </c>
      <c r="M38" s="82">
        <f>ROUND(((10-S38)*K38/(-11*L38+(10-S38)*(1-O38)))-(J38*F38), -1)</f>
        <v>19150</v>
      </c>
      <c r="N38" s="83" t="s">
        <v>132</v>
      </c>
      <c r="O38" s="116">
        <f t="array" ref="O38">INDEX(정보!$I$4:$J$13, MATCH(B38,정보!$I$4:$I$13, 0), 2)</f>
        <v>0.1</v>
      </c>
      <c r="P38" s="84">
        <f t="shared" si="6"/>
        <v>1915</v>
      </c>
      <c r="Q38" s="84">
        <f t="shared" si="1"/>
        <v>0</v>
      </c>
      <c r="R38" s="85">
        <f>ROUND((M38-K38-P38-Q38)/11, 0)</f>
        <v>403</v>
      </c>
      <c r="S38" s="86">
        <v>0.4</v>
      </c>
      <c r="T38" s="85">
        <f t="shared" si="2"/>
        <v>161</v>
      </c>
      <c r="U38" s="87">
        <f t="shared" si="7"/>
        <v>17235</v>
      </c>
      <c r="V38" s="88">
        <f t="shared" si="3"/>
        <v>-3200</v>
      </c>
      <c r="W38" s="88">
        <f t="array" ref="W38">INDEX(정보!$N$4:$O$23, MATCH(D38, 정보!$N$4:$N$23, 0), 2)*F38-H38</f>
        <v>-3666.666666666667</v>
      </c>
      <c r="X38" s="88">
        <f t="shared" si="8"/>
        <v>3871</v>
      </c>
      <c r="Y38" s="88">
        <f>U38-K38</f>
        <v>4435</v>
      </c>
      <c r="Z38" s="89">
        <f t="array" ref="Z38">V38/(INDEX(정보!$N$4:$O$23, MATCH(D38, 정보!$N$4:$N$23, 0), 2)*F38)</f>
        <v>-0.49740932642487051</v>
      </c>
      <c r="AA38" s="90">
        <f t="array" ref="AA38">W38/(INDEX(정보!$N$4:$O$23, MATCH(D38, 정보!$N$4:$N$23, 0), 2)*F38)</f>
        <v>-0.56994818652849744</v>
      </c>
      <c r="AB38" s="91">
        <f t="shared" si="9"/>
        <v>0.20214099216710182</v>
      </c>
      <c r="AC38" s="92">
        <f t="shared" si="4"/>
        <v>0.23159268929503918</v>
      </c>
      <c r="AD38" s="93">
        <f t="shared" si="5"/>
        <v>2.9451697127937354E-2</v>
      </c>
    </row>
    <row r="39" spans="2:30" ht="16.5" customHeight="1" thickTop="1" thickBot="1" x14ac:dyDescent="0.35">
      <c r="B39" s="75" t="s">
        <v>129</v>
      </c>
      <c r="C39" s="76" t="s">
        <v>130</v>
      </c>
      <c r="D39" s="77" t="s">
        <v>139</v>
      </c>
      <c r="E39" s="78">
        <v>3</v>
      </c>
      <c r="F39" s="78">
        <v>1</v>
      </c>
      <c r="G39" s="78">
        <f>INDEX(정보!$B$4:$C$23, MATCH(D39, 정보!$B$4:$B56, 0), 2)*E39</f>
        <v>15074</v>
      </c>
      <c r="H39" s="79">
        <f t="shared" si="10"/>
        <v>15100</v>
      </c>
      <c r="I39" s="79">
        <f t="array" ref="I39">INDEX(정보!$E$4:$G$43, MATCH(1, (정보!$E$4:$E$43=D39)*(정보!$F$4:$F$43=E39), 0), 3)*F39</f>
        <v>3200</v>
      </c>
      <c r="J39" s="80">
        <v>15</v>
      </c>
      <c r="K39" s="80">
        <f t="shared" si="0"/>
        <v>18285</v>
      </c>
      <c r="L39" s="81">
        <v>0.192</v>
      </c>
      <c r="M39" s="82">
        <f>ROUND(((10-S39)*K39/(-11*L39+(10-S39)*(1-O39)))-(J39*F39), -1)</f>
        <v>26870</v>
      </c>
      <c r="N39" s="83" t="s">
        <v>132</v>
      </c>
      <c r="O39" s="116">
        <f t="array" ref="O39">INDEX(정보!$I$4:$J$13, MATCH(B39,정보!$I$4:$I$13, 0), 2)</f>
        <v>0.1</v>
      </c>
      <c r="P39" s="84">
        <f t="shared" si="6"/>
        <v>2687</v>
      </c>
      <c r="Q39" s="84">
        <f t="shared" si="1"/>
        <v>0</v>
      </c>
      <c r="R39" s="85">
        <f>ROUND((M39-K39-P39-Q39)/11, 0)</f>
        <v>536</v>
      </c>
      <c r="S39" s="86">
        <v>0.4</v>
      </c>
      <c r="T39" s="85">
        <f t="shared" si="2"/>
        <v>214</v>
      </c>
      <c r="U39" s="87">
        <f t="shared" si="7"/>
        <v>24183</v>
      </c>
      <c r="V39" s="88">
        <f t="shared" si="3"/>
        <v>-7563.6363636363649</v>
      </c>
      <c r="W39" s="88">
        <f t="array" ref="W39">INDEX(정보!$N$4:$O$23, MATCH(D39, 정보!$N$4:$N$23, 0), 2)*F39-H39</f>
        <v>-8666.6666666666679</v>
      </c>
      <c r="X39" s="88">
        <f t="shared" si="8"/>
        <v>5148</v>
      </c>
      <c r="Y39" s="88">
        <f>U39-K39</f>
        <v>5898</v>
      </c>
      <c r="Z39" s="89">
        <f t="array" ref="Z39">V39/(INDEX(정보!$N$4:$O$23, MATCH(D39, 정보!$N$4:$N$23, 0), 2)*F39)</f>
        <v>-1.1756947715496942</v>
      </c>
      <c r="AA39" s="90">
        <f t="array" ref="AA39">W39/(INDEX(정보!$N$4:$O$23, MATCH(D39, 정보!$N$4:$N$23, 0), 2)*F39)</f>
        <v>-1.3471502590673579</v>
      </c>
      <c r="AB39" s="91">
        <f t="shared" si="9"/>
        <v>0.1915891328619278</v>
      </c>
      <c r="AC39" s="92">
        <f t="shared" si="4"/>
        <v>0.21950130256791961</v>
      </c>
      <c r="AD39" s="93">
        <f t="shared" si="5"/>
        <v>2.7912169705991807E-2</v>
      </c>
    </row>
    <row r="40" spans="2:30" s="112" customFormat="1" ht="8.1" customHeight="1" thickTop="1" thickBot="1" x14ac:dyDescent="0.35">
      <c r="B40" s="96"/>
      <c r="C40" s="97"/>
      <c r="D40" s="98"/>
      <c r="E40" s="99"/>
      <c r="F40" s="99"/>
      <c r="G40" s="99"/>
      <c r="H40" s="100"/>
      <c r="I40" s="100"/>
      <c r="J40" s="101"/>
      <c r="K40" s="101"/>
      <c r="L40" s="113"/>
      <c r="M40" s="114"/>
      <c r="N40" s="102"/>
      <c r="O40" s="117"/>
      <c r="P40" s="104"/>
      <c r="Q40" s="104"/>
      <c r="R40" s="104"/>
      <c r="S40" s="103"/>
      <c r="T40" s="104"/>
      <c r="U40" s="104"/>
      <c r="V40" s="105"/>
      <c r="W40" s="105"/>
      <c r="X40" s="105"/>
      <c r="Y40" s="105"/>
      <c r="Z40" s="106"/>
      <c r="AA40" s="106"/>
      <c r="AB40" s="106"/>
      <c r="AC40" s="107"/>
      <c r="AD40" s="115"/>
    </row>
    <row r="41" spans="2:30" ht="16.5" customHeight="1" thickTop="1" thickBot="1" x14ac:dyDescent="0.35">
      <c r="B41" s="75" t="s">
        <v>129</v>
      </c>
      <c r="C41" s="76" t="s">
        <v>130</v>
      </c>
      <c r="D41" s="77" t="s">
        <v>140</v>
      </c>
      <c r="E41" s="78">
        <v>1</v>
      </c>
      <c r="F41" s="78">
        <v>1</v>
      </c>
      <c r="G41" s="78">
        <f>INDEX(정보!$B$4:$C$23, MATCH(D41, 정보!$B$4:$B58, 0), 2)*E41</f>
        <v>5196.333333333333</v>
      </c>
      <c r="H41" s="79">
        <f t="shared" si="10"/>
        <v>5200</v>
      </c>
      <c r="I41" s="79">
        <f t="array" ref="I41">INDEX(정보!$E$4:$G$43, MATCH(1, (정보!$E$4:$E$43=D41)*(정보!$F$4:$F$43=E41), 0), 3)*F41</f>
        <v>2300</v>
      </c>
      <c r="J41" s="80">
        <v>0</v>
      </c>
      <c r="K41" s="80">
        <f t="shared" si="0"/>
        <v>7500</v>
      </c>
      <c r="L41" s="81">
        <v>0.22</v>
      </c>
      <c r="M41" s="82">
        <f>ROUND(((10-S41)*K41/(-11*L41+(10-S41)*(1-O41)))-(J41*F41), -1)</f>
        <v>11580</v>
      </c>
      <c r="N41" s="83" t="s">
        <v>132</v>
      </c>
      <c r="O41" s="116">
        <f t="array" ref="O41">INDEX(정보!$I$4:$J$13, MATCH(B41,정보!$I$4:$I$13, 0), 2)</f>
        <v>0.1</v>
      </c>
      <c r="P41" s="84">
        <f t="shared" si="6"/>
        <v>1158</v>
      </c>
      <c r="Q41" s="84">
        <f t="shared" si="1"/>
        <v>0</v>
      </c>
      <c r="R41" s="85">
        <f>ROUND((M41-K41-P41-Q41)/11, 0)</f>
        <v>266</v>
      </c>
      <c r="S41" s="86">
        <v>0.4</v>
      </c>
      <c r="T41" s="85">
        <f t="shared" si="2"/>
        <v>106</v>
      </c>
      <c r="U41" s="87">
        <f t="shared" si="7"/>
        <v>10422</v>
      </c>
      <c r="V41" s="88">
        <f t="shared" si="3"/>
        <v>1280.0000000000002</v>
      </c>
      <c r="W41" s="88">
        <f t="array" ref="W41">INDEX(정보!$N$4:$O$23, MATCH(D41, 정보!$N$4:$N$23, 0), 2)*F41-H41</f>
        <v>1466.666666666667</v>
      </c>
      <c r="X41" s="88">
        <f t="shared" si="8"/>
        <v>2550</v>
      </c>
      <c r="Y41" s="88">
        <f>U41-K41</f>
        <v>2922</v>
      </c>
      <c r="Z41" s="89">
        <f t="array" ref="Z41">V41/(INDEX(정보!$N$4:$O$23, MATCH(D41, 정보!$N$4:$N$23, 0), 2)*F41)</f>
        <v>0.19200000000000003</v>
      </c>
      <c r="AA41" s="90">
        <f t="array" ref="AA41">W41/(INDEX(정보!$N$4:$O$23, MATCH(D41, 정보!$N$4:$N$23, 0), 2)*F41)</f>
        <v>0.22000000000000003</v>
      </c>
      <c r="AB41" s="91">
        <f t="shared" si="9"/>
        <v>0.22020725388601037</v>
      </c>
      <c r="AC41" s="92">
        <f t="shared" si="4"/>
        <v>0.25233160621761658</v>
      </c>
      <c r="AD41" s="93">
        <f t="shared" si="5"/>
        <v>3.212435233160621E-2</v>
      </c>
    </row>
    <row r="42" spans="2:30" ht="16.5" customHeight="1" thickTop="1" thickBot="1" x14ac:dyDescent="0.35">
      <c r="B42" s="75" t="s">
        <v>129</v>
      </c>
      <c r="C42" s="76" t="s">
        <v>130</v>
      </c>
      <c r="D42" s="77" t="s">
        <v>140</v>
      </c>
      <c r="E42" s="78">
        <v>2</v>
      </c>
      <c r="F42" s="78">
        <v>1</v>
      </c>
      <c r="G42" s="78">
        <f>INDEX(정보!$B$4:$C$23, MATCH(D42, 정보!$B$4:$B59, 0), 2)*E42</f>
        <v>10392.666666666666</v>
      </c>
      <c r="H42" s="79">
        <f t="shared" si="10"/>
        <v>10400</v>
      </c>
      <c r="I42" s="79">
        <f t="array" ref="I42">INDEX(정보!$E$4:$G$43, MATCH(1, (정보!$E$4:$E$43=D42)*(정보!$F$4:$F$43=E42), 0), 3)*F42</f>
        <v>2700</v>
      </c>
      <c r="J42" s="80">
        <v>35</v>
      </c>
      <c r="K42" s="80">
        <f t="shared" si="0"/>
        <v>13065</v>
      </c>
      <c r="L42" s="81">
        <v>0.21</v>
      </c>
      <c r="M42" s="82">
        <f>ROUND(((10-S42)*K42/(-11*L42+(10-S42)*(1-O42)))-(J42*F42), -1)</f>
        <v>19780</v>
      </c>
      <c r="N42" s="83" t="s">
        <v>132</v>
      </c>
      <c r="O42" s="116">
        <f t="array" ref="O42">INDEX(정보!$I$4:$J$13, MATCH(B42,정보!$I$4:$I$13, 0), 2)</f>
        <v>0.1</v>
      </c>
      <c r="P42" s="84">
        <f t="shared" si="6"/>
        <v>1978</v>
      </c>
      <c r="Q42" s="84">
        <f t="shared" si="1"/>
        <v>0</v>
      </c>
      <c r="R42" s="85">
        <f>ROUND((M42-K42-P42-Q42)/11, 0)</f>
        <v>431</v>
      </c>
      <c r="S42" s="86">
        <v>0.4</v>
      </c>
      <c r="T42" s="85">
        <f t="shared" si="2"/>
        <v>172</v>
      </c>
      <c r="U42" s="87">
        <f t="shared" si="7"/>
        <v>17802</v>
      </c>
      <c r="V42" s="88">
        <f t="shared" si="3"/>
        <v>-3258.181818181818</v>
      </c>
      <c r="W42" s="88">
        <f t="array" ref="W42">INDEX(정보!$N$4:$O$23, MATCH(D42, 정보!$N$4:$N$23, 0), 2)*F42-H42</f>
        <v>-3733.333333333333</v>
      </c>
      <c r="X42" s="88">
        <f t="shared" si="8"/>
        <v>4134</v>
      </c>
      <c r="Y42" s="88">
        <f>U42-K42</f>
        <v>4737</v>
      </c>
      <c r="Z42" s="89">
        <f t="array" ref="Z42">V42/(INDEX(정보!$N$4:$O$23, MATCH(D42, 정보!$N$4:$N$23, 0), 2)*F42)</f>
        <v>-0.48872727272727268</v>
      </c>
      <c r="AA42" s="90">
        <f t="array" ref="AA42">W42/(INDEX(정보!$N$4:$O$23, MATCH(D42, 정보!$N$4:$N$23, 0), 2)*F42)</f>
        <v>-0.55999999999999994</v>
      </c>
      <c r="AB42" s="91">
        <f t="shared" si="9"/>
        <v>0.2089989888776542</v>
      </c>
      <c r="AC42" s="92">
        <f t="shared" si="4"/>
        <v>0.23948432760364005</v>
      </c>
      <c r="AD42" s="93">
        <f t="shared" si="5"/>
        <v>3.0485338725985855E-2</v>
      </c>
    </row>
    <row r="43" spans="2:30" ht="16.5" customHeight="1" thickTop="1" thickBot="1" x14ac:dyDescent="0.35">
      <c r="B43" s="75" t="s">
        <v>129</v>
      </c>
      <c r="C43" s="76" t="s">
        <v>130</v>
      </c>
      <c r="D43" s="77" t="s">
        <v>140</v>
      </c>
      <c r="E43" s="78">
        <v>3</v>
      </c>
      <c r="F43" s="78">
        <v>1</v>
      </c>
      <c r="G43" s="78">
        <f>INDEX(정보!$B$4:$C$23, MATCH(D43, 정보!$B$4:$B60, 0), 2)*E43</f>
        <v>15589</v>
      </c>
      <c r="H43" s="79">
        <f t="shared" si="10"/>
        <v>15600</v>
      </c>
      <c r="I43" s="79">
        <f t="array" ref="I43">INDEX(정보!$E$4:$G$43, MATCH(1, (정보!$E$4:$E$43=D43)*(정보!$F$4:$F$43=E43), 0), 3)*F43</f>
        <v>3200</v>
      </c>
      <c r="J43" s="80">
        <v>10</v>
      </c>
      <c r="K43" s="80">
        <f t="shared" si="0"/>
        <v>18790</v>
      </c>
      <c r="L43" s="81">
        <v>0.2</v>
      </c>
      <c r="M43" s="82">
        <f>ROUND(((10-S43)*K43/(-11*L43+(10-S43)*(1-O43)))-(J43*F43), -1)</f>
        <v>28000</v>
      </c>
      <c r="N43" s="83" t="s">
        <v>132</v>
      </c>
      <c r="O43" s="116">
        <f t="array" ref="O43">INDEX(정보!$I$4:$J$13, MATCH(B43,정보!$I$4:$I$13, 0), 2)</f>
        <v>0.1</v>
      </c>
      <c r="P43" s="84">
        <f t="shared" si="6"/>
        <v>2800</v>
      </c>
      <c r="Q43" s="84">
        <f t="shared" si="1"/>
        <v>0</v>
      </c>
      <c r="R43" s="85">
        <f>ROUND((M43-K43-P43-Q43)/11, 0)</f>
        <v>583</v>
      </c>
      <c r="S43" s="86">
        <v>0.4</v>
      </c>
      <c r="T43" s="85">
        <f t="shared" si="2"/>
        <v>233</v>
      </c>
      <c r="U43" s="87">
        <f t="shared" si="7"/>
        <v>25200</v>
      </c>
      <c r="V43" s="88">
        <f t="shared" si="3"/>
        <v>-7796.3636363636351</v>
      </c>
      <c r="W43" s="88">
        <f t="array" ref="W43">INDEX(정보!$N$4:$O$23, MATCH(D43, 정보!$N$4:$N$23, 0), 2)*F43-H43</f>
        <v>-8933.3333333333321</v>
      </c>
      <c r="X43" s="88">
        <f t="shared" si="8"/>
        <v>5594</v>
      </c>
      <c r="Y43" s="88">
        <f>U43-K43</f>
        <v>6410</v>
      </c>
      <c r="Z43" s="89">
        <f t="array" ref="Z43">V43/(INDEX(정보!$N$4:$O$23, MATCH(D43, 정보!$N$4:$N$23, 0), 2)*F43)</f>
        <v>-1.1694545454545453</v>
      </c>
      <c r="AA43" s="90">
        <f t="array" ref="AA43">W43/(INDEX(정보!$N$4:$O$23, MATCH(D43, 정보!$N$4:$N$23, 0), 2)*F43)</f>
        <v>-1.3399999999999999</v>
      </c>
      <c r="AB43" s="91">
        <f t="shared" si="9"/>
        <v>0.19978571428571429</v>
      </c>
      <c r="AC43" s="92">
        <f t="shared" si="4"/>
        <v>0.22892857142857143</v>
      </c>
      <c r="AD43" s="93">
        <f t="shared" si="5"/>
        <v>2.9142857142857137E-2</v>
      </c>
    </row>
    <row r="44" spans="2:30" s="112" customFormat="1" ht="8.1" customHeight="1" thickTop="1" thickBot="1" x14ac:dyDescent="0.35">
      <c r="B44" s="96"/>
      <c r="C44" s="97"/>
      <c r="D44" s="98"/>
      <c r="E44" s="99"/>
      <c r="F44" s="99"/>
      <c r="G44" s="99"/>
      <c r="H44" s="100"/>
      <c r="I44" s="100"/>
      <c r="J44" s="101"/>
      <c r="K44" s="101"/>
      <c r="L44" s="113"/>
      <c r="M44" s="114"/>
      <c r="N44" s="102"/>
      <c r="O44" s="117"/>
      <c r="P44" s="104"/>
      <c r="Q44" s="104"/>
      <c r="R44" s="104"/>
      <c r="S44" s="103"/>
      <c r="T44" s="104"/>
      <c r="U44" s="104"/>
      <c r="V44" s="105"/>
      <c r="W44" s="105"/>
      <c r="X44" s="105"/>
      <c r="Y44" s="105"/>
      <c r="Z44" s="106"/>
      <c r="AA44" s="106"/>
      <c r="AB44" s="106"/>
      <c r="AC44" s="107"/>
      <c r="AD44" s="115"/>
    </row>
    <row r="45" spans="2:30" ht="16.5" customHeight="1" thickTop="1" thickBot="1" x14ac:dyDescent="0.35">
      <c r="B45" s="75" t="s">
        <v>129</v>
      </c>
      <c r="C45" s="76" t="s">
        <v>133</v>
      </c>
      <c r="D45" s="77" t="s">
        <v>141</v>
      </c>
      <c r="E45" s="78">
        <v>1</v>
      </c>
      <c r="F45" s="78">
        <v>1</v>
      </c>
      <c r="G45" s="78">
        <f>INDEX(정보!$B$4:$C$23, MATCH(D45, 정보!$B$4:$B62, 0), 2)*E45</f>
        <v>5370.333333333333</v>
      </c>
      <c r="H45" s="79">
        <f t="shared" si="10"/>
        <v>5400</v>
      </c>
      <c r="I45" s="79">
        <f t="array" ref="I45">INDEX(정보!$E$4:$G$43, MATCH(1, (정보!$E$4:$E$43=D45)*(정보!$F$4:$F$43=E45), 0), 3)*F45</f>
        <v>2300</v>
      </c>
      <c r="J45" s="80">
        <v>10</v>
      </c>
      <c r="K45" s="80">
        <f t="shared" si="0"/>
        <v>7690</v>
      </c>
      <c r="L45" s="81">
        <v>0.22</v>
      </c>
      <c r="M45" s="82">
        <f>ROUND(((10-S45)*K45/(-11*L45+(10-S45)*(1-O45)))-(J45*F45), -1)</f>
        <v>11860</v>
      </c>
      <c r="N45" s="83" t="s">
        <v>132</v>
      </c>
      <c r="O45" s="116">
        <f t="array" ref="O45">INDEX(정보!$I$4:$J$13, MATCH(B45,정보!$I$4:$I$13, 0), 2)</f>
        <v>0.1</v>
      </c>
      <c r="P45" s="84">
        <f t="shared" si="6"/>
        <v>1186</v>
      </c>
      <c r="Q45" s="84">
        <f t="shared" si="1"/>
        <v>0</v>
      </c>
      <c r="R45" s="85">
        <f>ROUND((M45-K45-P45-Q45)/11, 0)</f>
        <v>271</v>
      </c>
      <c r="S45" s="86">
        <v>0.4</v>
      </c>
      <c r="T45" s="85">
        <f t="shared" si="2"/>
        <v>108</v>
      </c>
      <c r="U45" s="87">
        <f t="shared" si="7"/>
        <v>10674</v>
      </c>
      <c r="V45" s="88">
        <f t="shared" si="3"/>
        <v>1280.0000000000002</v>
      </c>
      <c r="W45" s="88">
        <f t="array" ref="W45">INDEX(정보!$N$4:$O$23, MATCH(D45, 정보!$N$4:$N$23, 0), 2)*F45-H45</f>
        <v>1466.666666666667</v>
      </c>
      <c r="X45" s="88">
        <f t="shared" si="8"/>
        <v>2605</v>
      </c>
      <c r="Y45" s="88">
        <f>U45-K45</f>
        <v>2984</v>
      </c>
      <c r="Z45" s="89">
        <f t="array" ref="Z45">V45/(INDEX(정보!$N$4:$O$23, MATCH(D45, 정보!$N$4:$N$23, 0), 2)*F45)</f>
        <v>0.1864077669902913</v>
      </c>
      <c r="AA45" s="90">
        <f t="array" ref="AA45">W45/(INDEX(정보!$N$4:$O$23, MATCH(D45, 정보!$N$4:$N$23, 0), 2)*F45)</f>
        <v>0.21359223300970878</v>
      </c>
      <c r="AB45" s="91">
        <f t="shared" si="9"/>
        <v>0.21964586846543002</v>
      </c>
      <c r="AC45" s="92">
        <f t="shared" si="4"/>
        <v>0.25160202360876899</v>
      </c>
      <c r="AD45" s="93">
        <f t="shared" si="5"/>
        <v>3.1956155143338966E-2</v>
      </c>
    </row>
    <row r="46" spans="2:30" ht="16.5" customHeight="1" thickTop="1" thickBot="1" x14ac:dyDescent="0.35">
      <c r="B46" s="75" t="s">
        <v>129</v>
      </c>
      <c r="C46" s="76" t="s">
        <v>133</v>
      </c>
      <c r="D46" s="77" t="s">
        <v>141</v>
      </c>
      <c r="E46" s="78">
        <v>2</v>
      </c>
      <c r="F46" s="78">
        <v>1</v>
      </c>
      <c r="G46" s="78">
        <f>INDEX(정보!$B$4:$C$23, MATCH(D46, 정보!$B$4:$B63, 0), 2)*E46</f>
        <v>10740.666666666666</v>
      </c>
      <c r="H46" s="79">
        <f t="shared" si="10"/>
        <v>10800</v>
      </c>
      <c r="I46" s="79">
        <f t="array" ref="I46">INDEX(정보!$E$4:$G$43, MATCH(1, (정보!$E$4:$E$43=D46)*(정보!$F$4:$F$43=E46), 0), 3)*F46</f>
        <v>2700</v>
      </c>
      <c r="J46" s="80">
        <v>70</v>
      </c>
      <c r="K46" s="80">
        <f t="shared" si="0"/>
        <v>13430</v>
      </c>
      <c r="L46" s="81">
        <v>0.21</v>
      </c>
      <c r="M46" s="82">
        <f>ROUND(((10-S46)*K46/(-11*L46+(10-S46)*(1-O46)))-(J46*F46), -1)</f>
        <v>20300</v>
      </c>
      <c r="N46" s="83" t="s">
        <v>132</v>
      </c>
      <c r="O46" s="116">
        <f t="array" ref="O46">INDEX(정보!$I$4:$J$13, MATCH(B46,정보!$I$4:$I$13, 0), 2)</f>
        <v>0.1</v>
      </c>
      <c r="P46" s="84">
        <f t="shared" si="6"/>
        <v>2030</v>
      </c>
      <c r="Q46" s="84">
        <f t="shared" si="1"/>
        <v>0</v>
      </c>
      <c r="R46" s="85">
        <f>ROUND((M46-K46-P46-Q46)/11, 0)</f>
        <v>440</v>
      </c>
      <c r="S46" s="86">
        <v>0.4</v>
      </c>
      <c r="T46" s="85">
        <f t="shared" si="2"/>
        <v>176</v>
      </c>
      <c r="U46" s="87">
        <f t="shared" si="7"/>
        <v>18270</v>
      </c>
      <c r="V46" s="88">
        <f t="shared" si="3"/>
        <v>-3432.7272727272725</v>
      </c>
      <c r="W46" s="88">
        <f t="array" ref="W46">INDEX(정보!$N$4:$O$23, MATCH(D46, 정보!$N$4:$N$23, 0), 2)*F46-H46</f>
        <v>-3933.333333333333</v>
      </c>
      <c r="X46" s="88">
        <f t="shared" si="8"/>
        <v>4224</v>
      </c>
      <c r="Y46" s="88">
        <f>U46-K46</f>
        <v>4840</v>
      </c>
      <c r="Z46" s="89">
        <f t="array" ref="Z46">V46/(INDEX(정보!$N$4:$O$23, MATCH(D46, 정보!$N$4:$N$23, 0), 2)*F46)</f>
        <v>-0.49991173874669015</v>
      </c>
      <c r="AA46" s="90">
        <f t="array" ref="AA46">W46/(INDEX(정보!$N$4:$O$23, MATCH(D46, 정보!$N$4:$N$23, 0), 2)*F46)</f>
        <v>-0.57281553398058249</v>
      </c>
      <c r="AB46" s="91">
        <f t="shared" si="9"/>
        <v>0.20807881773399015</v>
      </c>
      <c r="AC46" s="92">
        <f t="shared" si="4"/>
        <v>0.23842364532019705</v>
      </c>
      <c r="AD46" s="93">
        <f t="shared" si="5"/>
        <v>3.0344827586206907E-2</v>
      </c>
    </row>
    <row r="47" spans="2:30" ht="16.5" customHeight="1" thickTop="1" thickBot="1" x14ac:dyDescent="0.35">
      <c r="B47" s="75" t="s">
        <v>129</v>
      </c>
      <c r="C47" s="76" t="s">
        <v>130</v>
      </c>
      <c r="D47" s="77" t="s">
        <v>141</v>
      </c>
      <c r="E47" s="78">
        <v>3</v>
      </c>
      <c r="F47" s="78">
        <v>1</v>
      </c>
      <c r="G47" s="78">
        <f>INDEX(정보!$B$4:$C$23, MATCH(D47, 정보!$B$4:$B64, 0), 2)*E47</f>
        <v>16111</v>
      </c>
      <c r="H47" s="79">
        <f t="shared" si="10"/>
        <v>16200</v>
      </c>
      <c r="I47" s="79">
        <f t="array" ref="I47">INDEX(정보!$E$4:$G$43, MATCH(1, (정보!$E$4:$E$43=D47)*(정보!$F$4:$F$43=E47), 0), 3)*F47</f>
        <v>3200</v>
      </c>
      <c r="J47" s="80">
        <v>5</v>
      </c>
      <c r="K47" s="80">
        <f t="shared" si="0"/>
        <v>19395</v>
      </c>
      <c r="L47" s="81">
        <v>0.2</v>
      </c>
      <c r="M47" s="82">
        <f>ROUND(((10-S47)*K47/(-11*L47+(10-S47)*(1-O47)))-(J47*F47), -1)</f>
        <v>28910</v>
      </c>
      <c r="N47" s="83" t="s">
        <v>132</v>
      </c>
      <c r="O47" s="116">
        <f t="array" ref="O47">INDEX(정보!$I$4:$J$13, MATCH(B47,정보!$I$4:$I$13, 0), 2)</f>
        <v>0.1</v>
      </c>
      <c r="P47" s="84">
        <f t="shared" si="6"/>
        <v>2891</v>
      </c>
      <c r="Q47" s="84">
        <f t="shared" si="1"/>
        <v>0</v>
      </c>
      <c r="R47" s="85">
        <f>ROUND((M47-K47-P47-Q47)/11, 0)</f>
        <v>602</v>
      </c>
      <c r="S47" s="86">
        <v>0.4</v>
      </c>
      <c r="T47" s="85">
        <f t="shared" si="2"/>
        <v>241</v>
      </c>
      <c r="U47" s="87">
        <f t="shared" si="7"/>
        <v>26019</v>
      </c>
      <c r="V47" s="88">
        <f t="shared" si="3"/>
        <v>-8145.454545454545</v>
      </c>
      <c r="W47" s="88">
        <f t="array" ref="W47">INDEX(정보!$N$4:$O$23, MATCH(D47, 정보!$N$4:$N$23, 0), 2)*F47-H47</f>
        <v>-9333.3333333333321</v>
      </c>
      <c r="X47" s="88">
        <f t="shared" si="8"/>
        <v>5781</v>
      </c>
      <c r="Y47" s="88">
        <f>U47-K47</f>
        <v>6624</v>
      </c>
      <c r="Z47" s="89">
        <f t="array" ref="Z47">V47/(INDEX(정보!$N$4:$O$23, MATCH(D47, 정보!$N$4:$N$23, 0), 2)*F47)</f>
        <v>-1.1862312444836716</v>
      </c>
      <c r="AA47" s="90">
        <f t="array" ref="AA47">W47/(INDEX(정보!$N$4:$O$23, MATCH(D47, 정보!$N$4:$N$23, 0), 2)*F47)</f>
        <v>-1.3592233009708736</v>
      </c>
      <c r="AB47" s="91">
        <f t="shared" si="9"/>
        <v>0.19996540989277067</v>
      </c>
      <c r="AC47" s="92">
        <f t="shared" si="4"/>
        <v>0.22912487028709788</v>
      </c>
      <c r="AD47" s="93">
        <f t="shared" si="5"/>
        <v>2.9159460394327208E-2</v>
      </c>
    </row>
    <row r="48" spans="2:30" s="112" customFormat="1" ht="8.1" customHeight="1" thickTop="1" thickBot="1" x14ac:dyDescent="0.35">
      <c r="B48" s="96"/>
      <c r="C48" s="97"/>
      <c r="D48" s="98"/>
      <c r="E48" s="99"/>
      <c r="F48" s="99"/>
      <c r="G48" s="99"/>
      <c r="H48" s="100"/>
      <c r="I48" s="100"/>
      <c r="J48" s="101"/>
      <c r="K48" s="101"/>
      <c r="L48" s="113"/>
      <c r="M48" s="114"/>
      <c r="N48" s="102"/>
      <c r="O48" s="117"/>
      <c r="P48" s="104"/>
      <c r="Q48" s="104"/>
      <c r="R48" s="104"/>
      <c r="S48" s="103"/>
      <c r="T48" s="104"/>
      <c r="U48" s="104"/>
      <c r="V48" s="105"/>
      <c r="W48" s="105"/>
      <c r="X48" s="105"/>
      <c r="Y48" s="105"/>
      <c r="Z48" s="106"/>
      <c r="AA48" s="106"/>
      <c r="AB48" s="106"/>
      <c r="AC48" s="107"/>
      <c r="AD48" s="115"/>
    </row>
    <row r="49" spans="2:30" ht="16.5" customHeight="1" thickTop="1" thickBot="1" x14ac:dyDescent="0.35">
      <c r="B49" s="75" t="s">
        <v>129</v>
      </c>
      <c r="C49" s="76" t="s">
        <v>133</v>
      </c>
      <c r="D49" s="77" t="s">
        <v>142</v>
      </c>
      <c r="E49" s="78">
        <v>1</v>
      </c>
      <c r="F49" s="78">
        <v>1</v>
      </c>
      <c r="G49" s="78">
        <f>INDEX(정보!$B$4:$C$23, MATCH(D49, 정보!$B$4:$B66, 0), 2)*E49</f>
        <v>9000</v>
      </c>
      <c r="H49" s="79">
        <f t="shared" si="10"/>
        <v>9000</v>
      </c>
      <c r="I49" s="79">
        <f t="array" ref="I49">INDEX(정보!$E$4:$G$43, MATCH(1, (정보!$E$4:$E$43=D49)*(정보!$F$4:$F$43=E49), 0), 3)*F49</f>
        <v>2700</v>
      </c>
      <c r="J49" s="80">
        <v>48</v>
      </c>
      <c r="K49" s="80">
        <f t="shared" si="0"/>
        <v>11652</v>
      </c>
      <c r="L49" s="81">
        <v>0.16</v>
      </c>
      <c r="M49" s="82">
        <f>ROUND(((10-S49)*K49/(-11*L49+(10-S49)*(1-O49)))-(J49*F49), -1)</f>
        <v>16210</v>
      </c>
      <c r="N49" s="83" t="s">
        <v>132</v>
      </c>
      <c r="O49" s="116">
        <f t="array" ref="O49">INDEX(정보!$I$4:$J$13, MATCH(B49,정보!$I$4:$I$13, 0), 2)</f>
        <v>0.1</v>
      </c>
      <c r="P49" s="84">
        <f t="shared" si="6"/>
        <v>1621</v>
      </c>
      <c r="Q49" s="84">
        <f t="shared" si="1"/>
        <v>0</v>
      </c>
      <c r="R49" s="85">
        <f>ROUND((M49-K49-P49-Q49)/11, 0)</f>
        <v>267</v>
      </c>
      <c r="S49" s="86">
        <v>0.4</v>
      </c>
      <c r="T49" s="85">
        <f t="shared" si="2"/>
        <v>107</v>
      </c>
      <c r="U49" s="87">
        <f t="shared" si="7"/>
        <v>14589</v>
      </c>
      <c r="V49" s="88">
        <f t="shared" si="3"/>
        <v>2181.8181818181815</v>
      </c>
      <c r="W49" s="88">
        <f t="array" ref="W49">INDEX(정보!$N$4:$O$23, MATCH(D49, 정보!$N$4:$N$23, 0), 2)*F49-H49</f>
        <v>2500</v>
      </c>
      <c r="X49" s="88">
        <f t="shared" si="8"/>
        <v>2563</v>
      </c>
      <c r="Y49" s="88">
        <f>U49-K49</f>
        <v>2937</v>
      </c>
      <c r="Z49" s="89">
        <f t="array" ref="Z49">V49/(INDEX(정보!$N$4:$O$23, MATCH(D49, 정보!$N$4:$N$23, 0), 2)*F49)</f>
        <v>0.18972332015810275</v>
      </c>
      <c r="AA49" s="90">
        <f t="array" ref="AA49">W49/(INDEX(정보!$N$4:$O$23, MATCH(D49, 정보!$N$4:$N$23, 0), 2)*F49)</f>
        <v>0.21739130434782608</v>
      </c>
      <c r="AB49" s="91">
        <f t="shared" si="9"/>
        <v>0.15811227637260949</v>
      </c>
      <c r="AC49" s="92">
        <f t="shared" si="4"/>
        <v>0.18118445404071562</v>
      </c>
      <c r="AD49" s="93">
        <f t="shared" si="5"/>
        <v>2.3072177668106125E-2</v>
      </c>
    </row>
    <row r="50" spans="2:30" ht="16.5" customHeight="1" thickTop="1" thickBot="1" x14ac:dyDescent="0.35">
      <c r="B50" s="75" t="s">
        <v>129</v>
      </c>
      <c r="C50" s="76" t="s">
        <v>133</v>
      </c>
      <c r="D50" s="77" t="s">
        <v>142</v>
      </c>
      <c r="E50" s="78">
        <v>1</v>
      </c>
      <c r="F50" s="78">
        <v>2</v>
      </c>
      <c r="G50" s="78">
        <f>INDEX(정보!$B$4:$C$23, MATCH(D50, 정보!$B$4:$B67, 0), 2)*E50</f>
        <v>9000</v>
      </c>
      <c r="H50" s="79">
        <f t="shared" si="10"/>
        <v>18000</v>
      </c>
      <c r="I50" s="79">
        <f t="array" ref="I50">INDEX(정보!$E$4:$G$43, MATCH(1, (정보!$E$4:$E$43=D50)*(정보!$F$4:$F$43=E50), 0), 3)*F50</f>
        <v>5400</v>
      </c>
      <c r="J50" s="80">
        <v>37</v>
      </c>
      <c r="K50" s="80">
        <f t="shared" si="0"/>
        <v>23326</v>
      </c>
      <c r="L50" s="81">
        <v>0.14499999999999999</v>
      </c>
      <c r="M50" s="82">
        <f>ROUND(((10-S50)*K50/(-11*L50+(10-S50)*(1-O50)))-(J50*F50), -1)</f>
        <v>31710</v>
      </c>
      <c r="N50" s="83" t="s">
        <v>132</v>
      </c>
      <c r="O50" s="116">
        <f t="array" ref="O50">INDEX(정보!$I$4:$J$13, MATCH(B50,정보!$I$4:$I$13, 0), 2)</f>
        <v>0.1</v>
      </c>
      <c r="P50" s="84">
        <f t="shared" si="6"/>
        <v>3171</v>
      </c>
      <c r="Q50" s="84">
        <f t="shared" si="1"/>
        <v>0</v>
      </c>
      <c r="R50" s="85">
        <f>ROUND((M50-K50-P50-Q50)/11, 0)</f>
        <v>474</v>
      </c>
      <c r="S50" s="86">
        <v>0.4</v>
      </c>
      <c r="T50" s="85">
        <f t="shared" si="2"/>
        <v>190</v>
      </c>
      <c r="U50" s="87">
        <f t="shared" si="7"/>
        <v>28539</v>
      </c>
      <c r="V50" s="88">
        <f t="shared" si="3"/>
        <v>4363.6363636363631</v>
      </c>
      <c r="W50" s="88">
        <f t="array" ref="W50">INDEX(정보!$N$4:$O$23, MATCH(D50, 정보!$N$4:$N$23, 0), 2)*F50-H50</f>
        <v>5000</v>
      </c>
      <c r="X50" s="88">
        <f t="shared" si="8"/>
        <v>4549</v>
      </c>
      <c r="Y50" s="88">
        <f>U50-K50</f>
        <v>5213</v>
      </c>
      <c r="Z50" s="89">
        <f t="array" ref="Z50">V50/(INDEX(정보!$N$4:$O$23, MATCH(D50, 정보!$N$4:$N$23, 0), 2)*F50)</f>
        <v>0.18972332015810275</v>
      </c>
      <c r="AA50" s="90">
        <f t="array" ref="AA50">W50/(INDEX(정보!$N$4:$O$23, MATCH(D50, 정보!$N$4:$N$23, 0), 2)*F50)</f>
        <v>0.21739130434782608</v>
      </c>
      <c r="AB50" s="91">
        <f t="shared" si="9"/>
        <v>0.14345632292652161</v>
      </c>
      <c r="AC50" s="92">
        <f t="shared" si="4"/>
        <v>0.16439608956165247</v>
      </c>
      <c r="AD50" s="93">
        <f t="shared" si="5"/>
        <v>2.0939766635130863E-2</v>
      </c>
    </row>
    <row r="51" spans="2:30" s="112" customFormat="1" ht="8.1" customHeight="1" thickTop="1" thickBot="1" x14ac:dyDescent="0.35">
      <c r="B51" s="96"/>
      <c r="C51" s="97"/>
      <c r="D51" s="98"/>
      <c r="E51" s="99"/>
      <c r="F51" s="99"/>
      <c r="G51" s="99"/>
      <c r="H51" s="100"/>
      <c r="I51" s="100"/>
      <c r="J51" s="101"/>
      <c r="K51" s="101"/>
      <c r="L51" s="113"/>
      <c r="M51" s="114"/>
      <c r="N51" s="102"/>
      <c r="O51" s="117"/>
      <c r="P51" s="104"/>
      <c r="Q51" s="104"/>
      <c r="R51" s="104"/>
      <c r="S51" s="103"/>
      <c r="T51" s="104"/>
      <c r="U51" s="104"/>
      <c r="V51" s="105"/>
      <c r="W51" s="105"/>
      <c r="X51" s="105"/>
      <c r="Y51" s="105"/>
      <c r="Z51" s="106"/>
      <c r="AA51" s="106"/>
      <c r="AB51" s="106"/>
      <c r="AC51" s="107"/>
      <c r="AD51" s="115"/>
    </row>
    <row r="52" spans="2:30" ht="16.5" customHeight="1" thickTop="1" thickBot="1" x14ac:dyDescent="0.35">
      <c r="B52" s="75" t="s">
        <v>129</v>
      </c>
      <c r="C52" s="76" t="s">
        <v>133</v>
      </c>
      <c r="D52" s="77" t="s">
        <v>143</v>
      </c>
      <c r="E52" s="78">
        <v>1</v>
      </c>
      <c r="F52" s="78">
        <v>1</v>
      </c>
      <c r="G52" s="78">
        <f>INDEX(정보!$B$4:$C$23, MATCH(D52, 정보!$B$4:$B70, 0), 2)*E52</f>
        <v>14500</v>
      </c>
      <c r="H52" s="79">
        <f t="shared" si="10"/>
        <v>14500</v>
      </c>
      <c r="I52" s="79">
        <f t="array" ref="I52">INDEX(정보!$E$4:$G$43, MATCH(1, (정보!$E$4:$E$43=D52)*(정보!$F$4:$F$43=E52), 0), 3)*F52</f>
        <v>2700</v>
      </c>
      <c r="J52" s="80">
        <v>133</v>
      </c>
      <c r="K52" s="80">
        <f t="shared" si="0"/>
        <v>17067</v>
      </c>
      <c r="L52" s="81">
        <v>0.15</v>
      </c>
      <c r="M52" s="82">
        <f>ROUND(((10-S52)*K52/(-11*L52+(10-S52)*(1-O52)))-(J52*F52), -1)</f>
        <v>23310</v>
      </c>
      <c r="N52" s="83" t="s">
        <v>132</v>
      </c>
      <c r="O52" s="116">
        <f t="array" ref="O52">INDEX(정보!$I$4:$J$13, MATCH(B52,정보!$I$4:$I$13, 0), 2)</f>
        <v>0.1</v>
      </c>
      <c r="P52" s="84">
        <f t="shared" si="6"/>
        <v>2331</v>
      </c>
      <c r="Q52" s="84">
        <f t="shared" si="1"/>
        <v>0</v>
      </c>
      <c r="R52" s="85">
        <f>ROUND((M52-K52-P52-Q52)/11, 0)</f>
        <v>356</v>
      </c>
      <c r="S52" s="86">
        <v>0.4</v>
      </c>
      <c r="T52" s="85">
        <f t="shared" si="2"/>
        <v>142</v>
      </c>
      <c r="U52" s="87">
        <f t="shared" si="7"/>
        <v>20979</v>
      </c>
      <c r="V52" s="88">
        <f t="shared" si="3"/>
        <v>4363.6363636363631</v>
      </c>
      <c r="W52" s="88">
        <f t="array" ref="W52">INDEX(정보!$N$4:$O$23, MATCH(D52, 정보!$N$4:$N$23, 0), 2)*F52-H52</f>
        <v>5000</v>
      </c>
      <c r="X52" s="88">
        <f t="shared" si="8"/>
        <v>3414</v>
      </c>
      <c r="Y52" s="88">
        <f>U52-K52</f>
        <v>3912</v>
      </c>
      <c r="Z52" s="89">
        <f t="array" ref="Z52">V52/(INDEX(정보!$N$4:$O$23, MATCH(D52, 정보!$N$4:$N$23, 0), 2)*F52)</f>
        <v>0.22377622377622375</v>
      </c>
      <c r="AA52" s="90">
        <f t="array" ref="AA52">W52/(INDEX(정보!$N$4:$O$23, MATCH(D52, 정보!$N$4:$N$23, 0), 2)*F52)</f>
        <v>0.25641025641025639</v>
      </c>
      <c r="AB52" s="91">
        <f t="shared" si="9"/>
        <v>0.14646074646074647</v>
      </c>
      <c r="AC52" s="92">
        <f t="shared" si="4"/>
        <v>0.16782496782496784</v>
      </c>
      <c r="AD52" s="93">
        <f t="shared" si="5"/>
        <v>2.1364221364221364E-2</v>
      </c>
    </row>
    <row r="53" spans="2:30" ht="16.5" customHeight="1" thickTop="1" x14ac:dyDescent="0.3">
      <c r="B53" s="75" t="s">
        <v>129</v>
      </c>
      <c r="C53" s="76" t="s">
        <v>133</v>
      </c>
      <c r="D53" s="77" t="s">
        <v>143</v>
      </c>
      <c r="E53" s="78">
        <v>1</v>
      </c>
      <c r="F53" s="78">
        <v>2</v>
      </c>
      <c r="G53" s="78">
        <f>INDEX(정보!$B$4:$C$23, MATCH(D53, 정보!$B$4:$B71, 0), 2)*E53</f>
        <v>14500</v>
      </c>
      <c r="H53" s="79">
        <f t="shared" si="10"/>
        <v>29000</v>
      </c>
      <c r="I53" s="79">
        <f t="array" ref="I53">INDEX(정보!$E$4:$G$43, MATCH(1, (정보!$E$4:$E$43=D53)*(정보!$F$4:$F$43=E53), 0), 3)*F53</f>
        <v>5400</v>
      </c>
      <c r="J53" s="80">
        <v>131</v>
      </c>
      <c r="K53" s="80">
        <f t="shared" si="0"/>
        <v>34138</v>
      </c>
      <c r="L53" s="81">
        <v>0.14000000000000001</v>
      </c>
      <c r="M53" s="82">
        <f>ROUND(((10-S53)*K53/(-11*L53+(10-S53)*(1-O53)))-(J53*F53), -1)</f>
        <v>45900</v>
      </c>
      <c r="N53" s="83" t="s">
        <v>132</v>
      </c>
      <c r="O53" s="116">
        <f t="array" ref="O53">INDEX(정보!$I$4:$J$13, MATCH(B53,정보!$I$4:$I$13, 0), 2)</f>
        <v>0.1</v>
      </c>
      <c r="P53" s="84">
        <f t="shared" si="6"/>
        <v>4590</v>
      </c>
      <c r="Q53" s="84">
        <f t="shared" si="1"/>
        <v>0</v>
      </c>
      <c r="R53" s="85">
        <f>ROUND((M53-K53-P53-Q53)/11, 0)</f>
        <v>652</v>
      </c>
      <c r="S53" s="86">
        <v>0.4</v>
      </c>
      <c r="T53" s="85">
        <f t="shared" si="2"/>
        <v>261</v>
      </c>
      <c r="U53" s="87">
        <f t="shared" si="7"/>
        <v>41310</v>
      </c>
      <c r="V53" s="88">
        <f t="shared" si="3"/>
        <v>8727.2727272727261</v>
      </c>
      <c r="W53" s="88">
        <f t="array" ref="W53">INDEX(정보!$N$4:$O$23, MATCH(D53, 정보!$N$4:$N$23, 0), 2)*F53-H53</f>
        <v>10000</v>
      </c>
      <c r="X53" s="88">
        <f t="shared" si="8"/>
        <v>6259</v>
      </c>
      <c r="Y53" s="88">
        <f>U53-K53</f>
        <v>7172</v>
      </c>
      <c r="Z53" s="89">
        <f t="array" ref="Z53">V53/(INDEX(정보!$N$4:$O$23, MATCH(D53, 정보!$N$4:$N$23, 0), 2)*F53)</f>
        <v>0.22377622377622375</v>
      </c>
      <c r="AA53" s="90">
        <f t="array" ref="AA53">W53/(INDEX(정보!$N$4:$O$23, MATCH(D53, 정보!$N$4:$N$23, 0), 2)*F53)</f>
        <v>0.25641025641025639</v>
      </c>
      <c r="AB53" s="91">
        <f t="shared" si="9"/>
        <v>0.13636165577342049</v>
      </c>
      <c r="AC53" s="92">
        <f t="shared" si="4"/>
        <v>0.15625272331154685</v>
      </c>
      <c r="AD53" s="93">
        <f t="shared" si="5"/>
        <v>1.9891067538126361E-2</v>
      </c>
    </row>
    <row r="62" spans="2:30" x14ac:dyDescent="0.3">
      <c r="U62" s="69"/>
    </row>
  </sheetData>
  <autoFilter ref="B9:D53" xr:uid="{00000000-0009-0000-0000-000001000000}"/>
  <mergeCells count="27">
    <mergeCell ref="T9:T10"/>
    <mergeCell ref="U9:U10"/>
    <mergeCell ref="V9:Y9"/>
    <mergeCell ref="Z9:AC9"/>
    <mergeCell ref="N9:N10"/>
    <mergeCell ref="O9:O10"/>
    <mergeCell ref="P9:P10"/>
    <mergeCell ref="Q9:Q10"/>
    <mergeCell ref="R9:R10"/>
    <mergeCell ref="S9:S10"/>
    <mergeCell ref="M9:M10"/>
    <mergeCell ref="B9:B10"/>
    <mergeCell ref="C9:C10"/>
    <mergeCell ref="D9:D10"/>
    <mergeCell ref="E9:F9"/>
    <mergeCell ref="G9:G10"/>
    <mergeCell ref="H9:H10"/>
    <mergeCell ref="I9:I10"/>
    <mergeCell ref="J9:J10"/>
    <mergeCell ref="K9:K10"/>
    <mergeCell ref="L9:L10"/>
    <mergeCell ref="B3:AC5"/>
    <mergeCell ref="B8:K8"/>
    <mergeCell ref="L8:M8"/>
    <mergeCell ref="N8:Q8"/>
    <mergeCell ref="R8:T8"/>
    <mergeCell ref="V8:AC8"/>
  </mergeCells>
  <phoneticPr fontId="3" type="noConversion"/>
  <conditionalFormatting sqref="Z11:AC53">
    <cfRule type="expression" priority="11">
      <formula>($AA11-$AB11)+$AD$11</formula>
    </cfRule>
  </conditionalFormatting>
  <conditionalFormatting sqref="AB11:AB53">
    <cfRule type="expression" dxfId="3" priority="10">
      <formula>($AC11-$AB11)&gt;0.025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4607-C76F-4575-8855-6312C5317CEF}">
  <dimension ref="B1:AD49"/>
  <sheetViews>
    <sheetView zoomScale="55" zoomScaleNormal="55" workbookViewId="0">
      <selection activeCell="S12" sqref="S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2.75" bestFit="1" customWidth="1"/>
    <col min="4" max="4" width="6.5" bestFit="1" customWidth="1"/>
    <col min="5" max="5" width="10" customWidth="1"/>
    <col min="6" max="6" width="10" style="66" bestFit="1" customWidth="1"/>
    <col min="7" max="7" width="10" style="67" bestFit="1" customWidth="1"/>
    <col min="8" max="8" width="9.625" style="67" bestFit="1" customWidth="1"/>
    <col min="9" max="9" width="10" style="67" bestFit="1" customWidth="1"/>
    <col min="10" max="10" width="10.625" style="67" bestFit="1" customWidth="1"/>
    <col min="11" max="11" width="11.5" style="67" bestFit="1" customWidth="1"/>
    <col min="12" max="12" width="8" style="67" bestFit="1" customWidth="1"/>
    <col min="13" max="13" width="8.75" style="68" bestFit="1" customWidth="1"/>
    <col min="14" max="14" width="7" style="68" bestFit="1" customWidth="1"/>
    <col min="15" max="15" width="6.375" style="68" bestFit="1" customWidth="1"/>
    <col min="16" max="16" width="9.375" style="68" customWidth="1"/>
    <col min="17" max="17" width="8.5" style="68" customWidth="1"/>
    <col min="18" max="18" width="6.625" style="68" customWidth="1"/>
    <col min="19" max="19" width="12.125" style="68" bestFit="1" customWidth="1"/>
    <col min="20" max="21" width="12.375" style="69" bestFit="1" customWidth="1"/>
    <col min="22" max="23" width="11.25" style="69" bestFit="1" customWidth="1"/>
    <col min="24" max="25" width="12.375" style="69" bestFit="1" customWidth="1"/>
    <col min="26" max="26" width="13.5" style="69" bestFit="1" customWidth="1"/>
    <col min="27" max="27" width="16" style="69" bestFit="1" customWidth="1"/>
  </cols>
  <sheetData>
    <row r="1" spans="2:30" ht="6" customHeight="1" x14ac:dyDescent="0.3"/>
    <row r="2" spans="2:30" ht="6" customHeight="1" x14ac:dyDescent="0.3"/>
    <row r="3" spans="2:30" x14ac:dyDescent="0.3">
      <c r="B3" s="195" t="s">
        <v>101</v>
      </c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</row>
    <row r="4" spans="2:30" x14ac:dyDescent="0.3"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</row>
    <row r="5" spans="2:30" x14ac:dyDescent="0.3"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</row>
    <row r="6" spans="2:30" ht="6.75" customHeight="1" x14ac:dyDescent="0.3"/>
    <row r="7" spans="2:30" ht="6.75" customHeight="1" thickBot="1" x14ac:dyDescent="0.35">
      <c r="AD7">
        <v>21</v>
      </c>
    </row>
    <row r="8" spans="2:30" ht="27" thickTop="1" x14ac:dyDescent="0.3">
      <c r="B8" s="196" t="s">
        <v>102</v>
      </c>
      <c r="C8" s="197"/>
      <c r="D8" s="197"/>
      <c r="E8" s="197"/>
      <c r="F8" s="197"/>
      <c r="G8" s="197"/>
      <c r="H8" s="197"/>
      <c r="I8" s="198"/>
      <c r="J8" s="199"/>
      <c r="K8" s="200"/>
      <c r="L8" s="201" t="s">
        <v>73</v>
      </c>
      <c r="M8" s="202"/>
      <c r="N8" s="202"/>
      <c r="O8" s="203"/>
      <c r="P8" s="204" t="s">
        <v>103</v>
      </c>
      <c r="Q8" s="205"/>
      <c r="R8" s="206"/>
      <c r="S8" s="70" t="s">
        <v>104</v>
      </c>
      <c r="T8" s="207" t="s">
        <v>0</v>
      </c>
      <c r="U8" s="208"/>
      <c r="V8" s="208"/>
      <c r="W8" s="208"/>
      <c r="X8" s="208"/>
      <c r="Y8" s="208"/>
      <c r="Z8" s="208"/>
      <c r="AA8" s="209"/>
    </row>
    <row r="9" spans="2:30" ht="16.5" customHeight="1" x14ac:dyDescent="0.3">
      <c r="B9" s="212" t="s">
        <v>72</v>
      </c>
      <c r="C9" s="213" t="s">
        <v>69</v>
      </c>
      <c r="D9" s="213" t="s">
        <v>70</v>
      </c>
      <c r="E9" s="213" t="s">
        <v>106</v>
      </c>
      <c r="F9" s="217" t="s">
        <v>102</v>
      </c>
      <c r="G9" s="218" t="s">
        <v>71</v>
      </c>
      <c r="H9" s="219" t="s">
        <v>107</v>
      </c>
      <c r="I9" s="218" t="s">
        <v>108</v>
      </c>
      <c r="J9" s="221" t="s">
        <v>109</v>
      </c>
      <c r="K9" s="210" t="s">
        <v>110</v>
      </c>
      <c r="L9" s="228" t="s">
        <v>111</v>
      </c>
      <c r="M9" s="229" t="s">
        <v>73</v>
      </c>
      <c r="N9" s="228" t="s">
        <v>112</v>
      </c>
      <c r="O9" s="230" t="s">
        <v>113</v>
      </c>
      <c r="P9" s="223" t="s">
        <v>114</v>
      </c>
      <c r="Q9" s="223" t="s">
        <v>115</v>
      </c>
      <c r="R9" s="223" t="s">
        <v>116</v>
      </c>
      <c r="S9" s="225" t="s">
        <v>117</v>
      </c>
      <c r="T9" s="226" t="s">
        <v>118</v>
      </c>
      <c r="U9" s="226"/>
      <c r="V9" s="226"/>
      <c r="W9" s="226"/>
      <c r="X9" s="226" t="s">
        <v>119</v>
      </c>
      <c r="Y9" s="226"/>
      <c r="Z9" s="226"/>
      <c r="AA9" s="227"/>
    </row>
    <row r="10" spans="2:30" ht="17.25" thickBot="1" x14ac:dyDescent="0.35">
      <c r="B10" s="212"/>
      <c r="C10" s="214"/>
      <c r="D10" s="214"/>
      <c r="E10" s="214"/>
      <c r="F10" s="217"/>
      <c r="G10" s="218"/>
      <c r="H10" s="220"/>
      <c r="I10" s="218"/>
      <c r="J10" s="222"/>
      <c r="K10" s="211"/>
      <c r="L10" s="229"/>
      <c r="M10" s="229"/>
      <c r="N10" s="229"/>
      <c r="O10" s="231"/>
      <c r="P10" s="224"/>
      <c r="Q10" s="224"/>
      <c r="R10" s="224"/>
      <c r="S10" s="225"/>
      <c r="T10" s="118" t="s">
        <v>122</v>
      </c>
      <c r="U10" s="118" t="s">
        <v>123</v>
      </c>
      <c r="V10" s="118" t="s">
        <v>124</v>
      </c>
      <c r="W10" s="118" t="s">
        <v>125</v>
      </c>
      <c r="X10" s="73" t="s">
        <v>122</v>
      </c>
      <c r="Y10" s="73" t="s">
        <v>126</v>
      </c>
      <c r="Z10" s="73" t="s">
        <v>127</v>
      </c>
      <c r="AA10" s="74" t="s">
        <v>128</v>
      </c>
    </row>
    <row r="11" spans="2:30" ht="21.75" hidden="1" thickTop="1" thickBot="1" x14ac:dyDescent="0.35">
      <c r="B11" s="75" t="s">
        <v>129</v>
      </c>
      <c r="C11" s="77" t="s">
        <v>131</v>
      </c>
      <c r="D11" s="78">
        <v>1</v>
      </c>
      <c r="E11" s="78">
        <f>INDEX(정보!$B$4:$C$23, MATCH(C11, 정보!$B$4:$B23, 0), 2)*D11</f>
        <v>11127</v>
      </c>
      <c r="F11" s="79" t="e">
        <f>ROUNDUP(E11, -2)*#REF!</f>
        <v>#REF!</v>
      </c>
      <c r="G11" s="79" t="e">
        <f t="array" ref="G11">INDEX(정보!$E$4:$G$43, MATCH(1, (정보!$E$4:$E$43=C11)*(정보!$F$4:$F$43=D11), 0), 3)*#REF!</f>
        <v>#REF!</v>
      </c>
      <c r="H11" s="80">
        <v>0</v>
      </c>
      <c r="I11" s="80" t="e">
        <f>F11+G11-(H11*#REF!)</f>
        <v>#REF!</v>
      </c>
      <c r="J11" s="81">
        <v>0.21129999999999999</v>
      </c>
      <c r="K11" s="82" t="e">
        <f>ROUND(((10-Q11)*I11/(-11*J11+(10-Q11)*(1-M11)))-(H11*#REF!), -1)</f>
        <v>#REF!</v>
      </c>
      <c r="L11" s="83" t="s">
        <v>132</v>
      </c>
      <c r="M11" s="116">
        <f t="array" ref="M11">INDEX(정보!$I$4:$J$13, MATCH(B11,정보!$I$4:$I$13, 0), 2)</f>
        <v>0.1</v>
      </c>
      <c r="N11" s="84" t="e">
        <f>IF(L11="N", K11*(M11+(M11/10)), K11*M11)</f>
        <v>#REF!</v>
      </c>
      <c r="O11" s="84">
        <f>IF(L11="N", N11*0.1, 0)</f>
        <v>0</v>
      </c>
      <c r="P11" s="85" t="e">
        <f>ROUND((K11-I11-N11-O11)/11, 0)</f>
        <v>#REF!</v>
      </c>
      <c r="Q11" s="86">
        <v>0.4</v>
      </c>
      <c r="R11" s="85" t="e">
        <f>ROUND(P11*Q11, 0)</f>
        <v>#REF!</v>
      </c>
      <c r="S11" s="87" t="e">
        <f>K11-N11-O11</f>
        <v>#REF!</v>
      </c>
      <c r="T11" s="88" t="e">
        <f>U11-(U11/11)-((U11/11)*Q11)</f>
        <v>#REF!</v>
      </c>
      <c r="U11" s="88" t="e">
        <f t="array" ref="U11">INDEX(정보!$N$4:$O$23, MATCH(C11, 정보!$N$4:$N$23, 0), 2)*#REF!-F11</f>
        <v>#REF!</v>
      </c>
      <c r="V11" s="88" t="e">
        <f>W11-P11-R11</f>
        <v>#REF!</v>
      </c>
      <c r="W11" s="88" t="e">
        <f>S11-I11</f>
        <v>#REF!</v>
      </c>
      <c r="X11" s="89" t="e">
        <f t="array" ref="X11">T11/(INDEX(정보!$N$4:$O$23, MATCH(C11, 정보!$N$4:$N$23, 0), 2)*#REF!)</f>
        <v>#REF!</v>
      </c>
      <c r="Y11" s="90" t="e">
        <f t="array" ref="Y11">U11/(INDEX(정보!$N$4:$O$23, MATCH(C11, 정보!$N$4:$N$23, 0), 2)*#REF!)</f>
        <v>#REF!</v>
      </c>
      <c r="Z11" s="91" t="e">
        <f>V11/K11</f>
        <v>#REF!</v>
      </c>
      <c r="AA11" s="92" t="e">
        <f>W11/K11</f>
        <v>#REF!</v>
      </c>
      <c r="AB11" s="93" t="e">
        <f>AA11-Z11</f>
        <v>#REF!</v>
      </c>
      <c r="AC11" s="94"/>
      <c r="AD11" s="93"/>
    </row>
    <row r="12" spans="2:30" ht="21.75" thickTop="1" thickBot="1" x14ac:dyDescent="0.35">
      <c r="B12" s="75" t="s">
        <v>147</v>
      </c>
      <c r="C12" s="77" t="s">
        <v>131</v>
      </c>
      <c r="D12" s="78">
        <v>1</v>
      </c>
      <c r="E12" s="78">
        <f>INDEX(정보!$B$4:$C$23, MATCH(C12, 정보!$B$4:$B23, 0), 2)*D12</f>
        <v>11127</v>
      </c>
      <c r="F12" s="79">
        <f>ROUNDUP(E12, -2)*D12+300</f>
        <v>11500</v>
      </c>
      <c r="G12" s="121" t="e">
        <f>INDEX(정보!$E$4:$G$43, MATCH(1, (정보!$E$4:$E$43=C12)*(정보!$F$4:$F$43=D12), 0), 3)</f>
        <v>#N/A</v>
      </c>
      <c r="H12" s="80">
        <v>55</v>
      </c>
      <c r="I12" s="80" t="e">
        <f>F12+G12-(H12*#REF!)</f>
        <v>#N/A</v>
      </c>
      <c r="J12" s="81">
        <v>0.19900000000000001</v>
      </c>
      <c r="K12" s="82" t="e">
        <f>ROUND(((10-Q12)*I12/(-11*J12+(10-Q12)*(1-M12)))-(H12*#REF!), -1)</f>
        <v>#N/A</v>
      </c>
      <c r="L12" s="83" t="s">
        <v>132</v>
      </c>
      <c r="M12" s="116">
        <f t="array" ref="M12">INDEX(정보!$I$4:$J$13, MATCH(B12,정보!$I$4:$I$13, 0), 2)</f>
        <v>0.05</v>
      </c>
      <c r="N12" s="84" t="e">
        <f t="shared" ref="N12" si="0">IF(L12="N", K12*(M12+(M12/10)), K12*M12)</f>
        <v>#N/A</v>
      </c>
      <c r="O12" s="84">
        <f t="shared" ref="O12" si="1">IF(L12="N", N12*0.1, 0)</f>
        <v>0</v>
      </c>
      <c r="P12" s="85" t="e">
        <f>ROUND((K12-I12-N12-O12)/11, 0)</f>
        <v>#N/A</v>
      </c>
      <c r="Q12" s="86">
        <v>0.4</v>
      </c>
      <c r="R12" s="85" t="e">
        <f t="shared" ref="R12" si="2">ROUND(P12*Q12, 0)</f>
        <v>#N/A</v>
      </c>
      <c r="S12" s="87" t="e">
        <f t="shared" ref="S12" si="3">K12-N12-O12</f>
        <v>#N/A</v>
      </c>
      <c r="T12" s="88" t="e">
        <f t="shared" ref="T12" si="4">U12-(U12/11)-((U12/11)*Q12)</f>
        <v>#REF!</v>
      </c>
      <c r="U12" s="88" t="e">
        <f t="array" ref="U12">INDEX(정보!$N$4:$O$23, MATCH(C12, 정보!$N$4:$N$23, 0), 2)*#REF!-F12</f>
        <v>#REF!</v>
      </c>
      <c r="V12" s="88" t="e">
        <f t="shared" ref="V12" si="5">W12-P12-R12</f>
        <v>#N/A</v>
      </c>
      <c r="W12" s="88" t="e">
        <f>S12-I12</f>
        <v>#N/A</v>
      </c>
      <c r="X12" s="89" t="e">
        <f t="array" ref="X12">T12/(INDEX(정보!$N$4:$O$23, MATCH(C12, 정보!$N$4:$N$23, 0), 2)*#REF!)</f>
        <v>#REF!</v>
      </c>
      <c r="Y12" s="90" t="e">
        <f t="array" ref="Y12">U12/(INDEX(정보!$N$4:$O$23, MATCH(C12, 정보!$N$4:$N$23, 0), 2)*#REF!)</f>
        <v>#REF!</v>
      </c>
      <c r="Z12" s="91" t="e">
        <f t="shared" ref="Z12" si="6">V12/K12</f>
        <v>#N/A</v>
      </c>
      <c r="AA12" s="92" t="e">
        <f t="shared" ref="AA12" si="7">W12/K12</f>
        <v>#N/A</v>
      </c>
      <c r="AB12" s="93" t="e">
        <f t="shared" ref="AB12" si="8">AA12-Z12</f>
        <v>#N/A</v>
      </c>
      <c r="AD12" s="95"/>
    </row>
    <row r="13" spans="2:30" ht="21.75" thickTop="1" thickBot="1" x14ac:dyDescent="0.35">
      <c r="B13" s="75" t="s">
        <v>147</v>
      </c>
      <c r="C13" s="77" t="s">
        <v>91</v>
      </c>
      <c r="D13" s="78">
        <v>1</v>
      </c>
      <c r="E13" s="78">
        <f>INDEX(정보!$B$4:$C$23, MATCH(C13, 정보!$B$4:$B23, 0), 2)*D13</f>
        <v>12795</v>
      </c>
      <c r="F13" s="79">
        <f t="shared" ref="F13:F15" si="9">ROUNDUP(E13, -2)*D13+300</f>
        <v>13100</v>
      </c>
      <c r="G13" s="79"/>
      <c r="H13" s="80"/>
      <c r="I13" s="80"/>
      <c r="J13" s="81"/>
      <c r="K13" s="82"/>
      <c r="L13" s="83"/>
      <c r="M13" s="116"/>
      <c r="N13" s="84"/>
      <c r="O13" s="84"/>
      <c r="P13" s="85"/>
      <c r="Q13" s="86"/>
      <c r="R13" s="85"/>
      <c r="S13" s="87"/>
      <c r="T13" s="88"/>
      <c r="U13" s="88"/>
      <c r="V13" s="88"/>
      <c r="W13" s="88"/>
      <c r="X13" s="89"/>
      <c r="Y13" s="90"/>
      <c r="Z13" s="91"/>
      <c r="AA13" s="92"/>
      <c r="AB13" s="93"/>
      <c r="AD13" s="95"/>
    </row>
    <row r="14" spans="2:30" ht="21.75" thickTop="1" thickBot="1" x14ac:dyDescent="0.35">
      <c r="B14" s="75" t="s">
        <v>147</v>
      </c>
      <c r="C14" s="77" t="s">
        <v>93</v>
      </c>
      <c r="D14" s="78">
        <v>1</v>
      </c>
      <c r="E14" s="78">
        <f>INDEX(정보!$B$4:$C$23, MATCH(C14, 정보!$B$4:$B24, 0), 2)*D14</f>
        <v>14963</v>
      </c>
      <c r="F14" s="79">
        <f t="shared" si="9"/>
        <v>15300</v>
      </c>
      <c r="G14" s="79"/>
      <c r="H14" s="80"/>
      <c r="I14" s="80"/>
      <c r="J14" s="81"/>
      <c r="K14" s="82"/>
      <c r="L14" s="83"/>
      <c r="M14" s="116"/>
      <c r="N14" s="84"/>
      <c r="O14" s="84"/>
      <c r="P14" s="85"/>
      <c r="Q14" s="86"/>
      <c r="R14" s="85"/>
      <c r="S14" s="87"/>
      <c r="T14" s="88"/>
      <c r="U14" s="88"/>
      <c r="V14" s="88"/>
      <c r="W14" s="88"/>
      <c r="X14" s="89"/>
      <c r="Y14" s="90"/>
      <c r="Z14" s="91"/>
      <c r="AA14" s="92"/>
      <c r="AB14" s="93"/>
      <c r="AD14" s="95"/>
    </row>
    <row r="15" spans="2:30" ht="21.75" thickTop="1" thickBot="1" x14ac:dyDescent="0.35">
      <c r="B15" s="75" t="s">
        <v>147</v>
      </c>
      <c r="C15" s="77" t="s">
        <v>94</v>
      </c>
      <c r="D15" s="78">
        <v>1</v>
      </c>
      <c r="E15" s="78">
        <f>INDEX(정보!$B$4:$C$23, MATCH(C15, 정보!$B$4:$B25, 0), 2)*D15</f>
        <v>21207</v>
      </c>
      <c r="F15" s="79">
        <f t="shared" si="9"/>
        <v>21600</v>
      </c>
      <c r="G15" s="79"/>
      <c r="H15" s="80"/>
      <c r="I15" s="80"/>
      <c r="J15" s="81"/>
      <c r="K15" s="82"/>
      <c r="L15" s="83"/>
      <c r="M15" s="116"/>
      <c r="N15" s="84"/>
      <c r="O15" s="84"/>
      <c r="P15" s="85"/>
      <c r="Q15" s="86"/>
      <c r="R15" s="85"/>
      <c r="S15" s="87"/>
      <c r="T15" s="88"/>
      <c r="U15" s="88"/>
      <c r="V15" s="88"/>
      <c r="W15" s="88"/>
      <c r="X15" s="89"/>
      <c r="Y15" s="90"/>
      <c r="Z15" s="91"/>
      <c r="AA15" s="92"/>
      <c r="AB15" s="93"/>
      <c r="AD15" s="95"/>
    </row>
    <row r="16" spans="2:30" s="112" customFormat="1" ht="7.5" customHeight="1" thickTop="1" thickBot="1" x14ac:dyDescent="0.35">
      <c r="B16" s="96"/>
      <c r="C16" s="98"/>
      <c r="D16" s="99"/>
      <c r="E16" s="99"/>
      <c r="F16" s="100"/>
      <c r="G16" s="100"/>
      <c r="H16" s="101"/>
      <c r="I16" s="101"/>
      <c r="J16" s="113"/>
      <c r="K16" s="114"/>
      <c r="L16" s="102"/>
      <c r="M16" s="117"/>
      <c r="N16" s="104"/>
      <c r="O16" s="104"/>
      <c r="P16" s="104"/>
      <c r="Q16" s="103"/>
      <c r="R16" s="104"/>
      <c r="S16" s="104"/>
      <c r="T16" s="105"/>
      <c r="U16" s="105"/>
      <c r="V16" s="105"/>
      <c r="W16" s="105"/>
      <c r="X16" s="106"/>
      <c r="Y16" s="106"/>
      <c r="Z16" s="106"/>
      <c r="AA16" s="107"/>
      <c r="AB16" s="115"/>
    </row>
    <row r="17" spans="2:28" ht="21.75" thickTop="1" thickBot="1" x14ac:dyDescent="0.35">
      <c r="B17" s="75" t="s">
        <v>147</v>
      </c>
      <c r="C17" s="77" t="s">
        <v>134</v>
      </c>
      <c r="D17" s="78">
        <v>1</v>
      </c>
      <c r="E17" s="78">
        <f>INDEX(정보!$B$4:$C$23, MATCH(C17, 정보!$B$4:$B27, 0), 2)*D17</f>
        <v>11660</v>
      </c>
      <c r="F17" s="79" t="e">
        <f>ROUNDUP(E17, -2)*#REF!+300</f>
        <v>#REF!</v>
      </c>
      <c r="G17" s="79" t="e">
        <f t="array" ref="G17">INDEX(정보!$E$4:$G$43, MATCH(1, (정보!$E$4:$E$43=C17)*(정보!$F$4:$F$43=D17), 0), 3)*#REF!</f>
        <v>#REF!</v>
      </c>
      <c r="H17" s="80">
        <v>0</v>
      </c>
      <c r="I17" s="80" t="e">
        <f>F17+G17-(H17*#REF!)</f>
        <v>#REF!</v>
      </c>
      <c r="J17" s="81">
        <v>0.19900000000000001</v>
      </c>
      <c r="K17" s="82" t="e">
        <f>ROUND(((10-Q17)*I17/(-11*J17+(10-Q17)*(1-M17)))-(H17*#REF!), -1)</f>
        <v>#REF!</v>
      </c>
      <c r="L17" s="83" t="s">
        <v>132</v>
      </c>
      <c r="M17" s="116">
        <f t="array" ref="M17">INDEX(정보!$I$4:$J$13, MATCH(B17,정보!$I$4:$I$13, 0), 2)</f>
        <v>0.05</v>
      </c>
      <c r="N17" s="84" t="e">
        <f t="shared" ref="N17" si="10">IF(L17="N", K17*(M17+(M17/10)), K17*M17)</f>
        <v>#REF!</v>
      </c>
      <c r="O17" s="84">
        <f t="shared" ref="O17" si="11">IF(L17="N", N17*0.1, 0)</f>
        <v>0</v>
      </c>
      <c r="P17" s="85" t="e">
        <f>ROUND((K17-I17-N17-O17)/11, 0)</f>
        <v>#REF!</v>
      </c>
      <c r="Q17" s="86">
        <v>0.4</v>
      </c>
      <c r="R17" s="85" t="e">
        <f t="shared" ref="R17" si="12">ROUND(P17*Q17, 0)</f>
        <v>#REF!</v>
      </c>
      <c r="S17" s="87" t="e">
        <f t="shared" ref="S17" si="13">K17-N17-O17</f>
        <v>#REF!</v>
      </c>
      <c r="T17" s="88" t="e">
        <f t="shared" ref="T17" si="14">U17-(U17/11)-((U17/11)*Q17)</f>
        <v>#REF!</v>
      </c>
      <c r="U17" s="88" t="e">
        <f t="array" ref="U17">INDEX(정보!$N$4:$O$23, MATCH(C17, 정보!$N$4:$N$23, 0), 2)*#REF!-F17</f>
        <v>#REF!</v>
      </c>
      <c r="V17" s="88" t="e">
        <f t="shared" ref="V17" si="15">W17-P17-R17</f>
        <v>#REF!</v>
      </c>
      <c r="W17" s="88" t="e">
        <f>S17-I17</f>
        <v>#REF!</v>
      </c>
      <c r="X17" s="89" t="e">
        <f t="array" ref="X17">T17/(INDEX(정보!$N$4:$O$23, MATCH(C17, 정보!$N$4:$N$23, 0), 2)*#REF!)</f>
        <v>#REF!</v>
      </c>
      <c r="Y17" s="90" t="e">
        <f t="array" ref="Y17">U17/(INDEX(정보!$N$4:$O$23, MATCH(C17, 정보!$N$4:$N$23, 0), 2)*#REF!)</f>
        <v>#REF!</v>
      </c>
      <c r="Z17" s="91" t="e">
        <f t="shared" ref="Z17" si="16">V17/K17</f>
        <v>#REF!</v>
      </c>
      <c r="AA17" s="92" t="e">
        <f t="shared" ref="AA17" si="17">W17/K17</f>
        <v>#REF!</v>
      </c>
      <c r="AB17" s="93" t="e">
        <f t="shared" ref="AB17" si="18">AA17-Z17</f>
        <v>#REF!</v>
      </c>
    </row>
    <row r="18" spans="2:28" ht="21.75" thickTop="1" thickBot="1" x14ac:dyDescent="0.35">
      <c r="B18" s="75" t="s">
        <v>147</v>
      </c>
      <c r="C18" s="77" t="s">
        <v>96</v>
      </c>
      <c r="D18" s="78">
        <v>1</v>
      </c>
      <c r="E18" s="78">
        <f>INDEX(정보!$B$4:$C$23, MATCH(C18, 정보!$B$4:$B28, 0), 2)*D18</f>
        <v>13418</v>
      </c>
      <c r="F18" s="79"/>
      <c r="G18" s="80"/>
      <c r="H18" s="80"/>
      <c r="I18" s="80"/>
      <c r="J18" s="81"/>
      <c r="K18" s="82"/>
      <c r="L18" s="83"/>
      <c r="M18" s="116"/>
      <c r="N18" s="84"/>
      <c r="O18" s="84"/>
      <c r="P18" s="85"/>
      <c r="Q18" s="86"/>
      <c r="R18" s="85"/>
      <c r="S18" s="87"/>
      <c r="T18" s="88"/>
      <c r="U18" s="88"/>
      <c r="V18" s="88"/>
      <c r="W18" s="88"/>
      <c r="X18" s="89"/>
      <c r="Y18" s="90"/>
      <c r="Z18" s="91"/>
      <c r="AA18" s="92"/>
      <c r="AB18" s="93"/>
    </row>
    <row r="19" spans="2:28" ht="21.75" thickTop="1" thickBot="1" x14ac:dyDescent="0.35">
      <c r="B19" s="75" t="s">
        <v>147</v>
      </c>
      <c r="C19" s="77" t="s">
        <v>97</v>
      </c>
      <c r="D19" s="78">
        <v>1</v>
      </c>
      <c r="E19" s="78">
        <f>INDEX(정보!$B$4:$C$23, MATCH(C19, 정보!$B$4:$B29, 0), 2)*D19</f>
        <v>15710</v>
      </c>
      <c r="F19" s="79"/>
      <c r="G19" s="80"/>
      <c r="H19" s="80"/>
      <c r="I19" s="80"/>
      <c r="J19" s="81"/>
      <c r="K19" s="82"/>
      <c r="L19" s="83"/>
      <c r="M19" s="116"/>
      <c r="N19" s="84"/>
      <c r="O19" s="84"/>
      <c r="P19" s="85"/>
      <c r="Q19" s="86"/>
      <c r="R19" s="85"/>
      <c r="S19" s="87"/>
      <c r="T19" s="88"/>
      <c r="U19" s="88"/>
      <c r="V19" s="88"/>
      <c r="W19" s="88"/>
      <c r="X19" s="89"/>
      <c r="Y19" s="90"/>
      <c r="Z19" s="91"/>
      <c r="AA19" s="92"/>
      <c r="AB19" s="93"/>
    </row>
    <row r="20" spans="2:28" ht="21.75" thickTop="1" thickBot="1" x14ac:dyDescent="0.35">
      <c r="B20" s="75" t="s">
        <v>147</v>
      </c>
      <c r="C20" s="77" t="s">
        <v>98</v>
      </c>
      <c r="D20" s="78">
        <v>1</v>
      </c>
      <c r="E20" s="78">
        <f>INDEX(정보!$B$4:$C$23, MATCH(C20, 정보!$B$4:$B30, 0), 2)*D20</f>
        <v>21993</v>
      </c>
      <c r="F20" s="79"/>
      <c r="G20" s="80"/>
      <c r="H20" s="80"/>
      <c r="I20" s="80"/>
      <c r="J20" s="81"/>
      <c r="K20" s="82"/>
      <c r="L20" s="83"/>
      <c r="M20" s="116"/>
      <c r="N20" s="84"/>
      <c r="O20" s="84"/>
      <c r="P20" s="85"/>
      <c r="Q20" s="86"/>
      <c r="R20" s="85"/>
      <c r="S20" s="87"/>
      <c r="T20" s="88"/>
      <c r="U20" s="88"/>
      <c r="V20" s="88"/>
      <c r="W20" s="88"/>
      <c r="X20" s="89"/>
      <c r="Y20" s="90"/>
      <c r="Z20" s="91"/>
      <c r="AA20" s="92"/>
      <c r="AB20" s="93"/>
    </row>
    <row r="21" spans="2:28" s="112" customFormat="1" ht="7.5" customHeight="1" thickTop="1" thickBot="1" x14ac:dyDescent="0.35">
      <c r="B21" s="96"/>
      <c r="C21" s="98"/>
      <c r="D21" s="99"/>
      <c r="E21" s="99"/>
      <c r="F21" s="100"/>
      <c r="G21" s="101"/>
      <c r="H21" s="101"/>
      <c r="I21" s="101"/>
      <c r="J21" s="113"/>
      <c r="K21" s="114"/>
      <c r="L21" s="102"/>
      <c r="M21" s="117"/>
      <c r="N21" s="104"/>
      <c r="O21" s="104"/>
      <c r="P21" s="104"/>
      <c r="Q21" s="103"/>
      <c r="R21" s="104"/>
      <c r="S21" s="104"/>
      <c r="T21" s="105"/>
      <c r="U21" s="105"/>
      <c r="V21" s="105"/>
      <c r="W21" s="105"/>
      <c r="X21" s="106"/>
      <c r="Y21" s="106"/>
      <c r="Z21" s="106"/>
      <c r="AA21" s="107"/>
      <c r="AB21" s="115"/>
    </row>
    <row r="22" spans="2:28" ht="16.5" customHeight="1" thickTop="1" thickBot="1" x14ac:dyDescent="0.35">
      <c r="B22" s="75" t="s">
        <v>147</v>
      </c>
      <c r="C22" s="77" t="s">
        <v>135</v>
      </c>
      <c r="D22" s="78">
        <v>10</v>
      </c>
      <c r="E22" s="78">
        <f>INDEX(정보!$B$4:$C$23, MATCH(C22, 정보!$B$4:$B39, 0), 2)*D22</f>
        <v>19680</v>
      </c>
      <c r="F22" s="79" t="e">
        <f>ROUNDUP(E22, -2)*#REF!</f>
        <v>#REF!</v>
      </c>
      <c r="G22" s="79" t="e">
        <f t="array" ref="G22">INDEX(정보!$E$4:$G$43, MATCH(1, (정보!$E$4:$E$43=C22)*(정보!$F$4:$F$43=D22), 0), 3)*#REF!</f>
        <v>#REF!</v>
      </c>
      <c r="H22" s="80">
        <v>18</v>
      </c>
      <c r="I22" s="80" t="e">
        <f>F22+G22-(H22*#REF!)</f>
        <v>#REF!</v>
      </c>
      <c r="J22" s="81">
        <v>0.19900000000000001</v>
      </c>
      <c r="K22" s="82" t="e">
        <f>ROUND(((10-Q22)*I22/(-11*J22+(10-Q22)*(1-M22)))-(H22*#REF!), -1)</f>
        <v>#REF!</v>
      </c>
      <c r="L22" s="83" t="s">
        <v>132</v>
      </c>
      <c r="M22" s="116">
        <f t="array" ref="M22">INDEX(정보!$I$4:$J$13, MATCH(B22,정보!$I$4:$I$13, 0), 2)</f>
        <v>0.05</v>
      </c>
      <c r="N22" s="84" t="e">
        <f t="shared" ref="N22" si="19">IF(L22="N", K22*(M22+(M22/10)), K22*M22)</f>
        <v>#REF!</v>
      </c>
      <c r="O22" s="84">
        <f t="shared" ref="O22" si="20">IF(L22="N", N22*0.1, 0)</f>
        <v>0</v>
      </c>
      <c r="P22" s="85" t="e">
        <f t="shared" ref="P22" si="21">ROUND((K22-I22-N22-O22)/11, 0)</f>
        <v>#REF!</v>
      </c>
      <c r="Q22" s="86">
        <v>0.4</v>
      </c>
      <c r="R22" s="85" t="e">
        <f t="shared" ref="R22" si="22">ROUND(P22*Q22, 0)</f>
        <v>#REF!</v>
      </c>
      <c r="S22" s="87" t="e">
        <f t="shared" ref="S22" si="23">K22-N22-O22</f>
        <v>#REF!</v>
      </c>
      <c r="T22" s="88" t="e">
        <f t="shared" ref="T22" si="24">U22-(U22/11)-((U22/11)*Q22)</f>
        <v>#REF!</v>
      </c>
      <c r="U22" s="88" t="e">
        <f>INDEX(정보!$N$4:$O$23, MATCH(C22, 정보!$N$4:$N$23, 0), 2)*D22-F22</f>
        <v>#REF!</v>
      </c>
      <c r="V22" s="88" t="e">
        <f t="shared" ref="V22" si="25">W22-P22-R22</f>
        <v>#REF!</v>
      </c>
      <c r="W22" s="88" t="e">
        <f t="shared" ref="W22" si="26">S22-I22</f>
        <v>#REF!</v>
      </c>
      <c r="X22" s="89" t="e">
        <f>T22/(INDEX(정보!$N$4:$O$23, MATCH(C22, 정보!$N$4:$N$23, 0), 2)*D22)</f>
        <v>#REF!</v>
      </c>
      <c r="Y22" s="90" t="e">
        <f>U22/(INDEX(정보!$N$4:$O$23, MATCH(C22, 정보!$N$4:$N$23, 0), 2)*D22)</f>
        <v>#REF!</v>
      </c>
      <c r="Z22" s="91" t="e">
        <f t="shared" ref="Z22" si="27">V22/K22</f>
        <v>#REF!</v>
      </c>
      <c r="AA22" s="92" t="e">
        <f t="shared" ref="AA22" si="28">W22/K22</f>
        <v>#REF!</v>
      </c>
      <c r="AB22" s="93" t="e">
        <f t="shared" ref="AB22" si="29">AA22-Z22</f>
        <v>#REF!</v>
      </c>
    </row>
    <row r="23" spans="2:28" s="112" customFormat="1" ht="7.5" customHeight="1" thickTop="1" thickBot="1" x14ac:dyDescent="0.35">
      <c r="B23" s="96"/>
      <c r="C23" s="98"/>
      <c r="D23" s="99"/>
      <c r="E23" s="99"/>
      <c r="F23" s="100"/>
      <c r="G23" s="101"/>
      <c r="H23" s="101"/>
      <c r="I23" s="101"/>
      <c r="J23" s="113"/>
      <c r="K23" s="114"/>
      <c r="L23" s="102"/>
      <c r="M23" s="117"/>
      <c r="N23" s="104"/>
      <c r="O23" s="104"/>
      <c r="P23" s="104"/>
      <c r="Q23" s="103"/>
      <c r="R23" s="104"/>
      <c r="S23" s="104"/>
      <c r="T23" s="105"/>
      <c r="U23" s="105"/>
      <c r="V23" s="105"/>
      <c r="W23" s="105"/>
      <c r="X23" s="106"/>
      <c r="Y23" s="106"/>
      <c r="Z23" s="106"/>
      <c r="AA23" s="107"/>
      <c r="AB23" s="115"/>
    </row>
    <row r="24" spans="2:28" ht="16.5" customHeight="1" thickTop="1" thickBot="1" x14ac:dyDescent="0.35">
      <c r="B24" s="75" t="s">
        <v>147</v>
      </c>
      <c r="C24" s="77" t="s">
        <v>145</v>
      </c>
      <c r="D24" s="78">
        <v>10</v>
      </c>
      <c r="E24" s="78"/>
      <c r="F24" s="79"/>
      <c r="G24" s="80"/>
      <c r="H24" s="80"/>
      <c r="I24" s="80"/>
      <c r="J24" s="81"/>
      <c r="K24" s="82"/>
      <c r="L24" s="83"/>
      <c r="M24" s="116"/>
      <c r="N24" s="84"/>
      <c r="O24" s="84"/>
      <c r="P24" s="85"/>
      <c r="Q24" s="86"/>
      <c r="R24" s="85"/>
      <c r="S24" s="87"/>
      <c r="T24" s="88"/>
      <c r="U24" s="88"/>
      <c r="V24" s="88"/>
      <c r="W24" s="88"/>
      <c r="X24" s="89"/>
      <c r="Y24" s="90"/>
      <c r="Z24" s="91"/>
      <c r="AA24" s="92"/>
      <c r="AB24" s="93"/>
    </row>
    <row r="25" spans="2:28" s="112" customFormat="1" ht="7.5" customHeight="1" thickTop="1" thickBot="1" x14ac:dyDescent="0.35">
      <c r="B25" s="96"/>
      <c r="C25" s="98"/>
      <c r="D25" s="99"/>
      <c r="E25" s="99"/>
      <c r="F25" s="100"/>
      <c r="G25" s="101"/>
      <c r="H25" s="101"/>
      <c r="I25" s="101"/>
      <c r="J25" s="113"/>
      <c r="K25" s="114"/>
      <c r="L25" s="102"/>
      <c r="M25" s="117"/>
      <c r="N25" s="104"/>
      <c r="O25" s="104"/>
      <c r="P25" s="104"/>
      <c r="Q25" s="103"/>
      <c r="R25" s="104"/>
      <c r="S25" s="104"/>
      <c r="T25" s="105"/>
      <c r="U25" s="105"/>
      <c r="V25" s="105"/>
      <c r="W25" s="105"/>
      <c r="X25" s="106"/>
      <c r="Y25" s="106"/>
      <c r="Z25" s="106"/>
      <c r="AA25" s="107"/>
      <c r="AB25" s="115"/>
    </row>
    <row r="26" spans="2:28" ht="16.5" customHeight="1" thickTop="1" thickBot="1" x14ac:dyDescent="0.35">
      <c r="B26" s="75" t="s">
        <v>147</v>
      </c>
      <c r="C26" s="77" t="s">
        <v>136</v>
      </c>
      <c r="D26" s="78">
        <v>4</v>
      </c>
      <c r="E26" s="78">
        <f>INDEX(정보!$B$4:$C$23, MATCH(C26, 정보!$B$4:$B44, 0), 2)*D26</f>
        <v>15435</v>
      </c>
      <c r="F26" s="79" t="e">
        <f>ROUNDUP(E26, -2)*#REF!</f>
        <v>#REF!</v>
      </c>
      <c r="G26" s="79" t="e">
        <f t="array" ref="G26">INDEX(정보!$E$4:$G$43, MATCH(1, (정보!$E$4:$E$43=C26)*(정보!$F$4:$F$43=D26), 0), 3)*#REF!</f>
        <v>#REF!</v>
      </c>
      <c r="H26" s="80">
        <v>23</v>
      </c>
      <c r="I26" s="80" t="e">
        <f>F26+G26-(H26*#REF!)</f>
        <v>#REF!</v>
      </c>
      <c r="J26" s="81">
        <v>23.203700000000001</v>
      </c>
      <c r="K26" s="82" t="e">
        <f>ROUND(((10-Q26)*I26/(-11*J26+(10-Q26)*(1-M26)))-(H26*#REF!), -1)</f>
        <v>#REF!</v>
      </c>
      <c r="L26" s="83" t="s">
        <v>132</v>
      </c>
      <c r="M26" s="116">
        <f t="array" ref="M26">INDEX(정보!$I$4:$J$13, MATCH(B26,정보!$I$4:$I$13, 0), 2)</f>
        <v>0.05</v>
      </c>
      <c r="N26" s="84" t="e">
        <f t="shared" ref="N26" si="30">IF(L26="N", K26*(M26+(M26/10)), K26*M26)</f>
        <v>#REF!</v>
      </c>
      <c r="O26" s="84">
        <f t="shared" ref="O26" si="31">IF(L26="N", N26*0.1, 0)</f>
        <v>0</v>
      </c>
      <c r="P26" s="85" t="e">
        <f>ROUND((K26-I26-N26-O26)/11, 0)</f>
        <v>#REF!</v>
      </c>
      <c r="Q26" s="86">
        <v>0.4</v>
      </c>
      <c r="R26" s="85" t="e">
        <f t="shared" ref="R26" si="32">ROUND(P26*Q26, 0)</f>
        <v>#REF!</v>
      </c>
      <c r="S26" s="87" t="e">
        <f t="shared" ref="S26" si="33">K26-N26-O26</f>
        <v>#REF!</v>
      </c>
      <c r="T26" s="88" t="e">
        <f t="shared" ref="T26" si="34">U26-(U26/11)-((U26/11)*Q26)</f>
        <v>#REF!</v>
      </c>
      <c r="U26" s="88" t="e">
        <f t="array" ref="U26">INDEX(정보!$N$4:$O$23, MATCH(C26, 정보!$N$4:$N$23, 0), 2)*#REF!-F26</f>
        <v>#REF!</v>
      </c>
      <c r="V26" s="88" t="e">
        <f t="shared" ref="V26" si="35">W26-P26-R26</f>
        <v>#REF!</v>
      </c>
      <c r="W26" s="88" t="e">
        <f>S26-I26</f>
        <v>#REF!</v>
      </c>
      <c r="X26" s="89" t="e">
        <f t="array" ref="X26">T26/(INDEX(정보!$N$4:$O$23, MATCH(C26, 정보!$N$4:$N$23, 0), 2)*#REF!)</f>
        <v>#REF!</v>
      </c>
      <c r="Y26" s="90" t="e">
        <f t="array" ref="Y26">U26/(INDEX(정보!$N$4:$O$23, MATCH(C26, 정보!$N$4:$N$23, 0), 2)*#REF!)</f>
        <v>#REF!</v>
      </c>
      <c r="Z26" s="91" t="e">
        <f t="shared" ref="Z26" si="36">V26/K26</f>
        <v>#REF!</v>
      </c>
      <c r="AA26" s="92" t="e">
        <f t="shared" ref="AA26" si="37">W26/K26</f>
        <v>#REF!</v>
      </c>
      <c r="AB26" s="93" t="e">
        <f t="shared" ref="AB26" si="38">AA26-Z26</f>
        <v>#REF!</v>
      </c>
    </row>
    <row r="27" spans="2:28" s="112" customFormat="1" ht="8.1" customHeight="1" thickTop="1" thickBot="1" x14ac:dyDescent="0.35">
      <c r="B27" s="96"/>
      <c r="C27" s="98"/>
      <c r="D27" s="99"/>
      <c r="E27" s="99"/>
      <c r="F27" s="100"/>
      <c r="G27" s="101"/>
      <c r="H27" s="101"/>
      <c r="I27" s="101"/>
      <c r="J27" s="113"/>
      <c r="K27" s="114"/>
      <c r="L27" s="102"/>
      <c r="M27" s="117"/>
      <c r="N27" s="104"/>
      <c r="O27" s="104"/>
      <c r="P27" s="104"/>
      <c r="Q27" s="103"/>
      <c r="R27" s="104"/>
      <c r="S27" s="104"/>
      <c r="T27" s="105"/>
      <c r="U27" s="105"/>
      <c r="V27" s="105"/>
      <c r="W27" s="105"/>
      <c r="X27" s="106"/>
      <c r="Y27" s="106"/>
      <c r="Z27" s="106"/>
      <c r="AA27" s="107"/>
      <c r="AB27" s="115"/>
    </row>
    <row r="28" spans="2:28" ht="16.5" customHeight="1" thickTop="1" thickBot="1" x14ac:dyDescent="0.35">
      <c r="B28" s="75" t="s">
        <v>147</v>
      </c>
      <c r="C28" s="77" t="s">
        <v>137</v>
      </c>
      <c r="D28" s="78">
        <v>3</v>
      </c>
      <c r="E28" s="78">
        <f>INDEX(정보!$B$4:$C$23, MATCH(C28, 정보!$B$4:$B48, 0), 2)*D28</f>
        <v>10918</v>
      </c>
      <c r="F28" s="79" t="e">
        <f>ROUNDUP(E28, -2)*#REF!</f>
        <v>#REF!</v>
      </c>
      <c r="G28" s="79" t="e">
        <f t="array" ref="G28">INDEX(정보!$E$4:$G$43, MATCH(1, (정보!$E$4:$E$43=C28)*(정보!$F$4:$F$43=D28), 0), 3)*#REF!</f>
        <v>#REF!</v>
      </c>
      <c r="H28" s="80">
        <v>0</v>
      </c>
      <c r="I28" s="80" t="e">
        <f>F28+G28-(H28*#REF!)</f>
        <v>#REF!</v>
      </c>
      <c r="J28" s="81">
        <v>0.19</v>
      </c>
      <c r="K28" s="82" t="e">
        <f>ROUND(((10-Q28)*I28/(-11*J28+(10-Q28)*(1-M28)))-(H28*#REF!), -1)</f>
        <v>#REF!</v>
      </c>
      <c r="L28" s="83" t="s">
        <v>132</v>
      </c>
      <c r="M28" s="116">
        <f t="array" ref="M28">INDEX(정보!$I$4:$J$13, MATCH(B28,정보!$I$4:$I$13, 0), 2)</f>
        <v>0.05</v>
      </c>
      <c r="N28" s="84" t="e">
        <f t="shared" ref="N28" si="39">IF(L28="N", K28*(M28+(M28/10)), K28*M28)</f>
        <v>#REF!</v>
      </c>
      <c r="O28" s="84">
        <f t="shared" ref="O28" si="40">IF(L28="N", N28*0.1, 0)</f>
        <v>0</v>
      </c>
      <c r="P28" s="85" t="e">
        <f>ROUND((K28-I28-N28-O28)/11, 0)</f>
        <v>#REF!</v>
      </c>
      <c r="Q28" s="86">
        <v>0.4</v>
      </c>
      <c r="R28" s="85" t="e">
        <f t="shared" ref="R28" si="41">ROUND(P28*Q28, 0)</f>
        <v>#REF!</v>
      </c>
      <c r="S28" s="87" t="e">
        <f t="shared" ref="S28" si="42">K28-N28-O28</f>
        <v>#REF!</v>
      </c>
      <c r="T28" s="88" t="e">
        <f t="shared" ref="T28" si="43">U28-(U28/11)-((U28/11)*Q28)</f>
        <v>#REF!</v>
      </c>
      <c r="U28" s="88" t="e">
        <f>INDEX(정보!$N$4:$O$23, MATCH(C28, 정보!$N$4:$N$23, 0), 2)*D28-F28</f>
        <v>#REF!</v>
      </c>
      <c r="V28" s="88" t="e">
        <f t="shared" ref="V28" si="44">W28-P28-R28</f>
        <v>#REF!</v>
      </c>
      <c r="W28" s="88" t="e">
        <f>S28-I28</f>
        <v>#REF!</v>
      </c>
      <c r="X28" s="89" t="e">
        <f>T28/(INDEX(정보!$N$4:$O$23, MATCH(C28, 정보!$N$4:$N$23, 0), 2)*D28)</f>
        <v>#REF!</v>
      </c>
      <c r="Y28" s="90" t="e">
        <f>U28/(INDEX(정보!$N$4:$O$23, MATCH(C28, 정보!$N$4:$N$23, 0), 2)*D28)</f>
        <v>#REF!</v>
      </c>
      <c r="Z28" s="91" t="e">
        <f t="shared" ref="Z28" si="45">V28/K28</f>
        <v>#REF!</v>
      </c>
      <c r="AA28" s="92" t="e">
        <f t="shared" ref="AA28" si="46">W28/K28</f>
        <v>#REF!</v>
      </c>
      <c r="AB28" s="93" t="e">
        <f t="shared" ref="AB28" si="47">AA28-Z28</f>
        <v>#REF!</v>
      </c>
    </row>
    <row r="29" spans="2:28" s="112" customFormat="1" ht="8.1" customHeight="1" thickTop="1" thickBot="1" x14ac:dyDescent="0.35">
      <c r="B29" s="96"/>
      <c r="C29" s="98"/>
      <c r="D29" s="99"/>
      <c r="E29" s="99"/>
      <c r="F29" s="100"/>
      <c r="G29" s="101"/>
      <c r="H29" s="101"/>
      <c r="I29" s="101"/>
      <c r="J29" s="113"/>
      <c r="K29" s="114"/>
      <c r="L29" s="102"/>
      <c r="M29" s="117"/>
      <c r="N29" s="104"/>
      <c r="O29" s="104"/>
      <c r="P29" s="104"/>
      <c r="Q29" s="103"/>
      <c r="R29" s="104"/>
      <c r="S29" s="104"/>
      <c r="T29" s="105"/>
      <c r="U29" s="105"/>
      <c r="V29" s="105"/>
      <c r="W29" s="105"/>
      <c r="X29" s="106"/>
      <c r="Y29" s="106"/>
      <c r="Z29" s="106"/>
      <c r="AA29" s="107"/>
      <c r="AB29" s="115"/>
    </row>
    <row r="30" spans="2:28" ht="16.5" customHeight="1" thickTop="1" thickBot="1" x14ac:dyDescent="0.35">
      <c r="B30" s="75" t="s">
        <v>147</v>
      </c>
      <c r="C30" s="77" t="s">
        <v>146</v>
      </c>
      <c r="D30" s="78">
        <v>3</v>
      </c>
      <c r="E30" s="78"/>
      <c r="F30" s="79"/>
      <c r="G30" s="79"/>
      <c r="H30" s="80"/>
      <c r="I30" s="80"/>
      <c r="J30" s="81"/>
      <c r="K30" s="82"/>
      <c r="L30" s="83"/>
      <c r="M30" s="116"/>
      <c r="N30" s="84"/>
      <c r="O30" s="84"/>
      <c r="P30" s="85"/>
      <c r="Q30" s="86"/>
      <c r="R30" s="85"/>
      <c r="S30" s="87"/>
      <c r="T30" s="88"/>
      <c r="U30" s="88"/>
      <c r="V30" s="88"/>
      <c r="W30" s="88"/>
      <c r="X30" s="89"/>
      <c r="Y30" s="90"/>
      <c r="Z30" s="91"/>
      <c r="AA30" s="92"/>
      <c r="AB30" s="93"/>
    </row>
    <row r="31" spans="2:28" s="112" customFormat="1" ht="8.1" customHeight="1" thickTop="1" thickBot="1" x14ac:dyDescent="0.35">
      <c r="B31" s="96"/>
      <c r="C31" s="98"/>
      <c r="D31" s="99"/>
      <c r="E31" s="99"/>
      <c r="F31" s="100"/>
      <c r="G31" s="100"/>
      <c r="H31" s="101"/>
      <c r="I31" s="101"/>
      <c r="J31" s="113"/>
      <c r="K31" s="114"/>
      <c r="L31" s="102"/>
      <c r="M31" s="117"/>
      <c r="N31" s="104"/>
      <c r="O31" s="104"/>
      <c r="P31" s="104"/>
      <c r="Q31" s="103"/>
      <c r="R31" s="104"/>
      <c r="S31" s="104"/>
      <c r="T31" s="105"/>
      <c r="U31" s="105"/>
      <c r="V31" s="105"/>
      <c r="W31" s="105"/>
      <c r="X31" s="106"/>
      <c r="Y31" s="106"/>
      <c r="Z31" s="106"/>
      <c r="AA31" s="107"/>
      <c r="AB31" s="115"/>
    </row>
    <row r="32" spans="2:28" ht="16.5" customHeight="1" thickTop="1" thickBot="1" x14ac:dyDescent="0.35">
      <c r="B32" s="75" t="s">
        <v>147</v>
      </c>
      <c r="C32" s="77" t="s">
        <v>138</v>
      </c>
      <c r="D32" s="78">
        <v>3</v>
      </c>
      <c r="E32" s="78">
        <f>INDEX(정보!$B$4:$C$23, MATCH(C32, 정보!$B$4:$B52, 0), 2)*D32</f>
        <v>13120</v>
      </c>
      <c r="F32" s="79" t="e">
        <f>ROUNDUP(E32, -2)*#REF!</f>
        <v>#REF!</v>
      </c>
      <c r="G32" s="79" t="e">
        <f t="array" ref="G32">INDEX(정보!$E$4:$G$43, MATCH(1, (정보!$E$4:$E$43=C32)*(정보!$F$4:$F$43=D32), 0), 3)*#REF!</f>
        <v>#REF!</v>
      </c>
      <c r="H32" s="80">
        <v>120</v>
      </c>
      <c r="I32" s="80" t="e">
        <f>F32+G32-(H32*#REF!)</f>
        <v>#REF!</v>
      </c>
      <c r="J32" s="81">
        <v>0.2</v>
      </c>
      <c r="K32" s="82" t="e">
        <f>ROUND(((10-Q32)*I32/(-11*J32+(10-Q32)*(1-M32)))-(H32*#REF!), -1)</f>
        <v>#REF!</v>
      </c>
      <c r="L32" s="83" t="s">
        <v>132</v>
      </c>
      <c r="M32" s="116">
        <f t="array" ref="M32">INDEX(정보!$I$4:$J$13, MATCH(B32,정보!$I$4:$I$13, 0), 2)</f>
        <v>0.05</v>
      </c>
      <c r="N32" s="84" t="e">
        <f t="shared" ref="N32" si="48">IF(L32="N", K32*(M32+(M32/10)), K32*M32)</f>
        <v>#REF!</v>
      </c>
      <c r="O32" s="84">
        <f t="shared" ref="O32" si="49">IF(L32="N", N32*0.1, 0)</f>
        <v>0</v>
      </c>
      <c r="P32" s="85" t="e">
        <f>ROUND((K32-I32-N32-O32)/11, 0)</f>
        <v>#REF!</v>
      </c>
      <c r="Q32" s="86">
        <v>0.4</v>
      </c>
      <c r="R32" s="85" t="e">
        <f t="shared" ref="R32" si="50">ROUND(P32*Q32, 0)</f>
        <v>#REF!</v>
      </c>
      <c r="S32" s="87" t="e">
        <f t="shared" ref="S32" si="51">K32-N32-O32</f>
        <v>#REF!</v>
      </c>
      <c r="T32" s="88" t="e">
        <f t="shared" ref="T32" si="52">U32-(U32/11)-((U32/11)*Q32)</f>
        <v>#REF!</v>
      </c>
      <c r="U32" s="88" t="e">
        <f t="array" ref="U32">INDEX(정보!$N$4:$O$23, MATCH(C32, 정보!$N$4:$N$23, 0), 2)*#REF!-F32</f>
        <v>#REF!</v>
      </c>
      <c r="V32" s="88" t="e">
        <f t="shared" ref="V32" si="53">W32-P32-R32</f>
        <v>#REF!</v>
      </c>
      <c r="W32" s="88" t="e">
        <f>S32-I32</f>
        <v>#REF!</v>
      </c>
      <c r="X32" s="89" t="e">
        <f t="array" ref="X32">T32/(INDEX(정보!$N$4:$O$23, MATCH(C32, 정보!$N$4:$N$23, 0), 2)*#REF!)</f>
        <v>#REF!</v>
      </c>
      <c r="Y32" s="90" t="e">
        <f t="array" ref="Y32">U32/(INDEX(정보!$N$4:$O$23, MATCH(C32, 정보!$N$4:$N$23, 0), 2)*#REF!)</f>
        <v>#REF!</v>
      </c>
      <c r="Z32" s="91" t="e">
        <f t="shared" ref="Z32" si="54">V32/K32</f>
        <v>#REF!</v>
      </c>
      <c r="AA32" s="92" t="e">
        <f t="shared" ref="AA32" si="55">W32/K32</f>
        <v>#REF!</v>
      </c>
      <c r="AB32" s="93" t="e">
        <f t="shared" ref="AB32" si="56">AA32-Z32</f>
        <v>#REF!</v>
      </c>
    </row>
    <row r="33" spans="2:28" s="112" customFormat="1" ht="8.1" customHeight="1" thickTop="1" thickBot="1" x14ac:dyDescent="0.35">
      <c r="B33" s="96"/>
      <c r="C33" s="98"/>
      <c r="D33" s="99"/>
      <c r="E33" s="99"/>
      <c r="F33" s="100"/>
      <c r="G33" s="100"/>
      <c r="H33" s="101"/>
      <c r="I33" s="101"/>
      <c r="J33" s="113"/>
      <c r="K33" s="114"/>
      <c r="L33" s="102"/>
      <c r="M33" s="117"/>
      <c r="N33" s="104"/>
      <c r="O33" s="104"/>
      <c r="P33" s="104"/>
      <c r="Q33" s="103"/>
      <c r="R33" s="104"/>
      <c r="S33" s="104"/>
      <c r="T33" s="105"/>
      <c r="U33" s="105"/>
      <c r="V33" s="105"/>
      <c r="W33" s="105"/>
      <c r="X33" s="106"/>
      <c r="Y33" s="106"/>
      <c r="Z33" s="106"/>
      <c r="AA33" s="107"/>
      <c r="AB33" s="115"/>
    </row>
    <row r="34" spans="2:28" ht="16.5" customHeight="1" thickTop="1" thickBot="1" x14ac:dyDescent="0.35">
      <c r="B34" s="75" t="s">
        <v>147</v>
      </c>
      <c r="C34" s="77" t="s">
        <v>140</v>
      </c>
      <c r="D34" s="78">
        <v>3</v>
      </c>
      <c r="E34" s="78">
        <f>INDEX(정보!$B$4:$C$23, MATCH(C34, 정보!$B$4:$B60, 0), 2)*D34</f>
        <v>15589</v>
      </c>
      <c r="F34" s="79" t="e">
        <f>ROUNDUP(E34, -2)*#REF!</f>
        <v>#REF!</v>
      </c>
      <c r="G34" s="79" t="e">
        <f t="array" ref="G34">INDEX(정보!$E$4:$G$43, MATCH(1, (정보!$E$4:$E$43=C34)*(정보!$F$4:$F$43=D34), 0), 3)*#REF!</f>
        <v>#REF!</v>
      </c>
      <c r="H34" s="80">
        <v>10</v>
      </c>
      <c r="I34" s="80" t="e">
        <f>F34+G34-(H34*#REF!)</f>
        <v>#REF!</v>
      </c>
      <c r="J34" s="81">
        <v>0.2</v>
      </c>
      <c r="K34" s="82" t="e">
        <f>ROUND(((10-Q34)*I34/(-11*J34+(10-Q34)*(1-M34)))-(H34*#REF!), -1)</f>
        <v>#REF!</v>
      </c>
      <c r="L34" s="83" t="s">
        <v>132</v>
      </c>
      <c r="M34" s="116">
        <f t="array" ref="M34">INDEX(정보!$I$4:$J$13, MATCH(B34,정보!$I$4:$I$13, 0), 2)</f>
        <v>0.05</v>
      </c>
      <c r="N34" s="84" t="e">
        <f t="shared" ref="N34" si="57">IF(L34="N", K34*(M34+(M34/10)), K34*M34)</f>
        <v>#REF!</v>
      </c>
      <c r="O34" s="84">
        <f t="shared" ref="O34" si="58">IF(L34="N", N34*0.1, 0)</f>
        <v>0</v>
      </c>
      <c r="P34" s="85" t="e">
        <f>ROUND((K34-I34-N34-O34)/11, 0)</f>
        <v>#REF!</v>
      </c>
      <c r="Q34" s="86">
        <v>0.4</v>
      </c>
      <c r="R34" s="85" t="e">
        <f t="shared" ref="R34" si="59">ROUND(P34*Q34, 0)</f>
        <v>#REF!</v>
      </c>
      <c r="S34" s="87" t="e">
        <f t="shared" ref="S34" si="60">K34-N34-O34</f>
        <v>#REF!</v>
      </c>
      <c r="T34" s="88" t="e">
        <f t="shared" ref="T34" si="61">U34-(U34/11)-((U34/11)*Q34)</f>
        <v>#REF!</v>
      </c>
      <c r="U34" s="88" t="e">
        <f t="array" ref="U34">INDEX(정보!$N$4:$O$23, MATCH(C34, 정보!$N$4:$N$23, 0), 2)*#REF!-F34</f>
        <v>#REF!</v>
      </c>
      <c r="V34" s="88" t="e">
        <f t="shared" ref="V34" si="62">W34-P34-R34</f>
        <v>#REF!</v>
      </c>
      <c r="W34" s="88" t="e">
        <f>S34-I34</f>
        <v>#REF!</v>
      </c>
      <c r="X34" s="89" t="e">
        <f t="array" ref="X34">T34/(INDEX(정보!$N$4:$O$23, MATCH(C34, 정보!$N$4:$N$23, 0), 2)*#REF!)</f>
        <v>#REF!</v>
      </c>
      <c r="Y34" s="90" t="e">
        <f t="array" ref="Y34">U34/(INDEX(정보!$N$4:$O$23, MATCH(C34, 정보!$N$4:$N$23, 0), 2)*#REF!)</f>
        <v>#REF!</v>
      </c>
      <c r="Z34" s="91" t="e">
        <f t="shared" ref="Z34" si="63">V34/K34</f>
        <v>#REF!</v>
      </c>
      <c r="AA34" s="92" t="e">
        <f t="shared" ref="AA34" si="64">W34/K34</f>
        <v>#REF!</v>
      </c>
      <c r="AB34" s="93" t="e">
        <f t="shared" ref="AB34" si="65">AA34-Z34</f>
        <v>#REF!</v>
      </c>
    </row>
    <row r="35" spans="2:28" s="112" customFormat="1" ht="8.1" customHeight="1" thickTop="1" thickBot="1" x14ac:dyDescent="0.35">
      <c r="B35" s="96"/>
      <c r="C35" s="98"/>
      <c r="D35" s="99"/>
      <c r="E35" s="99"/>
      <c r="F35" s="100"/>
      <c r="G35" s="100"/>
      <c r="H35" s="101"/>
      <c r="I35" s="101"/>
      <c r="J35" s="113"/>
      <c r="K35" s="114"/>
      <c r="L35" s="102"/>
      <c r="M35" s="117"/>
      <c r="N35" s="104"/>
      <c r="O35" s="104"/>
      <c r="P35" s="104"/>
      <c r="Q35" s="103"/>
      <c r="R35" s="104"/>
      <c r="S35" s="104"/>
      <c r="T35" s="105"/>
      <c r="U35" s="105"/>
      <c r="V35" s="105"/>
      <c r="W35" s="105"/>
      <c r="X35" s="106"/>
      <c r="Y35" s="106"/>
      <c r="Z35" s="106"/>
      <c r="AA35" s="107"/>
      <c r="AB35" s="115"/>
    </row>
    <row r="36" spans="2:28" ht="16.5" customHeight="1" thickTop="1" thickBot="1" x14ac:dyDescent="0.35">
      <c r="B36" s="75" t="s">
        <v>147</v>
      </c>
      <c r="C36" s="77" t="s">
        <v>141</v>
      </c>
      <c r="D36" s="78">
        <v>3</v>
      </c>
      <c r="E36" s="78">
        <f>INDEX(정보!$B$4:$C$23, MATCH(C36, 정보!$B$4:$B64, 0), 2)*D36</f>
        <v>16111</v>
      </c>
      <c r="F36" s="79" t="e">
        <f>ROUNDUP(E36, -2)*#REF!</f>
        <v>#REF!</v>
      </c>
      <c r="G36" s="79" t="e">
        <f t="array" ref="G36">INDEX(정보!$E$4:$G$43, MATCH(1, (정보!$E$4:$E$43=C36)*(정보!$F$4:$F$43=D36), 0), 3)*#REF!</f>
        <v>#REF!</v>
      </c>
      <c r="H36" s="80">
        <v>5</v>
      </c>
      <c r="I36" s="80" t="e">
        <f>F36+G36-(H36*#REF!)</f>
        <v>#REF!</v>
      </c>
      <c r="J36" s="81">
        <v>0.2</v>
      </c>
      <c r="K36" s="82" t="e">
        <f>ROUND(((10-Q36)*I36/(-11*J36+(10-Q36)*(1-M36)))-(H36*#REF!), -1)</f>
        <v>#REF!</v>
      </c>
      <c r="L36" s="83" t="s">
        <v>132</v>
      </c>
      <c r="M36" s="116">
        <f t="array" ref="M36">INDEX(정보!$I$4:$J$13, MATCH(B36,정보!$I$4:$I$13, 0), 2)</f>
        <v>0.05</v>
      </c>
      <c r="N36" s="84" t="e">
        <f t="shared" ref="N36" si="66">IF(L36="N", K36*(M36+(M36/10)), K36*M36)</f>
        <v>#REF!</v>
      </c>
      <c r="O36" s="84">
        <f t="shared" ref="O36" si="67">IF(L36="N", N36*0.1, 0)</f>
        <v>0</v>
      </c>
      <c r="P36" s="85" t="e">
        <f>ROUND((K36-I36-N36-O36)/11, 0)</f>
        <v>#REF!</v>
      </c>
      <c r="Q36" s="86">
        <v>0.4</v>
      </c>
      <c r="R36" s="85" t="e">
        <f t="shared" ref="R36" si="68">ROUND(P36*Q36, 0)</f>
        <v>#REF!</v>
      </c>
      <c r="S36" s="87" t="e">
        <f t="shared" ref="S36" si="69">K36-N36-O36</f>
        <v>#REF!</v>
      </c>
      <c r="T36" s="88" t="e">
        <f t="shared" ref="T36" si="70">U36-(U36/11)-((U36/11)*Q36)</f>
        <v>#REF!</v>
      </c>
      <c r="U36" s="88" t="e">
        <f t="array" ref="U36">INDEX(정보!$N$4:$O$23, MATCH(C36, 정보!$N$4:$N$23, 0), 2)*#REF!-F36</f>
        <v>#REF!</v>
      </c>
      <c r="V36" s="88" t="e">
        <f t="shared" ref="V36" si="71">W36-P36-R36</f>
        <v>#REF!</v>
      </c>
      <c r="W36" s="88" t="e">
        <f>S36-I36</f>
        <v>#REF!</v>
      </c>
      <c r="X36" s="89" t="e">
        <f t="array" ref="X36">T36/(INDEX(정보!$N$4:$O$23, MATCH(C36, 정보!$N$4:$N$23, 0), 2)*#REF!)</f>
        <v>#REF!</v>
      </c>
      <c r="Y36" s="90" t="e">
        <f t="array" ref="Y36">U36/(INDEX(정보!$N$4:$O$23, MATCH(C36, 정보!$N$4:$N$23, 0), 2)*#REF!)</f>
        <v>#REF!</v>
      </c>
      <c r="Z36" s="91" t="e">
        <f t="shared" ref="Z36" si="72">V36/K36</f>
        <v>#REF!</v>
      </c>
      <c r="AA36" s="92" t="e">
        <f t="shared" ref="AA36" si="73">W36/K36</f>
        <v>#REF!</v>
      </c>
      <c r="AB36" s="93" t="e">
        <f t="shared" ref="AB36" si="74">AA36-Z36</f>
        <v>#REF!</v>
      </c>
    </row>
    <row r="37" spans="2:28" s="112" customFormat="1" ht="8.1" customHeight="1" thickTop="1" thickBot="1" x14ac:dyDescent="0.35">
      <c r="B37" s="96"/>
      <c r="C37" s="98"/>
      <c r="D37" s="99"/>
      <c r="E37" s="99"/>
      <c r="F37" s="100"/>
      <c r="G37" s="100"/>
      <c r="H37" s="101"/>
      <c r="I37" s="101"/>
      <c r="J37" s="113"/>
      <c r="K37" s="114"/>
      <c r="L37" s="102"/>
      <c r="M37" s="117"/>
      <c r="N37" s="104"/>
      <c r="O37" s="104"/>
      <c r="P37" s="104"/>
      <c r="Q37" s="103"/>
      <c r="R37" s="104"/>
      <c r="S37" s="104"/>
      <c r="T37" s="105"/>
      <c r="U37" s="105"/>
      <c r="V37" s="105"/>
      <c r="W37" s="105"/>
      <c r="X37" s="106"/>
      <c r="Y37" s="106"/>
      <c r="Z37" s="106"/>
      <c r="AA37" s="107"/>
      <c r="AB37" s="115"/>
    </row>
    <row r="38" spans="2:28" ht="16.5" customHeight="1" thickTop="1" thickBot="1" x14ac:dyDescent="0.35">
      <c r="B38" s="75" t="s">
        <v>147</v>
      </c>
      <c r="C38" s="77" t="s">
        <v>142</v>
      </c>
      <c r="D38" s="78">
        <v>1</v>
      </c>
      <c r="E38" s="78">
        <f>INDEX(정보!$B$4:$C$23, MATCH(C38, 정보!$B$4:$B66, 0), 2)*D38</f>
        <v>9000</v>
      </c>
      <c r="F38" s="79" t="e">
        <f>ROUNDUP(E38, -2)*#REF!</f>
        <v>#REF!</v>
      </c>
      <c r="G38" s="79" t="e">
        <f t="array" ref="G38">INDEX(정보!$E$4:$G$43, MATCH(1, (정보!$E$4:$E$43=C38)*(정보!$F$4:$F$43=D38), 0), 3)*#REF!</f>
        <v>#REF!</v>
      </c>
      <c r="H38" s="80">
        <v>48</v>
      </c>
      <c r="I38" s="80" t="e">
        <f>F38+G38-(H38*#REF!)</f>
        <v>#REF!</v>
      </c>
      <c r="J38" s="81">
        <v>0.16</v>
      </c>
      <c r="K38" s="82" t="e">
        <f>ROUND(((10-Q38)*I38/(-11*J38+(10-Q38)*(1-M38)))-(H38*#REF!), -1)</f>
        <v>#REF!</v>
      </c>
      <c r="L38" s="83" t="s">
        <v>132</v>
      </c>
      <c r="M38" s="116">
        <f t="array" ref="M38">INDEX(정보!$I$4:$J$13, MATCH(B38,정보!$I$4:$I$13, 0), 2)</f>
        <v>0.05</v>
      </c>
      <c r="N38" s="84" t="e">
        <f t="shared" ref="N38" si="75">IF(L38="N", K38*(M38+(M38/10)), K38*M38)</f>
        <v>#REF!</v>
      </c>
      <c r="O38" s="84">
        <f t="shared" ref="O38" si="76">IF(L38="N", N38*0.1, 0)</f>
        <v>0</v>
      </c>
      <c r="P38" s="85" t="e">
        <f>ROUND((K38-I38-N38-O38)/11, 0)</f>
        <v>#REF!</v>
      </c>
      <c r="Q38" s="86">
        <v>0.4</v>
      </c>
      <c r="R38" s="85" t="e">
        <f t="shared" ref="R38" si="77">ROUND(P38*Q38, 0)</f>
        <v>#REF!</v>
      </c>
      <c r="S38" s="87" t="e">
        <f t="shared" ref="S38" si="78">K38-N38-O38</f>
        <v>#REF!</v>
      </c>
      <c r="T38" s="88" t="e">
        <f t="shared" ref="T38" si="79">U38-(U38/11)-((U38/11)*Q38)</f>
        <v>#REF!</v>
      </c>
      <c r="U38" s="88" t="e">
        <f t="array" ref="U38">INDEX(정보!$N$4:$O$23, MATCH(C38, 정보!$N$4:$N$23, 0), 2)*#REF!-F38</f>
        <v>#REF!</v>
      </c>
      <c r="V38" s="88" t="e">
        <f t="shared" ref="V38" si="80">W38-P38-R38</f>
        <v>#REF!</v>
      </c>
      <c r="W38" s="88" t="e">
        <f>S38-I38</f>
        <v>#REF!</v>
      </c>
      <c r="X38" s="89" t="e">
        <f t="array" ref="X38">T38/(INDEX(정보!$N$4:$O$23, MATCH(C38, 정보!$N$4:$N$23, 0), 2)*#REF!)</f>
        <v>#REF!</v>
      </c>
      <c r="Y38" s="90" t="e">
        <f t="array" ref="Y38">U38/(INDEX(정보!$N$4:$O$23, MATCH(C38, 정보!$N$4:$N$23, 0), 2)*#REF!)</f>
        <v>#REF!</v>
      </c>
      <c r="Z38" s="91" t="e">
        <f t="shared" ref="Z38" si="81">V38/K38</f>
        <v>#REF!</v>
      </c>
      <c r="AA38" s="92" t="e">
        <f t="shared" ref="AA38" si="82">W38/K38</f>
        <v>#REF!</v>
      </c>
      <c r="AB38" s="93" t="e">
        <f t="shared" ref="AB38" si="83">AA38-Z38</f>
        <v>#REF!</v>
      </c>
    </row>
    <row r="39" spans="2:28" s="112" customFormat="1" ht="8.1" customHeight="1" thickTop="1" thickBot="1" x14ac:dyDescent="0.35">
      <c r="B39" s="96"/>
      <c r="C39" s="98"/>
      <c r="D39" s="99"/>
      <c r="E39" s="99"/>
      <c r="F39" s="100"/>
      <c r="G39" s="100"/>
      <c r="H39" s="101"/>
      <c r="I39" s="101"/>
      <c r="J39" s="113"/>
      <c r="K39" s="114"/>
      <c r="L39" s="102"/>
      <c r="M39" s="117"/>
      <c r="N39" s="104"/>
      <c r="O39" s="104"/>
      <c r="P39" s="104"/>
      <c r="Q39" s="103"/>
      <c r="R39" s="104"/>
      <c r="S39" s="104"/>
      <c r="T39" s="105"/>
      <c r="U39" s="105"/>
      <c r="V39" s="105"/>
      <c r="W39" s="105"/>
      <c r="X39" s="106"/>
      <c r="Y39" s="106"/>
      <c r="Z39" s="106"/>
      <c r="AA39" s="107"/>
      <c r="AB39" s="115"/>
    </row>
    <row r="40" spans="2:28" ht="16.5" customHeight="1" thickTop="1" x14ac:dyDescent="0.3">
      <c r="B40" s="75" t="s">
        <v>147</v>
      </c>
      <c r="C40" s="77" t="s">
        <v>143</v>
      </c>
      <c r="D40" s="78">
        <v>1</v>
      </c>
      <c r="E40" s="78">
        <f>INDEX(정보!$B$4:$C$23, MATCH(C40, 정보!$B$4:$B70, 0), 2)*D40</f>
        <v>14500</v>
      </c>
      <c r="F40" s="79" t="e">
        <f>ROUNDUP(E40, -2)*#REF!</f>
        <v>#REF!</v>
      </c>
      <c r="G40" s="79" t="e">
        <f t="array" ref="G40">INDEX(정보!$E$4:$G$43, MATCH(1, (정보!$E$4:$E$43=C40)*(정보!$F$4:$F$43=D40), 0), 3)*#REF!</f>
        <v>#REF!</v>
      </c>
      <c r="H40" s="80">
        <v>133</v>
      </c>
      <c r="I40" s="80" t="e">
        <f>F40+G40-(H40*#REF!)</f>
        <v>#REF!</v>
      </c>
      <c r="J40" s="81">
        <v>0.15</v>
      </c>
      <c r="K40" s="82" t="e">
        <f>ROUND(((10-Q40)*I40/(-11*J40+(10-Q40)*(1-M40)))-(H40*#REF!), -1)</f>
        <v>#REF!</v>
      </c>
      <c r="L40" s="83" t="s">
        <v>132</v>
      </c>
      <c r="M40" s="116">
        <f t="array" ref="M40">INDEX(정보!$I$4:$J$13, MATCH(B40,정보!$I$4:$I$13, 0), 2)</f>
        <v>0.05</v>
      </c>
      <c r="N40" s="84" t="e">
        <f t="shared" ref="N40" si="84">IF(L40="N", K40*(M40+(M40/10)), K40*M40)</f>
        <v>#REF!</v>
      </c>
      <c r="O40" s="84">
        <f t="shared" ref="O40" si="85">IF(L40="N", N40*0.1, 0)</f>
        <v>0</v>
      </c>
      <c r="P40" s="85" t="e">
        <f>ROUND((K40-I40-N40-O40)/11, 0)</f>
        <v>#REF!</v>
      </c>
      <c r="Q40" s="86">
        <v>0.4</v>
      </c>
      <c r="R40" s="85" t="e">
        <f t="shared" ref="R40" si="86">ROUND(P40*Q40, 0)</f>
        <v>#REF!</v>
      </c>
      <c r="S40" s="87" t="e">
        <f t="shared" ref="S40" si="87">K40-N40-O40</f>
        <v>#REF!</v>
      </c>
      <c r="T40" s="88" t="e">
        <f t="shared" ref="T40" si="88">U40-(U40/11)-((U40/11)*Q40)</f>
        <v>#REF!</v>
      </c>
      <c r="U40" s="88" t="e">
        <f t="array" ref="U40">INDEX(정보!$N$4:$O$23, MATCH(C40, 정보!$N$4:$N$23, 0), 2)*#REF!-F40</f>
        <v>#REF!</v>
      </c>
      <c r="V40" s="88" t="e">
        <f t="shared" ref="V40" si="89">W40-P40-R40</f>
        <v>#REF!</v>
      </c>
      <c r="W40" s="88" t="e">
        <f>S40-I40</f>
        <v>#REF!</v>
      </c>
      <c r="X40" s="89" t="e">
        <f t="array" ref="X40">T40/(INDEX(정보!$N$4:$O$23, MATCH(C40, 정보!$N$4:$N$23, 0), 2)*#REF!)</f>
        <v>#REF!</v>
      </c>
      <c r="Y40" s="90" t="e">
        <f t="array" ref="Y40">U40/(INDEX(정보!$N$4:$O$23, MATCH(C40, 정보!$N$4:$N$23, 0), 2)*#REF!)</f>
        <v>#REF!</v>
      </c>
      <c r="Z40" s="91" t="e">
        <f t="shared" ref="Z40" si="90">V40/K40</f>
        <v>#REF!</v>
      </c>
      <c r="AA40" s="92" t="e">
        <f t="shared" ref="AA40" si="91">W40/K40</f>
        <v>#REF!</v>
      </c>
      <c r="AB40" s="93" t="e">
        <f t="shared" ref="AB40" si="92">AA40-Z40</f>
        <v>#REF!</v>
      </c>
    </row>
    <row r="49" spans="19:19" x14ac:dyDescent="0.3">
      <c r="S49" s="69"/>
    </row>
  </sheetData>
  <autoFilter ref="B9:C40" xr:uid="{00000000-0009-0000-0000-000001000000}"/>
  <mergeCells count="26"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B9:B10"/>
    <mergeCell ref="C9:C10"/>
    <mergeCell ref="E9:E10"/>
    <mergeCell ref="F9:F10"/>
    <mergeCell ref="B3:AA5"/>
    <mergeCell ref="B8:I8"/>
    <mergeCell ref="J8:K8"/>
    <mergeCell ref="L8:O8"/>
    <mergeCell ref="P8:R8"/>
    <mergeCell ref="T8:AA8"/>
    <mergeCell ref="S9:S10"/>
    <mergeCell ref="T9:W9"/>
    <mergeCell ref="X9:AA9"/>
    <mergeCell ref="D9:D10"/>
    <mergeCell ref="M9:M10"/>
    <mergeCell ref="N9:N10"/>
  </mergeCells>
  <phoneticPr fontId="3" type="noConversion"/>
  <conditionalFormatting sqref="X11:AA22 X24:AA28 X30:AA40">
    <cfRule type="expression" priority="6">
      <formula>($Y11-$Z11)+$AB$11</formula>
    </cfRule>
  </conditionalFormatting>
  <conditionalFormatting sqref="Z11:Z22 Z24:Z28 Z30:Z40">
    <cfRule type="expression" dxfId="2" priority="5">
      <formula>($AA11-$Z11)&gt;0.025</formula>
    </cfRule>
  </conditionalFormatting>
  <conditionalFormatting sqref="X23:AA23">
    <cfRule type="expression" priority="4">
      <formula>($Y23-$Z23)+$AB$11</formula>
    </cfRule>
  </conditionalFormatting>
  <conditionalFormatting sqref="Z23">
    <cfRule type="expression" dxfId="1" priority="3">
      <formula>($AA23-$Z23)&gt;0.025</formula>
    </cfRule>
  </conditionalFormatting>
  <conditionalFormatting sqref="X29:AA29">
    <cfRule type="expression" priority="2">
      <formula>($Y29-$Z29)+$AB$11</formula>
    </cfRule>
  </conditionalFormatting>
  <conditionalFormatting sqref="Z29">
    <cfRule type="expression" dxfId="0" priority="1">
      <formula>($AA29-$Z29)&gt;0.025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정보</vt:lpstr>
      <vt:lpstr>원가계산</vt:lpstr>
      <vt:lpstr>상품가</vt:lpstr>
      <vt:lpstr>쿠팡</vt:lpstr>
      <vt:lpstr>CAFE24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2020-08-06T08:57:14Z</dcterms:created>
  <dcterms:modified xsi:type="dcterms:W3CDTF">2021-01-19T13:31:58Z</dcterms:modified>
</cp:coreProperties>
</file>