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drl\Desktop\Project\CMW_V2\document\"/>
    </mc:Choice>
  </mc:AlternateContent>
  <xr:revisionPtr revIDLastSave="0" documentId="13_ncr:1_{8585A25C-134A-4211-A2E0-536A5D757D14}" xr6:coauthVersionLast="46" xr6:coauthVersionMax="46" xr10:uidLastSave="{00000000-0000-0000-0000-000000000000}"/>
  <bookViews>
    <workbookView xWindow="28680" yWindow="2490" windowWidth="21840" windowHeight="13140" activeTab="2" xr2:uid="{84FF5F26-C95F-4554-8051-5DA36F55B2F5}"/>
  </bookViews>
  <sheets>
    <sheet name="Sheet1" sheetId="1" r:id="rId1"/>
    <sheet name="Sheet2" sheetId="2" r:id="rId2"/>
    <sheet name="Sheet2 (2)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4" l="1"/>
  <c r="K17" i="4"/>
  <c r="L19" i="4"/>
  <c r="K19" i="4"/>
  <c r="L18" i="4"/>
  <c r="K18" i="4"/>
  <c r="C16" i="4"/>
  <c r="K8" i="4"/>
  <c r="I16" i="4"/>
  <c r="C14" i="4"/>
  <c r="C15" i="4" s="1"/>
  <c r="I8" i="4"/>
  <c r="J8" i="4" s="1"/>
  <c r="I7" i="4"/>
  <c r="J7" i="4" s="1"/>
  <c r="I5" i="4"/>
  <c r="J4" i="4"/>
  <c r="I4" i="4"/>
  <c r="J4" i="2"/>
  <c r="I5" i="2"/>
  <c r="I4" i="2"/>
  <c r="I16" i="2"/>
  <c r="F13" i="2"/>
  <c r="K8" i="2"/>
  <c r="I8" i="2"/>
  <c r="J8" i="2" s="1"/>
  <c r="C16" i="2"/>
  <c r="I7" i="2"/>
  <c r="J7" i="2" s="1"/>
  <c r="C17" i="2"/>
  <c r="C13" i="2"/>
  <c r="L8" i="1"/>
  <c r="L4" i="1"/>
  <c r="N6" i="1" s="1"/>
  <c r="E11" i="1"/>
  <c r="G8" i="1"/>
  <c r="F8" i="1"/>
  <c r="G4" i="1"/>
  <c r="F4" i="1"/>
  <c r="D8" i="1"/>
  <c r="D4" i="1"/>
  <c r="F13" i="4" l="1"/>
  <c r="D15" i="4"/>
  <c r="C18" i="4"/>
  <c r="C14" i="2"/>
  <c r="C15" i="2" s="1"/>
  <c r="I17" i="1"/>
  <c r="I27" i="1" s="1"/>
  <c r="F11" i="1"/>
  <c r="H4" i="1"/>
  <c r="I4" i="1" s="1"/>
  <c r="H8" i="1"/>
  <c r="I8" i="1" s="1"/>
  <c r="C21" i="4" l="1"/>
  <c r="F21" i="4" s="1"/>
  <c r="C19" i="4"/>
  <c r="E18" i="4"/>
  <c r="F18" i="4" s="1"/>
  <c r="D15" i="2"/>
  <c r="C18" i="2"/>
  <c r="J6" i="1"/>
  <c r="F22" i="4" l="1"/>
  <c r="C22" i="4"/>
  <c r="D22" i="4" s="1"/>
  <c r="C19" i="2"/>
  <c r="E18" i="2"/>
  <c r="F18" i="2" s="1"/>
  <c r="C21" i="2"/>
  <c r="C22" i="2" l="1"/>
  <c r="D22" i="2" s="1"/>
  <c r="F21" i="2"/>
  <c r="F22" i="2" s="1"/>
</calcChain>
</file>

<file path=xl/sharedStrings.xml><?xml version="1.0" encoding="utf-8"?>
<sst xmlns="http://schemas.openxmlformats.org/spreadsheetml/2006/main" count="73" uniqueCount="45">
  <si>
    <t>원가</t>
    <phoneticPr fontId="1" type="noConversion"/>
  </si>
  <si>
    <t>낮은판매가</t>
    <phoneticPr fontId="1" type="noConversion"/>
  </si>
  <si>
    <t>낮은배율</t>
    <phoneticPr fontId="1" type="noConversion"/>
  </si>
  <si>
    <t>낮은판매수</t>
    <phoneticPr fontId="1" type="noConversion"/>
  </si>
  <si>
    <t>낮은가매출</t>
    <phoneticPr fontId="1" type="noConversion"/>
  </si>
  <si>
    <t>납은가원가</t>
    <phoneticPr fontId="1" type="noConversion"/>
  </si>
  <si>
    <t>낮은가부가세</t>
    <phoneticPr fontId="1" type="noConversion"/>
  </si>
  <si>
    <t>낮은가수익</t>
    <phoneticPr fontId="1" type="noConversion"/>
  </si>
  <si>
    <t>높은판매가</t>
  </si>
  <si>
    <t>높은배율</t>
  </si>
  <si>
    <t>높은판매수</t>
  </si>
  <si>
    <t>높은가매출</t>
  </si>
  <si>
    <t>높은가부가세</t>
  </si>
  <si>
    <t>높은가수익</t>
  </si>
  <si>
    <t>원가율</t>
    <phoneticPr fontId="1" type="noConversion"/>
  </si>
  <si>
    <t>매출</t>
    <phoneticPr fontId="1" type="noConversion"/>
  </si>
  <si>
    <t>인건비</t>
    <phoneticPr fontId="1" type="noConversion"/>
  </si>
  <si>
    <t>배송비</t>
    <phoneticPr fontId="1" type="noConversion"/>
  </si>
  <si>
    <t>수수료</t>
    <phoneticPr fontId="1" type="noConversion"/>
  </si>
  <si>
    <t>임대료</t>
    <phoneticPr fontId="1" type="noConversion"/>
  </si>
  <si>
    <t>광고비</t>
    <phoneticPr fontId="1" type="noConversion"/>
  </si>
  <si>
    <t>포장비</t>
    <phoneticPr fontId="1" type="noConversion"/>
  </si>
  <si>
    <t>판관비</t>
    <phoneticPr fontId="1" type="noConversion"/>
  </si>
  <si>
    <t>각종공과금</t>
    <phoneticPr fontId="1" type="noConversion"/>
  </si>
  <si>
    <t>보험료</t>
    <phoneticPr fontId="1" type="noConversion"/>
  </si>
  <si>
    <t>5~10</t>
    <phoneticPr fontId="1" type="noConversion"/>
  </si>
  <si>
    <t>3~6</t>
  </si>
  <si>
    <t>부가세</t>
    <phoneticPr fontId="1" type="noConversion"/>
  </si>
  <si>
    <t>순매출기준</t>
    <phoneticPr fontId="1" type="noConversion"/>
  </si>
  <si>
    <t>종합소득세</t>
    <phoneticPr fontId="1" type="noConversion"/>
  </si>
  <si>
    <t>CS 충당금</t>
    <phoneticPr fontId="1" type="noConversion"/>
  </si>
  <si>
    <t>목표마진율</t>
    <phoneticPr fontId="1" type="noConversion"/>
  </si>
  <si>
    <t>판매가</t>
    <phoneticPr fontId="1" type="noConversion"/>
  </si>
  <si>
    <t>구입원가</t>
    <phoneticPr fontId="1" type="noConversion"/>
  </si>
  <si>
    <t>순마진</t>
    <phoneticPr fontId="1" type="noConversion"/>
  </si>
  <si>
    <t>소득세</t>
    <phoneticPr fontId="1" type="noConversion"/>
  </si>
  <si>
    <t>충당금</t>
    <phoneticPr fontId="1" type="noConversion"/>
  </si>
  <si>
    <t>순익</t>
    <phoneticPr fontId="1" type="noConversion"/>
  </si>
  <si>
    <t>목표이익률대비</t>
    <phoneticPr fontId="1" type="noConversion"/>
  </si>
  <si>
    <t>목표판매량</t>
    <phoneticPr fontId="1" type="noConversion"/>
  </si>
  <si>
    <t>목표매출액</t>
    <phoneticPr fontId="1" type="noConversion"/>
  </si>
  <si>
    <t>일목표순이익</t>
    <phoneticPr fontId="1" type="noConversion"/>
  </si>
  <si>
    <t xml:space="preserve"> </t>
    <phoneticPr fontId="1" type="noConversion"/>
  </si>
  <si>
    <t>택배비</t>
    <phoneticPr fontId="1" type="noConversion"/>
  </si>
  <si>
    <t>순익 4,600만원 이하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</si>
</sst>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AAD90-7FCA-4699-9EB2-A6AC980F8A63}">
  <dimension ref="B3:N27"/>
  <sheetViews>
    <sheetView workbookViewId="0">
      <selection activeCell="C3" sqref="C3"/>
    </sheetView>
  </sheetViews>
  <sheetFormatPr defaultRowHeight="16.5" x14ac:dyDescent="0.3"/>
  <cols>
    <col min="2" max="2" width="6.5" bestFit="1" customWidth="1"/>
    <col min="3" max="3" width="10.5" bestFit="1" customWidth="1"/>
    <col min="4" max="4" width="8.75" bestFit="1" customWidth="1"/>
    <col min="5" max="5" width="10.5" bestFit="1" customWidth="1"/>
    <col min="6" max="6" width="12.75" bestFit="1" customWidth="1"/>
    <col min="7" max="7" width="10.5" bestFit="1" customWidth="1"/>
    <col min="8" max="8" width="12.5" bestFit="1" customWidth="1"/>
    <col min="9" max="9" width="10.5" bestFit="1" customWidth="1"/>
  </cols>
  <sheetData>
    <row r="3" spans="2:14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L3" t="s">
        <v>14</v>
      </c>
    </row>
    <row r="4" spans="2:14" x14ac:dyDescent="0.3">
      <c r="B4" s="1">
        <v>7450</v>
      </c>
      <c r="C4" s="1">
        <v>13900</v>
      </c>
      <c r="D4" s="2">
        <f>C4/B4</f>
        <v>1.8657718120805369</v>
      </c>
      <c r="E4" s="1">
        <v>100</v>
      </c>
      <c r="F4" s="1">
        <f>E4*C4</f>
        <v>1390000</v>
      </c>
      <c r="G4" s="1">
        <f>E4*B4</f>
        <v>745000</v>
      </c>
      <c r="H4" s="1">
        <f>F4*0.0909</f>
        <v>126350.99999999999</v>
      </c>
      <c r="I4" s="1">
        <f>F4-G4-H4</f>
        <v>518649</v>
      </c>
      <c r="L4">
        <f>B4/C4*100</f>
        <v>53.597122302158276</v>
      </c>
    </row>
    <row r="6" spans="2:14" x14ac:dyDescent="0.3">
      <c r="J6">
        <f>I8/I4</f>
        <v>0.73680928720579819</v>
      </c>
      <c r="N6">
        <f>L4-L8</f>
        <v>1.1323335697639152</v>
      </c>
    </row>
    <row r="7" spans="2:14" x14ac:dyDescent="0.3">
      <c r="B7" t="s">
        <v>0</v>
      </c>
      <c r="C7" t="s">
        <v>8</v>
      </c>
      <c r="D7" t="s">
        <v>9</v>
      </c>
      <c r="E7" t="s">
        <v>10</v>
      </c>
      <c r="F7" t="s">
        <v>11</v>
      </c>
      <c r="G7" t="s">
        <v>5</v>
      </c>
      <c r="H7" t="s">
        <v>12</v>
      </c>
      <c r="I7" t="s">
        <v>13</v>
      </c>
      <c r="L7" t="s">
        <v>14</v>
      </c>
    </row>
    <row r="8" spans="2:14" x14ac:dyDescent="0.3">
      <c r="B8" s="1">
        <v>7450</v>
      </c>
      <c r="C8" s="1">
        <v>14200</v>
      </c>
      <c r="D8" s="2">
        <f>C8/B8</f>
        <v>1.9060402684563758</v>
      </c>
      <c r="E8" s="1">
        <v>70</v>
      </c>
      <c r="F8" s="1">
        <f>E8*C8</f>
        <v>994000</v>
      </c>
      <c r="G8" s="1">
        <f>E8*B8</f>
        <v>521500</v>
      </c>
      <c r="H8" s="1">
        <f>F8*0.0909</f>
        <v>90354.599999999991</v>
      </c>
      <c r="I8" s="1">
        <f>F8-G8-H8</f>
        <v>382145.4</v>
      </c>
      <c r="L8">
        <f>B8/C8*100</f>
        <v>52.464788732394361</v>
      </c>
    </row>
    <row r="11" spans="2:14" x14ac:dyDescent="0.3">
      <c r="E11">
        <f>E4/E8</f>
        <v>1.4285714285714286</v>
      </c>
      <c r="F11">
        <f>F8/F4</f>
        <v>0.71510791366906479</v>
      </c>
    </row>
    <row r="14" spans="2:14" x14ac:dyDescent="0.3">
      <c r="F14">
        <v>10000000</v>
      </c>
    </row>
    <row r="15" spans="2:14" x14ac:dyDescent="0.3">
      <c r="F15">
        <v>10000000000</v>
      </c>
    </row>
    <row r="16" spans="2:14" x14ac:dyDescent="0.3">
      <c r="G16" t="s">
        <v>15</v>
      </c>
    </row>
    <row r="17" spans="7:10" x14ac:dyDescent="0.3">
      <c r="G17" t="s">
        <v>0</v>
      </c>
      <c r="I17">
        <f>L4</f>
        <v>53.597122302158276</v>
      </c>
    </row>
    <row r="18" spans="7:10" x14ac:dyDescent="0.3">
      <c r="G18" t="s">
        <v>16</v>
      </c>
      <c r="I18">
        <v>10</v>
      </c>
      <c r="J18" t="s">
        <v>25</v>
      </c>
    </row>
    <row r="19" spans="7:10" x14ac:dyDescent="0.3">
      <c r="G19" t="s">
        <v>17</v>
      </c>
      <c r="I19">
        <v>6</v>
      </c>
      <c r="J19" t="s">
        <v>26</v>
      </c>
    </row>
    <row r="20" spans="7:10" x14ac:dyDescent="0.3">
      <c r="G20" t="s">
        <v>18</v>
      </c>
      <c r="I20">
        <v>10</v>
      </c>
    </row>
    <row r="21" spans="7:10" x14ac:dyDescent="0.3">
      <c r="G21" t="s">
        <v>19</v>
      </c>
      <c r="I21">
        <v>2</v>
      </c>
    </row>
    <row r="22" spans="7:10" x14ac:dyDescent="0.3">
      <c r="G22" t="s">
        <v>20</v>
      </c>
      <c r="I22">
        <v>5</v>
      </c>
    </row>
    <row r="23" spans="7:10" x14ac:dyDescent="0.3">
      <c r="G23" t="s">
        <v>21</v>
      </c>
      <c r="I23">
        <v>1</v>
      </c>
    </row>
    <row r="24" spans="7:10" x14ac:dyDescent="0.3">
      <c r="G24" t="s">
        <v>22</v>
      </c>
      <c r="I24">
        <v>5</v>
      </c>
    </row>
    <row r="25" spans="7:10" x14ac:dyDescent="0.3">
      <c r="G25" t="s">
        <v>23</v>
      </c>
      <c r="I25">
        <v>2</v>
      </c>
    </row>
    <row r="26" spans="7:10" x14ac:dyDescent="0.3">
      <c r="G26" t="s">
        <v>24</v>
      </c>
      <c r="I26">
        <v>0.5</v>
      </c>
    </row>
    <row r="27" spans="7:10" x14ac:dyDescent="0.3">
      <c r="I27">
        <f>SUM(I17:I26)</f>
        <v>95.097122302158283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9AF1C-E967-42EE-89AB-7564CAF939E2}">
  <dimension ref="B2:N23"/>
  <sheetViews>
    <sheetView workbookViewId="0">
      <selection activeCell="J4" sqref="J4"/>
    </sheetView>
  </sheetViews>
  <sheetFormatPr defaultRowHeight="16.5" x14ac:dyDescent="0.3"/>
  <cols>
    <col min="2" max="2" width="11" bestFit="1" customWidth="1"/>
    <col min="3" max="3" width="25.75" bestFit="1" customWidth="1"/>
    <col min="4" max="4" width="11.625" bestFit="1" customWidth="1"/>
    <col min="6" max="6" width="11.625" bestFit="1" customWidth="1"/>
    <col min="7" max="7" width="9.875" bestFit="1" customWidth="1"/>
    <col min="8" max="8" width="12.125" bestFit="1" customWidth="1"/>
    <col min="9" max="9" width="9.875" bestFit="1" customWidth="1"/>
    <col min="12" max="12" width="9.5" bestFit="1" customWidth="1"/>
    <col min="14" max="14" width="11.75" bestFit="1" customWidth="1"/>
  </cols>
  <sheetData>
    <row r="2" spans="2:14" x14ac:dyDescent="0.3">
      <c r="B2" s="5" t="s">
        <v>18</v>
      </c>
      <c r="C2" s="5"/>
      <c r="D2" s="3">
        <v>8.5800000000000001E-2</v>
      </c>
      <c r="G2" s="1"/>
    </row>
    <row r="3" spans="2:14" x14ac:dyDescent="0.3">
      <c r="B3" t="s">
        <v>27</v>
      </c>
      <c r="C3" t="s">
        <v>28</v>
      </c>
      <c r="D3" s="4">
        <v>0.1</v>
      </c>
      <c r="I3">
        <v>2450</v>
      </c>
      <c r="J3">
        <v>2138</v>
      </c>
    </row>
    <row r="4" spans="2:14" x14ac:dyDescent="0.3">
      <c r="B4" t="s">
        <v>29</v>
      </c>
      <c r="C4" t="s">
        <v>44</v>
      </c>
      <c r="D4" s="4">
        <v>0.15</v>
      </c>
      <c r="H4" s="1"/>
      <c r="I4" s="1">
        <f>I3/11</f>
        <v>222.72727272727272</v>
      </c>
      <c r="J4" s="1">
        <f>I3-I4-I5</f>
        <v>2138.1818181818185</v>
      </c>
    </row>
    <row r="5" spans="2:14" x14ac:dyDescent="0.3">
      <c r="I5">
        <f>I4*0.4</f>
        <v>89.090909090909093</v>
      </c>
    </row>
    <row r="6" spans="2:14" x14ac:dyDescent="0.3">
      <c r="B6" s="5" t="s">
        <v>30</v>
      </c>
      <c r="C6" s="5"/>
      <c r="D6" s="4">
        <v>0.06</v>
      </c>
    </row>
    <row r="7" spans="2:14" x14ac:dyDescent="0.3">
      <c r="B7" s="5" t="s">
        <v>31</v>
      </c>
      <c r="C7" s="5"/>
      <c r="D7" s="4">
        <v>0.21</v>
      </c>
      <c r="H7">
        <v>26000000</v>
      </c>
      <c r="I7">
        <f>H7*0.15</f>
        <v>3900000</v>
      </c>
      <c r="J7">
        <f>I7-1080000</f>
        <v>2820000</v>
      </c>
    </row>
    <row r="8" spans="2:14" x14ac:dyDescent="0.3">
      <c r="D8" s="4"/>
      <c r="H8">
        <v>35000000</v>
      </c>
      <c r="I8">
        <f>H8*0.15</f>
        <v>5250000</v>
      </c>
      <c r="J8">
        <f>I8-1080000</f>
        <v>4170000</v>
      </c>
      <c r="K8">
        <f>J8/(21*107)/12</f>
        <v>154.65064530485091</v>
      </c>
    </row>
    <row r="9" spans="2:14" x14ac:dyDescent="0.3">
      <c r="H9" s="1"/>
    </row>
    <row r="10" spans="2:14" x14ac:dyDescent="0.3">
      <c r="B10" t="s">
        <v>32</v>
      </c>
      <c r="C10" s="1">
        <v>16000</v>
      </c>
    </row>
    <row r="11" spans="2:14" x14ac:dyDescent="0.3">
      <c r="B11" t="s">
        <v>33</v>
      </c>
      <c r="C11" s="1">
        <v>7450</v>
      </c>
    </row>
    <row r="12" spans="2:14" x14ac:dyDescent="0.3">
      <c r="B12" t="s">
        <v>43</v>
      </c>
      <c r="C12" s="1">
        <v>2300</v>
      </c>
    </row>
    <row r="13" spans="2:14" x14ac:dyDescent="0.3">
      <c r="B13" t="s">
        <v>18</v>
      </c>
      <c r="C13" s="1">
        <f>C10*D2</f>
        <v>1372.8</v>
      </c>
      <c r="F13">
        <f>C14*0.37</f>
        <v>164.05127272727273</v>
      </c>
    </row>
    <row r="14" spans="2:14" x14ac:dyDescent="0.3">
      <c r="B14" t="s">
        <v>27</v>
      </c>
      <c r="C14" s="1">
        <f>(C10-C11-C13-C12)/11</f>
        <v>443.38181818181818</v>
      </c>
      <c r="N14" s="1"/>
    </row>
    <row r="15" spans="2:14" x14ac:dyDescent="0.3">
      <c r="B15" t="s">
        <v>34</v>
      </c>
      <c r="C15" s="1">
        <f>C10-C11-C13-C14-C12</f>
        <v>4433.818181818182</v>
      </c>
      <c r="D15">
        <f>C15*0.4</f>
        <v>1773.5272727272729</v>
      </c>
    </row>
    <row r="16" spans="2:14" x14ac:dyDescent="0.3">
      <c r="B16" t="s">
        <v>35</v>
      </c>
      <c r="C16" s="1">
        <f>C15*D4</f>
        <v>665.07272727272732</v>
      </c>
      <c r="I16">
        <f>177*12*2459</f>
        <v>5222916</v>
      </c>
      <c r="N16" s="1"/>
    </row>
    <row r="17" spans="2:6" x14ac:dyDescent="0.3">
      <c r="B17" t="s">
        <v>36</v>
      </c>
      <c r="C17" s="1">
        <f>C10*D6</f>
        <v>960</v>
      </c>
    </row>
    <row r="18" spans="2:6" x14ac:dyDescent="0.3">
      <c r="B18" t="s">
        <v>37</v>
      </c>
      <c r="C18" s="1">
        <f>C15-C16-C17+64</f>
        <v>2872.7454545454548</v>
      </c>
      <c r="D18">
        <v>2450</v>
      </c>
      <c r="E18" s="1">
        <f>C18-D18</f>
        <v>422.74545454545478</v>
      </c>
      <c r="F18">
        <f>E18/C10</f>
        <v>2.6421590909090922E-2</v>
      </c>
    </row>
    <row r="19" spans="2:6" x14ac:dyDescent="0.3">
      <c r="B19" t="s">
        <v>38</v>
      </c>
      <c r="C19" s="3">
        <f>-(D7-(C18/C10))</f>
        <v>-3.0453409090909073E-2</v>
      </c>
    </row>
    <row r="21" spans="2:6" x14ac:dyDescent="0.3">
      <c r="B21" t="s">
        <v>39</v>
      </c>
      <c r="C21" s="1">
        <f>C23/C18</f>
        <v>22.974538135834582</v>
      </c>
      <c r="D21">
        <v>107</v>
      </c>
      <c r="F21">
        <f>D21*C21</f>
        <v>2458.2755805343004</v>
      </c>
    </row>
    <row r="22" spans="2:6" x14ac:dyDescent="0.3">
      <c r="B22" t="s">
        <v>40</v>
      </c>
      <c r="C22" s="1">
        <f>C21*C10</f>
        <v>367592.61017335329</v>
      </c>
      <c r="D22" s="1">
        <f>C22*D21</f>
        <v>39332409.288548805</v>
      </c>
      <c r="E22" t="s">
        <v>42</v>
      </c>
      <c r="F22">
        <f>C10*F21</f>
        <v>39332409.288548805</v>
      </c>
    </row>
    <row r="23" spans="2:6" x14ac:dyDescent="0.3">
      <c r="B23" t="s">
        <v>41</v>
      </c>
      <c r="C23" s="1">
        <v>66000</v>
      </c>
    </row>
  </sheetData>
  <mergeCells count="3">
    <mergeCell ref="B2:C2"/>
    <mergeCell ref="B6:C6"/>
    <mergeCell ref="B7:C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4BBB-4BF9-485E-A203-0A2369EC5255}">
  <dimension ref="B2:N23"/>
  <sheetViews>
    <sheetView tabSelected="1" workbookViewId="0">
      <selection activeCell="H10" sqref="H10"/>
    </sheetView>
  </sheetViews>
  <sheetFormatPr defaultRowHeight="16.5" x14ac:dyDescent="0.3"/>
  <cols>
    <col min="2" max="2" width="11" bestFit="1" customWidth="1"/>
    <col min="3" max="3" width="25.75" bestFit="1" customWidth="1"/>
    <col min="4" max="4" width="11.625" bestFit="1" customWidth="1"/>
    <col min="6" max="6" width="11.625" bestFit="1" customWidth="1"/>
    <col min="7" max="7" width="9.875" bestFit="1" customWidth="1"/>
    <col min="8" max="8" width="12.125" bestFit="1" customWidth="1"/>
    <col min="9" max="9" width="9.875" bestFit="1" customWidth="1"/>
    <col min="12" max="12" width="9.5" bestFit="1" customWidth="1"/>
    <col min="14" max="14" width="11.75" bestFit="1" customWidth="1"/>
  </cols>
  <sheetData>
    <row r="2" spans="2:14" x14ac:dyDescent="0.3">
      <c r="B2" s="5" t="s">
        <v>18</v>
      </c>
      <c r="C2" s="5"/>
      <c r="D2" s="3">
        <v>8.5800000000000001E-2</v>
      </c>
      <c r="G2" s="1"/>
    </row>
    <row r="3" spans="2:14" x14ac:dyDescent="0.3">
      <c r="B3" t="s">
        <v>27</v>
      </c>
      <c r="C3" t="s">
        <v>28</v>
      </c>
      <c r="D3" s="4">
        <v>0.1</v>
      </c>
      <c r="I3">
        <v>2450</v>
      </c>
      <c r="J3">
        <v>2138</v>
      </c>
    </row>
    <row r="4" spans="2:14" x14ac:dyDescent="0.3">
      <c r="B4" t="s">
        <v>29</v>
      </c>
      <c r="C4" t="s">
        <v>44</v>
      </c>
      <c r="D4" s="4">
        <v>0.15</v>
      </c>
      <c r="H4" s="1"/>
      <c r="I4" s="1">
        <f>I3/11</f>
        <v>222.72727272727272</v>
      </c>
      <c r="J4" s="1">
        <f>I3-I4-I5</f>
        <v>2138.1818181818185</v>
      </c>
    </row>
    <row r="5" spans="2:14" x14ac:dyDescent="0.3">
      <c r="I5">
        <f>I4*0.4</f>
        <v>89.090909090909093</v>
      </c>
    </row>
    <row r="6" spans="2:14" x14ac:dyDescent="0.3">
      <c r="B6" s="5" t="s">
        <v>30</v>
      </c>
      <c r="C6" s="5"/>
      <c r="D6" s="4">
        <v>0.06</v>
      </c>
    </row>
    <row r="7" spans="2:14" x14ac:dyDescent="0.3">
      <c r="B7" s="5" t="s">
        <v>31</v>
      </c>
      <c r="C7" s="5"/>
      <c r="D7" s="4">
        <v>0.21</v>
      </c>
      <c r="H7">
        <v>26000000</v>
      </c>
      <c r="I7">
        <f>H7*0.15</f>
        <v>3900000</v>
      </c>
      <c r="J7">
        <f>I7-1080000</f>
        <v>2820000</v>
      </c>
    </row>
    <row r="8" spans="2:14" x14ac:dyDescent="0.3">
      <c r="D8" s="4"/>
      <c r="H8">
        <v>35000000</v>
      </c>
      <c r="I8">
        <f>H8*0.15</f>
        <v>5250000</v>
      </c>
      <c r="J8">
        <f>I8-1080000</f>
        <v>4170000</v>
      </c>
      <c r="K8">
        <f>(J8/(3597))/12</f>
        <v>96.608284681679166</v>
      </c>
    </row>
    <row r="9" spans="2:14" x14ac:dyDescent="0.3">
      <c r="H9" s="1"/>
    </row>
    <row r="10" spans="2:14" x14ac:dyDescent="0.3">
      <c r="B10" t="s">
        <v>32</v>
      </c>
      <c r="C10" s="1">
        <v>9900</v>
      </c>
    </row>
    <row r="11" spans="2:14" x14ac:dyDescent="0.3">
      <c r="B11" t="s">
        <v>33</v>
      </c>
      <c r="C11" s="1">
        <v>7450</v>
      </c>
    </row>
    <row r="12" spans="2:14" x14ac:dyDescent="0.3">
      <c r="B12" t="s">
        <v>43</v>
      </c>
      <c r="C12" s="1">
        <v>0</v>
      </c>
    </row>
    <row r="13" spans="2:14" x14ac:dyDescent="0.3">
      <c r="B13" t="s">
        <v>18</v>
      </c>
      <c r="C13" s="1">
        <v>0</v>
      </c>
      <c r="F13">
        <f>C14*0.37</f>
        <v>82.409090909090907</v>
      </c>
    </row>
    <row r="14" spans="2:14" x14ac:dyDescent="0.3">
      <c r="B14" t="s">
        <v>27</v>
      </c>
      <c r="C14" s="1">
        <f>(C10-C11-C13-C12)/11</f>
        <v>222.72727272727272</v>
      </c>
      <c r="N14" s="1"/>
    </row>
    <row r="15" spans="2:14" x14ac:dyDescent="0.3">
      <c r="B15" t="s">
        <v>34</v>
      </c>
      <c r="C15" s="1">
        <f>C10-C11-C13-C14-C12</f>
        <v>2227.2727272727275</v>
      </c>
      <c r="D15">
        <f>C15*0.4</f>
        <v>890.90909090909099</v>
      </c>
    </row>
    <row r="16" spans="2:14" x14ac:dyDescent="0.3">
      <c r="B16" t="s">
        <v>35</v>
      </c>
      <c r="C16" s="1">
        <f>C14*0.44</f>
        <v>98</v>
      </c>
      <c r="I16">
        <f>177*12*2459</f>
        <v>5222916</v>
      </c>
      <c r="N16" s="1"/>
    </row>
    <row r="17" spans="2:12" x14ac:dyDescent="0.3">
      <c r="B17" t="s">
        <v>36</v>
      </c>
      <c r="C17" s="1">
        <v>0</v>
      </c>
      <c r="I17">
        <v>196</v>
      </c>
      <c r="J17">
        <v>78</v>
      </c>
      <c r="K17">
        <f>I17+J17</f>
        <v>274</v>
      </c>
      <c r="L17">
        <f>K17/9000</f>
        <v>3.0444444444444444E-2</v>
      </c>
    </row>
    <row r="18" spans="2:12" x14ac:dyDescent="0.3">
      <c r="B18" t="s">
        <v>37</v>
      </c>
      <c r="C18" s="1">
        <f>C15-C16-C17+64</f>
        <v>2193.2727272727275</v>
      </c>
      <c r="D18">
        <v>2450</v>
      </c>
      <c r="E18" s="1">
        <f>C18-D18</f>
        <v>-256.72727272727252</v>
      </c>
      <c r="F18">
        <f>E18/C10</f>
        <v>-2.5932047750229548E-2</v>
      </c>
      <c r="I18">
        <v>402</v>
      </c>
      <c r="J18">
        <v>161</v>
      </c>
      <c r="K18">
        <f>I18+J18</f>
        <v>563</v>
      </c>
      <c r="L18">
        <f>K18/15500</f>
        <v>3.6322580645161293E-2</v>
      </c>
    </row>
    <row r="19" spans="2:12" x14ac:dyDescent="0.3">
      <c r="B19" t="s">
        <v>38</v>
      </c>
      <c r="C19" s="3">
        <f>-(D7-(C18/C10))</f>
        <v>1.1542699724517935E-2</v>
      </c>
      <c r="I19">
        <v>447</v>
      </c>
      <c r="J19">
        <v>179</v>
      </c>
      <c r="K19">
        <f>I19+J19</f>
        <v>626</v>
      </c>
      <c r="L19">
        <f>K19/20500</f>
        <v>3.0536585365853658E-2</v>
      </c>
    </row>
    <row r="21" spans="2:12" x14ac:dyDescent="0.3">
      <c r="B21" t="s">
        <v>39</v>
      </c>
      <c r="C21" s="1">
        <f>C23/C18</f>
        <v>30.092016911216113</v>
      </c>
      <c r="D21">
        <v>120</v>
      </c>
      <c r="F21">
        <f>D21*C21</f>
        <v>3611.0420293459338</v>
      </c>
    </row>
    <row r="22" spans="2:12" x14ac:dyDescent="0.3">
      <c r="B22" t="s">
        <v>40</v>
      </c>
      <c r="C22" s="1">
        <f>C21*C10</f>
        <v>297910.96742103953</v>
      </c>
      <c r="D22" s="1">
        <f>C22*D21</f>
        <v>35749316.090524741</v>
      </c>
      <c r="E22" t="s">
        <v>42</v>
      </c>
      <c r="F22">
        <f>C10*F21</f>
        <v>35749316.090524748</v>
      </c>
    </row>
    <row r="23" spans="2:12" x14ac:dyDescent="0.3">
      <c r="B23" t="s">
        <v>41</v>
      </c>
      <c r="C23" s="1">
        <v>66000</v>
      </c>
    </row>
  </sheetData>
  <mergeCells count="3">
    <mergeCell ref="B2:C2"/>
    <mergeCell ref="B6:C6"/>
    <mergeCell ref="B7:C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aodrl</dc:creator>
  <cp:lastModifiedBy>aodrl</cp:lastModifiedBy>
  <dcterms:created xsi:type="dcterms:W3CDTF">2021-01-17T15:16:27Z</dcterms:created>
  <dcterms:modified xsi:type="dcterms:W3CDTF">2021-01-28T08:43:57Z</dcterms:modified>
</cp:coreProperties>
</file>