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문서자료\엑셀\"/>
    </mc:Choice>
  </mc:AlternateContent>
  <xr:revisionPtr revIDLastSave="0" documentId="13_ncr:1_{8FF29BCC-0D08-43B3-8CDB-A6C9E0AE55C1}" xr6:coauthVersionLast="45" xr6:coauthVersionMax="45" xr10:uidLastSave="{00000000-0000-0000-0000-000000000000}"/>
  <bookViews>
    <workbookView xWindow="-120" yWindow="-16320" windowWidth="29040" windowHeight="15840" tabRatio="735" xr2:uid="{00000000-000D-0000-FFFF-FFFF00000000}"/>
  </bookViews>
  <sheets>
    <sheet name="원가측정" sheetId="3" r:id="rId1"/>
    <sheet name="신규거래처)판매가" sheetId="13" r:id="rId2"/>
    <sheet name="온라인판매가" sheetId="12" r:id="rId3"/>
    <sheet name="온라인판매가 (2)" sheetId="14" state="hidden" r:id="rId4"/>
    <sheet name="택배_판매가" sheetId="16" r:id="rId5"/>
    <sheet name="Sheet7" sheetId="11" state="hidden" r:id="rId6"/>
    <sheet name="20.03_쇼핑몰" sheetId="18" r:id="rId7"/>
    <sheet name="쇼핑몰_기본정보" sheetId="19" r:id="rId8"/>
    <sheet name="기본정보" sheetId="5" r:id="rId9"/>
    <sheet name="쿠팡" sheetId="6" r:id="rId10"/>
    <sheet name="기존_사이트별_가격" sheetId="4" r:id="rId11"/>
    <sheet name="사업관련 용어정리" sheetId="7" r:id="rId12"/>
    <sheet name="월내는금액" sheetId="15" r:id="rId13"/>
    <sheet name="종합소득세" sheetId="8" r:id="rId14"/>
    <sheet name="1월 판매량" sheetId="10" r:id="rId15"/>
    <sheet name="판매사이트_배송정보" sheetId="17" r:id="rId1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1" i="18" l="1"/>
  <c r="M13" i="18"/>
  <c r="M15" i="18"/>
  <c r="M16" i="18"/>
  <c r="M17" i="18"/>
  <c r="M18" i="18"/>
  <c r="M19" i="18"/>
  <c r="M20" i="18"/>
  <c r="M21" i="18"/>
  <c r="M22" i="18"/>
  <c r="M23" i="18"/>
  <c r="M24" i="18"/>
  <c r="M25" i="18"/>
  <c r="M26" i="18"/>
  <c r="M27" i="18"/>
  <c r="M28" i="18"/>
  <c r="M29" i="18"/>
  <c r="M30" i="18"/>
  <c r="O24" i="18" l="1"/>
  <c r="N24" i="18"/>
  <c r="N15" i="18"/>
  <c r="O15" i="18"/>
  <c r="O20" i="18"/>
  <c r="N20" i="18"/>
  <c r="N23" i="18"/>
  <c r="O23" i="18"/>
  <c r="N13" i="18"/>
  <c r="O13" i="18"/>
  <c r="O28" i="18"/>
  <c r="N28" i="18"/>
  <c r="O16" i="18"/>
  <c r="N16" i="18"/>
  <c r="N27" i="18"/>
  <c r="O27" i="18"/>
  <c r="N19" i="18"/>
  <c r="O19" i="18"/>
  <c r="O30" i="18"/>
  <c r="N30" i="18"/>
  <c r="O26" i="18"/>
  <c r="N26" i="18"/>
  <c r="O22" i="18"/>
  <c r="N22" i="18"/>
  <c r="O18" i="18"/>
  <c r="N18" i="18"/>
  <c r="N29" i="18"/>
  <c r="O29" i="18"/>
  <c r="N25" i="18"/>
  <c r="O25" i="18"/>
  <c r="N21" i="18"/>
  <c r="O21" i="18"/>
  <c r="N17" i="18"/>
  <c r="O17" i="18"/>
  <c r="O11" i="18"/>
  <c r="N11" i="18"/>
  <c r="E5" i="18"/>
  <c r="I12" i="18"/>
  <c r="I13" i="18"/>
  <c r="I14" i="18"/>
  <c r="I15" i="18"/>
  <c r="Q15" i="18" s="1"/>
  <c r="I16" i="18"/>
  <c r="I17" i="18"/>
  <c r="I18" i="18"/>
  <c r="I19" i="18"/>
  <c r="Q19" i="18" s="1"/>
  <c r="I20" i="18"/>
  <c r="I21" i="18"/>
  <c r="I22" i="18"/>
  <c r="I23" i="18"/>
  <c r="Q23" i="18" s="1"/>
  <c r="I24" i="18"/>
  <c r="I25" i="18"/>
  <c r="I26" i="18"/>
  <c r="I27" i="18"/>
  <c r="Q27" i="18" s="1"/>
  <c r="I28" i="18"/>
  <c r="I29" i="18"/>
  <c r="I30" i="18"/>
  <c r="I11" i="18"/>
  <c r="E30" i="18"/>
  <c r="F30" i="18" s="1"/>
  <c r="E29" i="18"/>
  <c r="F29" i="18" s="1"/>
  <c r="E28" i="18"/>
  <c r="F28" i="18" s="1"/>
  <c r="E27" i="18"/>
  <c r="F27" i="18" s="1"/>
  <c r="E26" i="18"/>
  <c r="F26" i="18" s="1"/>
  <c r="E25" i="18"/>
  <c r="F25" i="18" s="1"/>
  <c r="E24" i="18"/>
  <c r="F24" i="18" s="1"/>
  <c r="E23" i="18"/>
  <c r="F23" i="18" s="1"/>
  <c r="E22" i="18"/>
  <c r="F22" i="18" s="1"/>
  <c r="E21" i="18"/>
  <c r="F21" i="18" s="1"/>
  <c r="E20" i="18"/>
  <c r="F20" i="18" s="1"/>
  <c r="E19" i="18"/>
  <c r="F19" i="18" s="1"/>
  <c r="E18" i="18"/>
  <c r="F18" i="18" s="1"/>
  <c r="E17" i="18"/>
  <c r="F17" i="18" s="1"/>
  <c r="E16" i="18"/>
  <c r="F16" i="18" s="1"/>
  <c r="E15" i="18"/>
  <c r="F15" i="18" s="1"/>
  <c r="C14" i="18"/>
  <c r="M14" i="18" s="1"/>
  <c r="E13" i="18"/>
  <c r="F13" i="18" s="1"/>
  <c r="C12" i="18"/>
  <c r="E11" i="18"/>
  <c r="F11" i="18" s="1"/>
  <c r="S11" i="16"/>
  <c r="Q28" i="18" l="1"/>
  <c r="Q24" i="18"/>
  <c r="S24" i="18" s="1"/>
  <c r="Q20" i="18"/>
  <c r="S20" i="18" s="1"/>
  <c r="Q16" i="18"/>
  <c r="R16" i="18" s="1"/>
  <c r="Q12" i="18"/>
  <c r="R12" i="18" s="1"/>
  <c r="O14" i="18"/>
  <c r="N14" i="18"/>
  <c r="R28" i="18"/>
  <c r="S28" i="18"/>
  <c r="R27" i="18"/>
  <c r="S27" i="18"/>
  <c r="R23" i="18"/>
  <c r="S23" i="18"/>
  <c r="R19" i="18"/>
  <c r="S19" i="18"/>
  <c r="R15" i="18"/>
  <c r="S15" i="18"/>
  <c r="J11" i="18"/>
  <c r="Q11" i="18"/>
  <c r="Q30" i="18"/>
  <c r="Q26" i="18"/>
  <c r="Q22" i="18"/>
  <c r="Q18" i="18"/>
  <c r="Q14" i="18"/>
  <c r="Q29" i="18"/>
  <c r="Q25" i="18"/>
  <c r="Q21" i="18"/>
  <c r="Q17" i="18"/>
  <c r="Q13" i="18"/>
  <c r="J22" i="18"/>
  <c r="E12" i="18"/>
  <c r="F12" i="18" s="1"/>
  <c r="M12" i="18"/>
  <c r="J30" i="18"/>
  <c r="J26" i="18"/>
  <c r="J18" i="18"/>
  <c r="K18" i="18" s="1"/>
  <c r="J14" i="18"/>
  <c r="K13" i="18"/>
  <c r="J25" i="18"/>
  <c r="J17" i="18"/>
  <c r="J28" i="18"/>
  <c r="J24" i="18"/>
  <c r="J20" i="18"/>
  <c r="J16" i="18"/>
  <c r="J12" i="18"/>
  <c r="K17" i="18"/>
  <c r="J29" i="18"/>
  <c r="K29" i="18" s="1"/>
  <c r="J21" i="18"/>
  <c r="K21" i="18" s="1"/>
  <c r="J13" i="18"/>
  <c r="K11" i="18"/>
  <c r="J27" i="18"/>
  <c r="K27" i="18" s="1"/>
  <c r="J23" i="18"/>
  <c r="K23" i="18" s="1"/>
  <c r="J19" i="18"/>
  <c r="K19" i="18" s="1"/>
  <c r="J15" i="18"/>
  <c r="K15" i="18" s="1"/>
  <c r="E14" i="18"/>
  <c r="F14" i="18" s="1"/>
  <c r="R20" i="18" l="1"/>
  <c r="R24" i="18"/>
  <c r="S16" i="18"/>
  <c r="S12" i="18"/>
  <c r="S29" i="18"/>
  <c r="R29" i="18"/>
  <c r="O12" i="18"/>
  <c r="N12" i="18"/>
  <c r="S17" i="18"/>
  <c r="R17" i="18"/>
  <c r="R14" i="18"/>
  <c r="S14" i="18"/>
  <c r="R30" i="18"/>
  <c r="S30" i="18"/>
  <c r="S13" i="18"/>
  <c r="R13" i="18"/>
  <c r="R21" i="18"/>
  <c r="S21" i="18"/>
  <c r="R18" i="18"/>
  <c r="S18" i="18"/>
  <c r="S11" i="18"/>
  <c r="R11" i="18"/>
  <c r="R26" i="18"/>
  <c r="S26" i="18"/>
  <c r="S25" i="18"/>
  <c r="R25" i="18"/>
  <c r="R22" i="18"/>
  <c r="S22" i="18"/>
  <c r="K20" i="18"/>
  <c r="K24" i="18"/>
  <c r="K26" i="18"/>
  <c r="K22" i="18"/>
  <c r="K16" i="18"/>
  <c r="K14" i="18"/>
  <c r="K12" i="18"/>
  <c r="K28" i="18"/>
  <c r="K25" i="18"/>
  <c r="K30" i="18"/>
  <c r="L26" i="3"/>
  <c r="L32" i="12" l="1"/>
  <c r="AA27" i="16" l="1"/>
  <c r="AA28" i="16"/>
  <c r="AA29" i="16"/>
  <c r="AA30" i="16"/>
  <c r="AA31" i="16"/>
  <c r="AA12" i="16"/>
  <c r="AA13" i="16"/>
  <c r="AA14" i="16"/>
  <c r="AA15" i="16"/>
  <c r="AA16" i="16"/>
  <c r="AA17" i="16"/>
  <c r="AA18" i="16"/>
  <c r="AA19" i="16"/>
  <c r="AA20" i="16"/>
  <c r="AA21" i="16"/>
  <c r="AA22" i="16"/>
  <c r="AA23" i="16"/>
  <c r="AA24" i="16"/>
  <c r="AA25" i="16"/>
  <c r="AA26" i="16"/>
  <c r="Z24" i="16"/>
  <c r="S12" i="16"/>
  <c r="S13" i="16"/>
  <c r="U13" i="16"/>
  <c r="V13" i="16"/>
  <c r="U14" i="16"/>
  <c r="V14" i="16"/>
  <c r="U15" i="16"/>
  <c r="V15" i="16"/>
  <c r="U16" i="16"/>
  <c r="V16" i="16"/>
  <c r="U17" i="16"/>
  <c r="V17" i="16"/>
  <c r="H13" i="16"/>
  <c r="Z12" i="16" l="1"/>
  <c r="Z13" i="16"/>
  <c r="Z14" i="16"/>
  <c r="Z15" i="16"/>
  <c r="Z16" i="16"/>
  <c r="Z17" i="16"/>
  <c r="Z18" i="16"/>
  <c r="Z19" i="16"/>
  <c r="Z20" i="16"/>
  <c r="Z21" i="16"/>
  <c r="Z22" i="16"/>
  <c r="Z23" i="16"/>
  <c r="Z25" i="16"/>
  <c r="Z26" i="16"/>
  <c r="Z27" i="16"/>
  <c r="Z28" i="16"/>
  <c r="Z29" i="16"/>
  <c r="Z30" i="16"/>
  <c r="Z31" i="16"/>
  <c r="Z11" i="16"/>
  <c r="X22" i="16"/>
  <c r="X21" i="16"/>
  <c r="X18" i="16"/>
  <c r="X17" i="16"/>
  <c r="X16" i="16"/>
  <c r="X12" i="16"/>
  <c r="X13" i="16"/>
  <c r="X14" i="16"/>
  <c r="X15" i="16"/>
  <c r="X11" i="16"/>
  <c r="V12" i="16"/>
  <c r="V18" i="16"/>
  <c r="V11" i="16"/>
  <c r="U12" i="16"/>
  <c r="U18" i="16"/>
  <c r="U11" i="16"/>
  <c r="S20" i="16"/>
  <c r="S21" i="16"/>
  <c r="S22" i="16"/>
  <c r="S23" i="16"/>
  <c r="S19" i="16"/>
  <c r="S17" i="16"/>
  <c r="S15" i="16"/>
  <c r="J14" i="16" l="1"/>
  <c r="K14" i="16"/>
  <c r="J15" i="16"/>
  <c r="K15" i="16"/>
  <c r="J16" i="16"/>
  <c r="K16" i="16"/>
  <c r="J17" i="16"/>
  <c r="K17" i="16"/>
  <c r="J18" i="16"/>
  <c r="K18" i="16"/>
  <c r="J19" i="16"/>
  <c r="K19" i="16"/>
  <c r="J20" i="16"/>
  <c r="K20" i="16"/>
  <c r="J21" i="16"/>
  <c r="K21" i="16"/>
  <c r="J22" i="16"/>
  <c r="K22" i="16"/>
  <c r="J23" i="16"/>
  <c r="K23" i="16"/>
  <c r="J24" i="16"/>
  <c r="K24" i="16"/>
  <c r="J25" i="16"/>
  <c r="K25" i="16"/>
  <c r="J26" i="16"/>
  <c r="K26" i="16"/>
  <c r="J27" i="16"/>
  <c r="K27" i="16"/>
  <c r="J28" i="16"/>
  <c r="K28" i="16"/>
  <c r="J29" i="16"/>
  <c r="K29" i="16"/>
  <c r="J30" i="16"/>
  <c r="K30" i="16"/>
  <c r="J31" i="16"/>
  <c r="K31" i="16"/>
  <c r="J32" i="16"/>
  <c r="K32" i="16"/>
  <c r="J33" i="16"/>
  <c r="K33" i="16"/>
  <c r="K12" i="16"/>
  <c r="J12" i="16"/>
  <c r="L26" i="16" l="1"/>
  <c r="L22" i="16"/>
  <c r="L20" i="16"/>
  <c r="L18" i="16"/>
  <c r="L33" i="16"/>
  <c r="L25" i="16"/>
  <c r="L19" i="16"/>
  <c r="L17" i="16"/>
  <c r="L14" i="16"/>
  <c r="L21" i="16"/>
  <c r="L15" i="16"/>
  <c r="L16" i="16"/>
  <c r="L12" i="16"/>
  <c r="L29" i="16"/>
  <c r="L27" i="16"/>
  <c r="L30" i="16"/>
  <c r="L28" i="16"/>
  <c r="L31" i="16"/>
  <c r="L23" i="16"/>
  <c r="L32" i="16"/>
  <c r="L24" i="16"/>
  <c r="H32" i="16"/>
  <c r="H33" i="16"/>
  <c r="H14" i="16"/>
  <c r="H15" i="16"/>
  <c r="H16" i="16"/>
  <c r="H17" i="16"/>
  <c r="H18" i="16"/>
  <c r="H19" i="16"/>
  <c r="H20" i="16"/>
  <c r="H21" i="16"/>
  <c r="H22" i="16"/>
  <c r="H23" i="16"/>
  <c r="H24" i="16"/>
  <c r="H25" i="16"/>
  <c r="H26" i="16"/>
  <c r="H27" i="16"/>
  <c r="H28" i="16"/>
  <c r="H29" i="16"/>
  <c r="H30" i="16"/>
  <c r="H31" i="16"/>
  <c r="H12" i="16"/>
  <c r="D17" i="12" l="1"/>
  <c r="D13" i="12"/>
  <c r="H23" i="11" l="1"/>
  <c r="D19" i="12" l="1"/>
  <c r="D18" i="12"/>
  <c r="D16" i="12"/>
  <c r="D15" i="12"/>
  <c r="D14" i="12"/>
  <c r="D12" i="12"/>
  <c r="N5" i="12"/>
  <c r="N6" i="12"/>
  <c r="N7" i="12"/>
  <c r="N8" i="12"/>
  <c r="N9" i="12"/>
  <c r="N10" i="12"/>
  <c r="N11" i="12"/>
  <c r="N12" i="12"/>
  <c r="N13" i="12"/>
  <c r="N14" i="12"/>
  <c r="N15" i="12"/>
  <c r="N16" i="12"/>
  <c r="N17" i="12"/>
  <c r="N18" i="12"/>
  <c r="N19" i="12"/>
  <c r="N20" i="12"/>
  <c r="N21" i="12"/>
  <c r="N4" i="12"/>
  <c r="L7" i="12"/>
  <c r="O7" i="12" s="1"/>
  <c r="M26" i="12" s="1"/>
  <c r="L4" i="12"/>
  <c r="O4" i="12" s="1"/>
  <c r="M23" i="12" s="1"/>
  <c r="U4" i="12" l="1"/>
  <c r="U7" i="12"/>
  <c r="S4" i="12"/>
  <c r="AA4" i="12"/>
  <c r="AD4" i="12" s="1"/>
  <c r="S7" i="12"/>
  <c r="AA7" i="12"/>
  <c r="AD12" i="12" s="1"/>
  <c r="E7" i="13"/>
  <c r="E5" i="13"/>
  <c r="AH7" i="13"/>
  <c r="AH5" i="13"/>
  <c r="AA7" i="13"/>
  <c r="AA5" i="13"/>
  <c r="T7" i="13"/>
  <c r="T5" i="13"/>
  <c r="N6" i="13"/>
  <c r="O6" i="13" s="1"/>
  <c r="N8" i="13"/>
  <c r="O8" i="13" s="1"/>
  <c r="N9" i="13"/>
  <c r="O9" i="13" s="1"/>
  <c r="N10" i="13"/>
  <c r="O10" i="13" s="1"/>
  <c r="N11" i="13"/>
  <c r="O11" i="13" s="1"/>
  <c r="N12" i="13"/>
  <c r="O12" i="13" s="1"/>
  <c r="N13" i="13"/>
  <c r="O13" i="13" s="1"/>
  <c r="N14" i="13"/>
  <c r="O14" i="13" s="1"/>
  <c r="N15" i="13"/>
  <c r="O15" i="13" s="1"/>
  <c r="N16" i="13"/>
  <c r="O16" i="13" s="1"/>
  <c r="N17" i="13"/>
  <c r="O17" i="13" s="1"/>
  <c r="N18" i="13"/>
  <c r="O18" i="13" s="1"/>
  <c r="N19" i="13"/>
  <c r="O19" i="13" s="1"/>
  <c r="N20" i="13"/>
  <c r="O20" i="13" s="1"/>
  <c r="N21" i="13"/>
  <c r="O21" i="13" s="1"/>
  <c r="N22" i="13"/>
  <c r="O22" i="13" s="1"/>
  <c r="N23" i="13"/>
  <c r="O23" i="13" s="1"/>
  <c r="N24" i="13"/>
  <c r="O24" i="13" s="1"/>
  <c r="N25" i="13"/>
  <c r="O25" i="13" s="1"/>
  <c r="M5" i="13"/>
  <c r="M7" i="13"/>
  <c r="O26" i="12" l="1"/>
  <c r="P26" i="12" s="1"/>
  <c r="Q26" i="12" s="1"/>
  <c r="O23" i="12"/>
  <c r="P23" i="12" s="1"/>
  <c r="Q23" i="12" s="1"/>
  <c r="AG6" i="12"/>
  <c r="AG5" i="12"/>
  <c r="AH13" i="12"/>
  <c r="AG13" i="12"/>
  <c r="AF12" i="12"/>
  <c r="AF13" i="12" s="1"/>
  <c r="AH6" i="12"/>
  <c r="AH5" i="12"/>
  <c r="AF4" i="12"/>
  <c r="N7" i="13"/>
  <c r="O7" i="13" s="1"/>
  <c r="N5" i="13"/>
  <c r="O5" i="13" s="1"/>
  <c r="D40" i="11"/>
  <c r="H40" i="11" s="1"/>
  <c r="D39" i="11"/>
  <c r="M39" i="11" s="1"/>
  <c r="N39" i="11" s="1"/>
  <c r="I33" i="11"/>
  <c r="J34" i="11"/>
  <c r="F37" i="11"/>
  <c r="M38" i="11"/>
  <c r="O38" i="11" s="1"/>
  <c r="M27" i="11"/>
  <c r="O27" i="11" s="1"/>
  <c r="H31" i="11"/>
  <c r="J35" i="11"/>
  <c r="L35" i="11" s="1"/>
  <c r="J39" i="11"/>
  <c r="K39" i="11" s="1"/>
  <c r="M23" i="11"/>
  <c r="O23" i="11" s="1"/>
  <c r="M40" i="11"/>
  <c r="N40" i="11" s="1"/>
  <c r="J40" i="11"/>
  <c r="K40" i="11" s="1"/>
  <c r="M37" i="11"/>
  <c r="N37" i="11" s="1"/>
  <c r="J37" i="11"/>
  <c r="L37" i="11" s="1"/>
  <c r="I37" i="11"/>
  <c r="M36" i="11"/>
  <c r="O36" i="11" s="1"/>
  <c r="J36" i="11"/>
  <c r="L36" i="11" s="1"/>
  <c r="I36" i="11"/>
  <c r="F36" i="11"/>
  <c r="E36" i="11"/>
  <c r="M35" i="11"/>
  <c r="O35" i="11" s="1"/>
  <c r="I35" i="11"/>
  <c r="F34" i="11"/>
  <c r="M33" i="11"/>
  <c r="N33" i="11" s="1"/>
  <c r="J33" i="11"/>
  <c r="L33" i="11" s="1"/>
  <c r="E33" i="11"/>
  <c r="M32" i="11"/>
  <c r="N32" i="11" s="1"/>
  <c r="J32" i="11"/>
  <c r="L32" i="11" s="1"/>
  <c r="I32" i="11"/>
  <c r="F32" i="11"/>
  <c r="E32" i="11"/>
  <c r="J31" i="11"/>
  <c r="L31" i="11" s="1"/>
  <c r="M30" i="11"/>
  <c r="N30" i="11" s="1"/>
  <c r="J30" i="11"/>
  <c r="K30" i="11" s="1"/>
  <c r="H30" i="11"/>
  <c r="F30" i="11"/>
  <c r="E30" i="11"/>
  <c r="M29" i="11"/>
  <c r="O29" i="11" s="1"/>
  <c r="J29" i="11"/>
  <c r="L29" i="11" s="1"/>
  <c r="H29" i="11"/>
  <c r="F29" i="11"/>
  <c r="E29" i="11"/>
  <c r="M28" i="11"/>
  <c r="N28" i="11" s="1"/>
  <c r="J28" i="11"/>
  <c r="L28" i="11" s="1"/>
  <c r="I28" i="11"/>
  <c r="F28" i="11"/>
  <c r="E28" i="11"/>
  <c r="F27" i="11"/>
  <c r="M26" i="11"/>
  <c r="O26" i="11" s="1"/>
  <c r="J26" i="11"/>
  <c r="L26" i="11" s="1"/>
  <c r="H26" i="11"/>
  <c r="F26" i="11"/>
  <c r="E26" i="11"/>
  <c r="M25" i="11"/>
  <c r="O25" i="11" s="1"/>
  <c r="J25" i="11"/>
  <c r="K25" i="11" s="1"/>
  <c r="I25" i="11"/>
  <c r="F25" i="11"/>
  <c r="E25" i="11"/>
  <c r="M24" i="11"/>
  <c r="N24" i="11" s="1"/>
  <c r="J24" i="11"/>
  <c r="L24" i="11" s="1"/>
  <c r="I24" i="11"/>
  <c r="F24" i="11"/>
  <c r="E24" i="11"/>
  <c r="I23" i="11"/>
  <c r="F23" i="11"/>
  <c r="M5" i="11"/>
  <c r="O5" i="11" s="1"/>
  <c r="M6" i="11"/>
  <c r="N6" i="11" s="1"/>
  <c r="M7" i="11"/>
  <c r="O7" i="11" s="1"/>
  <c r="M8" i="11"/>
  <c r="O8" i="11" s="1"/>
  <c r="M9" i="11"/>
  <c r="O9" i="11" s="1"/>
  <c r="M10" i="11"/>
  <c r="N10" i="11" s="1"/>
  <c r="M11" i="11"/>
  <c r="N11" i="11" s="1"/>
  <c r="M12" i="11"/>
  <c r="N12" i="11" s="1"/>
  <c r="M13" i="11"/>
  <c r="O13" i="11" s="1"/>
  <c r="M14" i="11"/>
  <c r="O14" i="11" s="1"/>
  <c r="M15" i="11"/>
  <c r="O15" i="11" s="1"/>
  <c r="M16" i="11"/>
  <c r="N16" i="11" s="1"/>
  <c r="M17" i="11"/>
  <c r="O17" i="11" s="1"/>
  <c r="M18" i="11"/>
  <c r="O18" i="11" s="1"/>
  <c r="M19" i="11"/>
  <c r="O19" i="11" s="1"/>
  <c r="M20" i="11"/>
  <c r="N20" i="11" s="1"/>
  <c r="M21" i="11"/>
  <c r="N21" i="11" s="1"/>
  <c r="M4" i="11"/>
  <c r="O4" i="11" s="1"/>
  <c r="J4" i="11"/>
  <c r="K4" i="11" s="1"/>
  <c r="J5" i="11"/>
  <c r="L5" i="11" s="1"/>
  <c r="J6" i="11"/>
  <c r="L6" i="11" s="1"/>
  <c r="J7" i="11"/>
  <c r="K7" i="11" s="1"/>
  <c r="J8" i="11"/>
  <c r="L8" i="11" s="1"/>
  <c r="J9" i="11"/>
  <c r="L9" i="11" s="1"/>
  <c r="J10" i="11"/>
  <c r="L10" i="11" s="1"/>
  <c r="J11" i="11"/>
  <c r="K11" i="11" s="1"/>
  <c r="J12" i="11"/>
  <c r="K12" i="11" s="1"/>
  <c r="J13" i="11"/>
  <c r="L13" i="11" s="1"/>
  <c r="J14" i="11"/>
  <c r="K14" i="11" s="1"/>
  <c r="J15" i="11"/>
  <c r="L15" i="11" s="1"/>
  <c r="J16" i="11"/>
  <c r="K16" i="11" s="1"/>
  <c r="J17" i="11"/>
  <c r="L17" i="11" s="1"/>
  <c r="J18" i="11"/>
  <c r="K18" i="11" s="1"/>
  <c r="J19" i="11"/>
  <c r="L19" i="11" s="1"/>
  <c r="J20" i="11"/>
  <c r="K20" i="11" s="1"/>
  <c r="J21" i="11"/>
  <c r="K21" i="11" s="1"/>
  <c r="E5" i="11"/>
  <c r="E6" i="11"/>
  <c r="E7" i="11"/>
  <c r="E8" i="11"/>
  <c r="E9" i="11"/>
  <c r="E10" i="11"/>
  <c r="E11" i="11"/>
  <c r="E12" i="11"/>
  <c r="E13" i="11"/>
  <c r="E14" i="11"/>
  <c r="E15" i="11"/>
  <c r="E16" i="11"/>
  <c r="E17" i="11"/>
  <c r="E18" i="11"/>
  <c r="E19" i="11"/>
  <c r="E20" i="11"/>
  <c r="E21" i="11"/>
  <c r="E4" i="11"/>
  <c r="G5" i="11"/>
  <c r="H5" i="11" s="1"/>
  <c r="G6" i="11"/>
  <c r="H6" i="11" s="1"/>
  <c r="G7" i="11"/>
  <c r="I7" i="11" s="1"/>
  <c r="G8" i="11"/>
  <c r="H8" i="11" s="1"/>
  <c r="G9" i="11"/>
  <c r="I9" i="11" s="1"/>
  <c r="G10" i="11"/>
  <c r="H10" i="11" s="1"/>
  <c r="G11" i="11"/>
  <c r="H11" i="11" s="1"/>
  <c r="G12" i="11"/>
  <c r="H12" i="11" s="1"/>
  <c r="G13" i="11"/>
  <c r="I13" i="11" s="1"/>
  <c r="G14" i="11"/>
  <c r="I14" i="11" s="1"/>
  <c r="G15" i="11"/>
  <c r="I15" i="11" s="1"/>
  <c r="G16" i="11"/>
  <c r="H16" i="11" s="1"/>
  <c r="G17" i="11"/>
  <c r="I17" i="11" s="1"/>
  <c r="G18" i="11"/>
  <c r="I18" i="11" s="1"/>
  <c r="G19" i="11"/>
  <c r="I19" i="11" s="1"/>
  <c r="G20" i="11"/>
  <c r="H20" i="11" s="1"/>
  <c r="G21" i="11"/>
  <c r="H21" i="11" s="1"/>
  <c r="G4" i="11"/>
  <c r="I4" i="11" s="1"/>
  <c r="F5" i="11"/>
  <c r="F6" i="11"/>
  <c r="F7" i="11"/>
  <c r="F8" i="11"/>
  <c r="F9" i="11"/>
  <c r="F10" i="11"/>
  <c r="F11" i="11"/>
  <c r="F12" i="11"/>
  <c r="F13" i="11"/>
  <c r="F14" i="11"/>
  <c r="F15" i="11"/>
  <c r="F16" i="11"/>
  <c r="F17" i="11"/>
  <c r="F18" i="11"/>
  <c r="F19" i="11"/>
  <c r="F20" i="11"/>
  <c r="F21" i="11"/>
  <c r="F4" i="11"/>
  <c r="E40" i="11" l="1"/>
  <c r="F40" i="11"/>
  <c r="E39" i="11"/>
  <c r="H4" i="11"/>
  <c r="H19" i="11"/>
  <c r="L4" i="11"/>
  <c r="H13" i="11"/>
  <c r="H15" i="11"/>
  <c r="H7" i="11"/>
  <c r="H17" i="11"/>
  <c r="H9" i="11"/>
  <c r="I6" i="11"/>
  <c r="I10" i="11"/>
  <c r="K17" i="11"/>
  <c r="K13" i="11"/>
  <c r="K9" i="11"/>
  <c r="K5" i="11"/>
  <c r="L7" i="11"/>
  <c r="L12" i="11"/>
  <c r="L16" i="11"/>
  <c r="N19" i="11"/>
  <c r="N17" i="11"/>
  <c r="N15" i="11"/>
  <c r="N13" i="11"/>
  <c r="N9" i="11"/>
  <c r="N7" i="11"/>
  <c r="N5" i="11"/>
  <c r="O6" i="11"/>
  <c r="O10" i="11"/>
  <c r="I12" i="11"/>
  <c r="I16" i="11"/>
  <c r="K8" i="11"/>
  <c r="O12" i="11"/>
  <c r="O16" i="11"/>
  <c r="I8" i="11"/>
  <c r="K19" i="11"/>
  <c r="K15" i="11"/>
  <c r="L14" i="11"/>
  <c r="L18" i="11"/>
  <c r="N4" i="11"/>
  <c r="N18" i="11"/>
  <c r="N14" i="11"/>
  <c r="N8" i="11"/>
  <c r="H18" i="11"/>
  <c r="H14" i="11"/>
  <c r="I5" i="11"/>
  <c r="K10" i="11"/>
  <c r="K6" i="11"/>
  <c r="AF6" i="12"/>
  <c r="AI6" i="12" s="1"/>
  <c r="AI13" i="12"/>
  <c r="AF5" i="12"/>
  <c r="AI5" i="12" s="1"/>
  <c r="K28" i="11"/>
  <c r="O32" i="11"/>
  <c r="O24" i="11"/>
  <c r="K34" i="11"/>
  <c r="L34" i="11"/>
  <c r="M34" i="11"/>
  <c r="O34" i="11" s="1"/>
  <c r="N36" i="11"/>
  <c r="E38" i="11"/>
  <c r="F33" i="11"/>
  <c r="O33" i="11"/>
  <c r="E37" i="11"/>
  <c r="K37" i="11"/>
  <c r="F38" i="11"/>
  <c r="J38" i="11"/>
  <c r="E34" i="11"/>
  <c r="K24" i="11"/>
  <c r="I27" i="11"/>
  <c r="E31" i="11"/>
  <c r="M31" i="11"/>
  <c r="O31" i="11" s="1"/>
  <c r="K33" i="11"/>
  <c r="H35" i="11"/>
  <c r="F39" i="11"/>
  <c r="J27" i="11"/>
  <c r="L27" i="11" s="1"/>
  <c r="F31" i="11"/>
  <c r="E35" i="11"/>
  <c r="H39" i="11"/>
  <c r="E27" i="11"/>
  <c r="F35" i="11"/>
  <c r="O37" i="11"/>
  <c r="J23" i="11"/>
  <c r="L23" i="11" s="1"/>
  <c r="E23" i="11"/>
  <c r="I29" i="11"/>
  <c r="I31" i="11"/>
  <c r="K29" i="11"/>
  <c r="O28" i="11"/>
  <c r="N27" i="11"/>
  <c r="I26" i="11"/>
  <c r="H25" i="11"/>
  <c r="L25" i="11"/>
  <c r="N23" i="11"/>
  <c r="H24" i="11"/>
  <c r="N26" i="11"/>
  <c r="K27" i="11"/>
  <c r="H28" i="11"/>
  <c r="K32" i="11"/>
  <c r="H33" i="11"/>
  <c r="N35" i="11"/>
  <c r="K36" i="11"/>
  <c r="H37" i="11"/>
  <c r="N25" i="11"/>
  <c r="K26" i="11"/>
  <c r="H27" i="11"/>
  <c r="N29" i="11"/>
  <c r="K31" i="11"/>
  <c r="H32" i="11"/>
  <c r="K35" i="11"/>
  <c r="H36" i="11"/>
  <c r="N38" i="11"/>
  <c r="N34" i="11" l="1"/>
  <c r="K38" i="11"/>
  <c r="L38" i="11"/>
  <c r="I34" i="11"/>
  <c r="H34" i="11"/>
  <c r="H38" i="11"/>
  <c r="I38" i="11"/>
  <c r="N31" i="11"/>
  <c r="K23" i="11"/>
  <c r="E6" i="3" l="1"/>
  <c r="C8" i="15" l="1"/>
  <c r="C11" i="15" s="1"/>
  <c r="AD22" i="14" l="1"/>
  <c r="Z22" i="14"/>
  <c r="K21" i="14"/>
  <c r="O21" i="14" s="1"/>
  <c r="D21" i="14"/>
  <c r="E21" i="14" s="1"/>
  <c r="F21" i="14" s="1"/>
  <c r="K20" i="14"/>
  <c r="M20" i="14" s="1"/>
  <c r="N20" i="14" s="1"/>
  <c r="D20" i="14"/>
  <c r="K19" i="14"/>
  <c r="O19" i="14" s="1"/>
  <c r="X19" i="14" s="1"/>
  <c r="D19" i="14"/>
  <c r="J19" i="14" s="1"/>
  <c r="K18" i="14"/>
  <c r="O18" i="14" s="1"/>
  <c r="D18" i="14"/>
  <c r="J18" i="14" s="1"/>
  <c r="K17" i="14"/>
  <c r="O17" i="14" s="1"/>
  <c r="D17" i="14"/>
  <c r="E17" i="14" s="1"/>
  <c r="F17" i="14" s="1"/>
  <c r="K16" i="14"/>
  <c r="M16" i="14" s="1"/>
  <c r="N16" i="14" s="1"/>
  <c r="D16" i="14"/>
  <c r="K15" i="14"/>
  <c r="O15" i="14" s="1"/>
  <c r="X15" i="14" s="1"/>
  <c r="D15" i="14"/>
  <c r="J15" i="14" s="1"/>
  <c r="K14" i="14"/>
  <c r="M14" i="14" s="1"/>
  <c r="N14" i="14" s="1"/>
  <c r="D14" i="14"/>
  <c r="J14" i="14" s="1"/>
  <c r="K13" i="14"/>
  <c r="M13" i="14" s="1"/>
  <c r="N13" i="14" s="1"/>
  <c r="D13" i="14"/>
  <c r="E13" i="14" s="1"/>
  <c r="F13" i="14" s="1"/>
  <c r="K12" i="14"/>
  <c r="O12" i="14" s="1"/>
  <c r="S12" i="14" s="1"/>
  <c r="D12" i="14"/>
  <c r="J12" i="14" s="1"/>
  <c r="K11" i="14"/>
  <c r="K24" i="14" s="1"/>
  <c r="J11" i="14"/>
  <c r="E11" i="14"/>
  <c r="F11" i="14" s="1"/>
  <c r="K10" i="14"/>
  <c r="M10" i="14" s="1"/>
  <c r="N10" i="14" s="1"/>
  <c r="D10" i="14"/>
  <c r="J10" i="14" s="1"/>
  <c r="K9" i="14"/>
  <c r="M9" i="14" s="1"/>
  <c r="N9" i="14" s="1"/>
  <c r="D9" i="14"/>
  <c r="J9" i="14" s="1"/>
  <c r="K8" i="14"/>
  <c r="M8" i="14" s="1"/>
  <c r="N8" i="14" s="1"/>
  <c r="D8" i="14"/>
  <c r="E8" i="14" s="1"/>
  <c r="F8" i="14" s="1"/>
  <c r="K7" i="14"/>
  <c r="O7" i="14" s="1"/>
  <c r="D7" i="14"/>
  <c r="J7" i="14" s="1"/>
  <c r="K6" i="14"/>
  <c r="M6" i="14" s="1"/>
  <c r="N6" i="14" s="1"/>
  <c r="D6" i="14"/>
  <c r="J6" i="14" s="1"/>
  <c r="K5" i="14"/>
  <c r="O5" i="14" s="1"/>
  <c r="D5" i="14"/>
  <c r="E5" i="14" s="1"/>
  <c r="F5" i="14" s="1"/>
  <c r="K4" i="14"/>
  <c r="M4" i="14" s="1"/>
  <c r="N4" i="14" s="1"/>
  <c r="D4" i="14"/>
  <c r="E4" i="14" s="1"/>
  <c r="F4" i="14" s="1"/>
  <c r="L10" i="14" l="1"/>
  <c r="L11" i="14"/>
  <c r="O10" i="14"/>
  <c r="S10" i="14" s="1"/>
  <c r="O11" i="14"/>
  <c r="S11" i="14" s="1"/>
  <c r="O9" i="14"/>
  <c r="R9" i="14" s="1"/>
  <c r="L14" i="14"/>
  <c r="AE14" i="14" s="1"/>
  <c r="M12" i="14"/>
  <c r="N12" i="14" s="1"/>
  <c r="M19" i="14"/>
  <c r="N19" i="14" s="1"/>
  <c r="M15" i="14"/>
  <c r="N15" i="14" s="1"/>
  <c r="M11" i="14"/>
  <c r="N11" i="14" s="1"/>
  <c r="M7" i="14"/>
  <c r="N7" i="14" s="1"/>
  <c r="L9" i="14"/>
  <c r="AA9" i="14" s="1"/>
  <c r="M18" i="14"/>
  <c r="N18" i="14" s="1"/>
  <c r="M21" i="14"/>
  <c r="N21" i="14" s="1"/>
  <c r="M17" i="14"/>
  <c r="N17" i="14" s="1"/>
  <c r="M5" i="14"/>
  <c r="N5" i="14" s="1"/>
  <c r="E19" i="14"/>
  <c r="F19" i="14" s="1"/>
  <c r="E9" i="14"/>
  <c r="F9" i="14" s="1"/>
  <c r="J5" i="14"/>
  <c r="L5" i="14" s="1"/>
  <c r="AA5" i="14" s="1"/>
  <c r="O6" i="14"/>
  <c r="E14" i="14"/>
  <c r="F14" i="14" s="1"/>
  <c r="O14" i="14"/>
  <c r="R14" i="14" s="1"/>
  <c r="L15" i="14"/>
  <c r="AA15" i="14" s="1"/>
  <c r="L6" i="14"/>
  <c r="AE6" i="14" s="1"/>
  <c r="J23" i="14"/>
  <c r="K23" i="14" s="1"/>
  <c r="L18" i="14"/>
  <c r="AA18" i="14" s="1"/>
  <c r="E18" i="14"/>
  <c r="F18" i="14" s="1"/>
  <c r="L19" i="14"/>
  <c r="AE19" i="14" s="1"/>
  <c r="E6" i="14"/>
  <c r="F6" i="14" s="1"/>
  <c r="E7" i="14"/>
  <c r="F7" i="14" s="1"/>
  <c r="E15" i="14"/>
  <c r="F15" i="14" s="1"/>
  <c r="J17" i="14"/>
  <c r="R17" i="14" s="1"/>
  <c r="J21" i="14"/>
  <c r="R21" i="14" s="1"/>
  <c r="E10" i="14"/>
  <c r="F10" i="14" s="1"/>
  <c r="R7" i="14"/>
  <c r="AE10" i="14"/>
  <c r="AA10" i="14"/>
  <c r="J20" i="14"/>
  <c r="L20" i="14" s="1"/>
  <c r="E20" i="14"/>
  <c r="F20" i="14" s="1"/>
  <c r="J8" i="14"/>
  <c r="L8" i="14" s="1"/>
  <c r="X17" i="14"/>
  <c r="S17" i="14"/>
  <c r="J4" i="14"/>
  <c r="L4" i="14" s="1"/>
  <c r="L7" i="14"/>
  <c r="O8" i="14"/>
  <c r="AE11" i="14"/>
  <c r="AA11" i="14"/>
  <c r="R12" i="14"/>
  <c r="T12" i="14" s="1"/>
  <c r="X12" i="14"/>
  <c r="J13" i="14"/>
  <c r="L13" i="14" s="1"/>
  <c r="J16" i="14"/>
  <c r="L16" i="14" s="1"/>
  <c r="E16" i="14"/>
  <c r="F16" i="14" s="1"/>
  <c r="R18" i="14"/>
  <c r="X18" i="14"/>
  <c r="S18" i="14"/>
  <c r="X7" i="14"/>
  <c r="E12" i="14"/>
  <c r="F12" i="14" s="1"/>
  <c r="AA14" i="14"/>
  <c r="O20" i="14"/>
  <c r="O4" i="14"/>
  <c r="X5" i="14"/>
  <c r="S5" i="14"/>
  <c r="S7" i="14"/>
  <c r="L12" i="14"/>
  <c r="O13" i="14"/>
  <c r="O16" i="14"/>
  <c r="S21" i="14"/>
  <c r="X21" i="14"/>
  <c r="R15" i="14"/>
  <c r="R19" i="14"/>
  <c r="S15" i="14"/>
  <c r="S19" i="14"/>
  <c r="L8" i="12"/>
  <c r="O8" i="12" s="1"/>
  <c r="P6" i="11"/>
  <c r="Q6" i="11" s="1"/>
  <c r="T6" i="11" s="1"/>
  <c r="V5" i="11"/>
  <c r="V6" i="11"/>
  <c r="V7" i="11"/>
  <c r="V8" i="11"/>
  <c r="V9" i="11"/>
  <c r="V10" i="11"/>
  <c r="V11" i="11"/>
  <c r="V12" i="11"/>
  <c r="V13" i="11"/>
  <c r="V14" i="11"/>
  <c r="V15" i="11"/>
  <c r="V16" i="11"/>
  <c r="V17" i="11"/>
  <c r="V18" i="11"/>
  <c r="V19" i="11"/>
  <c r="V20" i="11"/>
  <c r="V21" i="11"/>
  <c r="V4" i="11"/>
  <c r="P5" i="11"/>
  <c r="Q5" i="11" s="1"/>
  <c r="S5" i="11" s="1"/>
  <c r="P7" i="11"/>
  <c r="Q7" i="11" s="1"/>
  <c r="P8" i="11"/>
  <c r="Q8" i="11" s="1"/>
  <c r="P9" i="11"/>
  <c r="Q9" i="11" s="1"/>
  <c r="S9" i="11" s="1"/>
  <c r="P10" i="11"/>
  <c r="Q10" i="11" s="1"/>
  <c r="T10" i="11" s="1"/>
  <c r="P11" i="11"/>
  <c r="Q11" i="11" s="1"/>
  <c r="P12" i="11"/>
  <c r="Q12" i="11" s="1"/>
  <c r="P13" i="11"/>
  <c r="Q13" i="11" s="1"/>
  <c r="T13" i="11" s="1"/>
  <c r="P14" i="11"/>
  <c r="Q14" i="11" s="1"/>
  <c r="T14" i="11" s="1"/>
  <c r="P15" i="11"/>
  <c r="Q15" i="11" s="1"/>
  <c r="P16" i="11"/>
  <c r="Q16" i="11" s="1"/>
  <c r="P17" i="11"/>
  <c r="Q17" i="11" s="1"/>
  <c r="T17" i="11" s="1"/>
  <c r="P18" i="11"/>
  <c r="Q18" i="11" s="1"/>
  <c r="T18" i="11" s="1"/>
  <c r="P19" i="11"/>
  <c r="Q19" i="11" s="1"/>
  <c r="P20" i="11"/>
  <c r="Q20" i="11" s="1"/>
  <c r="S20" i="11" s="1"/>
  <c r="P21" i="11"/>
  <c r="Q21" i="11" s="1"/>
  <c r="S21" i="11" s="1"/>
  <c r="P4" i="11"/>
  <c r="L11" i="12"/>
  <c r="F11" i="12"/>
  <c r="G11" i="12" s="1"/>
  <c r="P25" i="13"/>
  <c r="P24" i="13"/>
  <c r="P23" i="13"/>
  <c r="P22" i="13"/>
  <c r="P21" i="13"/>
  <c r="P20" i="13"/>
  <c r="P19" i="13"/>
  <c r="P18" i="13"/>
  <c r="P17" i="13"/>
  <c r="P16" i="13"/>
  <c r="P15" i="13"/>
  <c r="P14" i="13"/>
  <c r="P13" i="13"/>
  <c r="P12" i="13"/>
  <c r="P11" i="13"/>
  <c r="P10" i="13"/>
  <c r="P9" i="13"/>
  <c r="P8" i="13"/>
  <c r="P7" i="13"/>
  <c r="P6" i="13"/>
  <c r="N4" i="13"/>
  <c r="O4" i="13" s="1"/>
  <c r="P4" i="13" s="1"/>
  <c r="E21" i="12"/>
  <c r="F21" i="12" s="1"/>
  <c r="E20" i="12"/>
  <c r="F20" i="12" s="1"/>
  <c r="E19" i="12"/>
  <c r="F19" i="12" s="1"/>
  <c r="E18" i="12"/>
  <c r="F18" i="12" s="1"/>
  <c r="E17" i="12"/>
  <c r="F17" i="12" s="1"/>
  <c r="E16" i="12"/>
  <c r="F16" i="12" s="1"/>
  <c r="E15" i="12"/>
  <c r="F15" i="12" s="1"/>
  <c r="E14" i="12"/>
  <c r="F14" i="12" s="1"/>
  <c r="E13" i="12"/>
  <c r="F13" i="12" s="1"/>
  <c r="E12" i="12"/>
  <c r="F12" i="12" s="1"/>
  <c r="E10" i="12"/>
  <c r="F10" i="12" s="1"/>
  <c r="E9" i="12"/>
  <c r="F9" i="12" s="1"/>
  <c r="E8" i="12"/>
  <c r="F8" i="12" s="1"/>
  <c r="E7" i="12"/>
  <c r="F7" i="12" s="1"/>
  <c r="E6" i="12"/>
  <c r="F6" i="12" s="1"/>
  <c r="E5" i="12"/>
  <c r="F5" i="12" s="1"/>
  <c r="E4" i="12"/>
  <c r="F4" i="12" s="1"/>
  <c r="U25" i="13"/>
  <c r="V25" i="13" s="1"/>
  <c r="W25" i="13" s="1"/>
  <c r="U24" i="13"/>
  <c r="V24" i="13" s="1"/>
  <c r="W24" i="13" s="1"/>
  <c r="U23" i="13"/>
  <c r="V23" i="13" s="1"/>
  <c r="W23" i="13" s="1"/>
  <c r="U22" i="13"/>
  <c r="V22" i="13" s="1"/>
  <c r="W22" i="13" s="1"/>
  <c r="U21" i="13"/>
  <c r="V21" i="13" s="1"/>
  <c r="W21" i="13" s="1"/>
  <c r="U20" i="13"/>
  <c r="V20" i="13" s="1"/>
  <c r="W20" i="13" s="1"/>
  <c r="U19" i="13"/>
  <c r="V19" i="13" s="1"/>
  <c r="W19" i="13" s="1"/>
  <c r="U18" i="13"/>
  <c r="V18" i="13" s="1"/>
  <c r="W18" i="13" s="1"/>
  <c r="U17" i="13"/>
  <c r="V17" i="13" s="1"/>
  <c r="W17" i="13" s="1"/>
  <c r="U16" i="13"/>
  <c r="V16" i="13" s="1"/>
  <c r="W16" i="13" s="1"/>
  <c r="U15" i="13"/>
  <c r="V15" i="13" s="1"/>
  <c r="W15" i="13" s="1"/>
  <c r="U14" i="13"/>
  <c r="V14" i="13" s="1"/>
  <c r="W14" i="13" s="1"/>
  <c r="U13" i="13"/>
  <c r="V13" i="13" s="1"/>
  <c r="W13" i="13" s="1"/>
  <c r="U12" i="13"/>
  <c r="V12" i="13" s="1"/>
  <c r="W12" i="13" s="1"/>
  <c r="U11" i="13"/>
  <c r="V11" i="13" s="1"/>
  <c r="W11" i="13" s="1"/>
  <c r="U10" i="13"/>
  <c r="V10" i="13" s="1"/>
  <c r="W10" i="13" s="1"/>
  <c r="U9" i="13"/>
  <c r="V9" i="13" s="1"/>
  <c r="W9" i="13" s="1"/>
  <c r="U8" i="13"/>
  <c r="V8" i="13" s="1"/>
  <c r="W8" i="13" s="1"/>
  <c r="U7" i="13"/>
  <c r="V7" i="13" s="1"/>
  <c r="W7" i="13" s="1"/>
  <c r="U6" i="13"/>
  <c r="V6" i="13" s="1"/>
  <c r="W6" i="13" s="1"/>
  <c r="U5" i="13"/>
  <c r="U4" i="13"/>
  <c r="V4" i="13" s="1"/>
  <c r="W4" i="13" s="1"/>
  <c r="X10" i="14" l="1"/>
  <c r="AE9" i="14"/>
  <c r="X11" i="14"/>
  <c r="R10" i="14"/>
  <c r="AE15" i="14"/>
  <c r="R11" i="14"/>
  <c r="T11" i="14" s="1"/>
  <c r="V11" i="14" s="1"/>
  <c r="T18" i="14"/>
  <c r="AF18" i="14" s="1"/>
  <c r="T5" i="11"/>
  <c r="S14" i="14"/>
  <c r="T14" i="14" s="1"/>
  <c r="V14" i="14" s="1"/>
  <c r="T17" i="14"/>
  <c r="AF17" i="14" s="1"/>
  <c r="S17" i="11"/>
  <c r="X14" i="14"/>
  <c r="X9" i="14"/>
  <c r="AA6" i="14"/>
  <c r="AE5" i="14"/>
  <c r="R5" i="14"/>
  <c r="T5" i="14" s="1"/>
  <c r="V5" i="14" s="1"/>
  <c r="S6" i="14"/>
  <c r="R24" i="14"/>
  <c r="R25" i="14" s="1"/>
  <c r="R26" i="14" s="1"/>
  <c r="R27" i="14" s="1"/>
  <c r="S9" i="14"/>
  <c r="T9" i="14" s="1"/>
  <c r="T10" i="14"/>
  <c r="V10" i="14" s="1"/>
  <c r="U8" i="12"/>
  <c r="L27" i="12" s="1"/>
  <c r="O27" i="12" s="1"/>
  <c r="P27" i="12" s="1"/>
  <c r="Q27" i="12" s="1"/>
  <c r="S8" i="12"/>
  <c r="AA8" i="12"/>
  <c r="AD14" i="12" s="1"/>
  <c r="AH15" i="12" s="1"/>
  <c r="O11" i="12"/>
  <c r="M30" i="12" s="1"/>
  <c r="L17" i="14"/>
  <c r="AA17" i="14" s="1"/>
  <c r="AA19" i="14"/>
  <c r="R21" i="11"/>
  <c r="T21" i="11"/>
  <c r="T20" i="11"/>
  <c r="R20" i="11"/>
  <c r="R19" i="11"/>
  <c r="S19" i="11"/>
  <c r="T19" i="11"/>
  <c r="S18" i="11"/>
  <c r="R18" i="11"/>
  <c r="R17" i="11"/>
  <c r="S16" i="11"/>
  <c r="R16" i="11"/>
  <c r="T16" i="11"/>
  <c r="T15" i="11"/>
  <c r="S15" i="11"/>
  <c r="R15" i="11"/>
  <c r="R14" i="11"/>
  <c r="S14" i="11"/>
  <c r="S13" i="11"/>
  <c r="R13" i="11"/>
  <c r="S12" i="11"/>
  <c r="R12" i="11"/>
  <c r="T12" i="11"/>
  <c r="S11" i="11"/>
  <c r="T11" i="11"/>
  <c r="R11" i="11"/>
  <c r="R10" i="11"/>
  <c r="S10" i="11"/>
  <c r="R9" i="11"/>
  <c r="T9" i="11"/>
  <c r="S8" i="11"/>
  <c r="R8" i="11"/>
  <c r="T8" i="11"/>
  <c r="R7" i="11"/>
  <c r="S7" i="11"/>
  <c r="T7" i="11"/>
  <c r="R5" i="11"/>
  <c r="X6" i="14"/>
  <c r="T7" i="14"/>
  <c r="V7" i="14" s="1"/>
  <c r="R6" i="14"/>
  <c r="AE18" i="14"/>
  <c r="T21" i="14"/>
  <c r="AB21" i="14" s="1"/>
  <c r="T15" i="14"/>
  <c r="U15" i="14" s="1"/>
  <c r="L21" i="14"/>
  <c r="AA21" i="14" s="1"/>
  <c r="T19" i="14"/>
  <c r="V19" i="14" s="1"/>
  <c r="AA4" i="14"/>
  <c r="AE4" i="14"/>
  <c r="AE16" i="14"/>
  <c r="AA16" i="14"/>
  <c r="AA13" i="14"/>
  <c r="AE13" i="14"/>
  <c r="AA8" i="14"/>
  <c r="AE8" i="14"/>
  <c r="AE12" i="14"/>
  <c r="V12" i="14"/>
  <c r="AA12" i="14"/>
  <c r="AE7" i="14"/>
  <c r="AA7" i="14"/>
  <c r="AE20" i="14"/>
  <c r="AA20" i="14"/>
  <c r="R20" i="14"/>
  <c r="X20" i="14"/>
  <c r="S20" i="14"/>
  <c r="AB12" i="14"/>
  <c r="U12" i="14"/>
  <c r="AF12" i="14"/>
  <c r="X4" i="14"/>
  <c r="S4" i="14"/>
  <c r="R4" i="14"/>
  <c r="R16" i="14"/>
  <c r="X16" i="14"/>
  <c r="S16" i="14"/>
  <c r="X13" i="14"/>
  <c r="S13" i="14"/>
  <c r="R13" i="14"/>
  <c r="R8" i="14"/>
  <c r="S8" i="14"/>
  <c r="X8" i="14"/>
  <c r="M11" i="12"/>
  <c r="S6" i="11"/>
  <c r="R6" i="11"/>
  <c r="G19" i="12"/>
  <c r="G15" i="12"/>
  <c r="P5" i="13"/>
  <c r="G12" i="12"/>
  <c r="G16" i="12"/>
  <c r="G20" i="12"/>
  <c r="G4" i="12"/>
  <c r="G6" i="12"/>
  <c r="G10" i="12"/>
  <c r="G5" i="12"/>
  <c r="G7" i="12"/>
  <c r="G8" i="12"/>
  <c r="G13" i="12"/>
  <c r="G17" i="12"/>
  <c r="G21" i="12"/>
  <c r="G9" i="12"/>
  <c r="G14" i="12"/>
  <c r="G18" i="12"/>
  <c r="V5" i="13"/>
  <c r="W5" i="13" s="1"/>
  <c r="W5" i="11" l="1"/>
  <c r="V18" i="14"/>
  <c r="AB18" i="14"/>
  <c r="U18" i="14"/>
  <c r="AB11" i="14"/>
  <c r="AF11" i="14"/>
  <c r="T6" i="14"/>
  <c r="V6" i="14" s="1"/>
  <c r="U11" i="14"/>
  <c r="U17" i="14"/>
  <c r="AB17" i="14"/>
  <c r="W17" i="11"/>
  <c r="U7" i="14"/>
  <c r="W18" i="11"/>
  <c r="T4" i="14"/>
  <c r="V4" i="14" s="1"/>
  <c r="W13" i="11"/>
  <c r="W20" i="11"/>
  <c r="AB10" i="14"/>
  <c r="V17" i="14"/>
  <c r="M27" i="12"/>
  <c r="V9" i="14"/>
  <c r="AB9" i="14"/>
  <c r="AF9" i="14"/>
  <c r="U9" i="14"/>
  <c r="U10" i="14"/>
  <c r="AF10" i="14"/>
  <c r="W6" i="11"/>
  <c r="T20" i="14"/>
  <c r="U20" i="14" s="1"/>
  <c r="W11" i="11"/>
  <c r="U11" i="12"/>
  <c r="AG15" i="12"/>
  <c r="AH16" i="12"/>
  <c r="AF14" i="12"/>
  <c r="AG16" i="12"/>
  <c r="Z11" i="12"/>
  <c r="AA11" i="12"/>
  <c r="AF5" i="14"/>
  <c r="AE17" i="14"/>
  <c r="U14" i="14"/>
  <c r="AF21" i="14"/>
  <c r="U5" i="14"/>
  <c r="AB14" i="14"/>
  <c r="AB7" i="14"/>
  <c r="AF14" i="14"/>
  <c r="AF7" i="14"/>
  <c r="U19" i="14"/>
  <c r="AB5" i="14"/>
  <c r="T11" i="12"/>
  <c r="S11" i="12"/>
  <c r="R11" i="12"/>
  <c r="AB15" i="14"/>
  <c r="AF15" i="14"/>
  <c r="T16" i="14"/>
  <c r="AF16" i="14" s="1"/>
  <c r="V15" i="14"/>
  <c r="V21" i="14"/>
  <c r="W21" i="11"/>
  <c r="W19" i="11"/>
  <c r="W16" i="11"/>
  <c r="W15" i="11"/>
  <c r="W14" i="11"/>
  <c r="W12" i="11"/>
  <c r="W10" i="11"/>
  <c r="W9" i="11"/>
  <c r="W8" i="11"/>
  <c r="W7" i="11"/>
  <c r="U21" i="14"/>
  <c r="AE21" i="14"/>
  <c r="AB19" i="14"/>
  <c r="T8" i="14"/>
  <c r="V8" i="14" s="1"/>
  <c r="AF19" i="14"/>
  <c r="T13" i="14"/>
  <c r="AB13" i="14" s="1"/>
  <c r="AA22" i="14"/>
  <c r="L10" i="12"/>
  <c r="L21" i="12"/>
  <c r="O21" i="12" s="1"/>
  <c r="L13" i="12"/>
  <c r="O13" i="12" s="1"/>
  <c r="M32" i="12" s="1"/>
  <c r="L18" i="12"/>
  <c r="O18" i="12" s="1"/>
  <c r="L12" i="12"/>
  <c r="O12" i="12" s="1"/>
  <c r="M31" i="12" s="1"/>
  <c r="Z7" i="12"/>
  <c r="Z8" i="12"/>
  <c r="L5" i="12"/>
  <c r="K15" i="12"/>
  <c r="K16" i="12"/>
  <c r="K20" i="12"/>
  <c r="K21" i="12"/>
  <c r="K12" i="12"/>
  <c r="K6" i="12"/>
  <c r="K7" i="12"/>
  <c r="K14" i="12"/>
  <c r="K18" i="12"/>
  <c r="K4" i="12"/>
  <c r="R4" i="12" s="1"/>
  <c r="K5" i="12"/>
  <c r="K8" i="12"/>
  <c r="R8" i="12" s="1"/>
  <c r="K10" i="12"/>
  <c r="K13" i="12"/>
  <c r="K17" i="12"/>
  <c r="K19" i="12"/>
  <c r="F23" i="13"/>
  <c r="G23" i="13" s="1"/>
  <c r="H23" i="13" s="1"/>
  <c r="F22" i="13"/>
  <c r="G22" i="13" s="1"/>
  <c r="H22" i="13" s="1"/>
  <c r="F21" i="13"/>
  <c r="G21" i="13" s="1"/>
  <c r="H21" i="13" s="1"/>
  <c r="F20" i="13"/>
  <c r="G20" i="13" s="1"/>
  <c r="H20" i="13" s="1"/>
  <c r="F19" i="13"/>
  <c r="G19" i="13" s="1"/>
  <c r="H19" i="13" s="1"/>
  <c r="F18" i="13"/>
  <c r="G18" i="13" s="1"/>
  <c r="H18" i="13" s="1"/>
  <c r="F17" i="13"/>
  <c r="G17" i="13" s="1"/>
  <c r="H17" i="13" s="1"/>
  <c r="F16" i="13"/>
  <c r="G16" i="13" s="1"/>
  <c r="H16" i="13" s="1"/>
  <c r="F15" i="13"/>
  <c r="G15" i="13" s="1"/>
  <c r="H15" i="13" s="1"/>
  <c r="F14" i="13"/>
  <c r="G14" i="13" s="1"/>
  <c r="H14" i="13" s="1"/>
  <c r="F13" i="13"/>
  <c r="G13" i="13" s="1"/>
  <c r="H13" i="13" s="1"/>
  <c r="F12" i="13"/>
  <c r="G12" i="13" s="1"/>
  <c r="H12" i="13" s="1"/>
  <c r="F11" i="13"/>
  <c r="G11" i="13" s="1"/>
  <c r="H11" i="13" s="1"/>
  <c r="F10" i="13"/>
  <c r="G10" i="13" s="1"/>
  <c r="H10" i="13" s="1"/>
  <c r="F9" i="13"/>
  <c r="G9" i="13" s="1"/>
  <c r="H9" i="13" s="1"/>
  <c r="F8" i="13"/>
  <c r="G8" i="13" s="1"/>
  <c r="H8" i="13" s="1"/>
  <c r="F6" i="13"/>
  <c r="G6" i="13" s="1"/>
  <c r="H6" i="13" s="1"/>
  <c r="F5" i="13"/>
  <c r="F4" i="13"/>
  <c r="G4" i="13" s="1"/>
  <c r="H4" i="13" s="1"/>
  <c r="AB20" i="14" l="1"/>
  <c r="U6" i="14"/>
  <c r="AB6" i="14"/>
  <c r="AF6" i="14"/>
  <c r="AF4" i="14"/>
  <c r="U4" i="14"/>
  <c r="AB4" i="14"/>
  <c r="V20" i="14"/>
  <c r="AF20" i="14"/>
  <c r="O30" i="12"/>
  <c r="P30" i="12" s="1"/>
  <c r="Q30" i="12" s="1"/>
  <c r="U18" i="12"/>
  <c r="L37" i="12" s="1"/>
  <c r="M37" i="12" s="1"/>
  <c r="U13" i="12"/>
  <c r="O32" i="12" s="1"/>
  <c r="P32" i="12" s="1"/>
  <c r="Q32" i="12" s="1"/>
  <c r="U21" i="12"/>
  <c r="L40" i="12" s="1"/>
  <c r="O40" i="12" s="1"/>
  <c r="P40" i="12" s="1"/>
  <c r="Q40" i="12" s="1"/>
  <c r="U12" i="12"/>
  <c r="O31" i="12" s="1"/>
  <c r="P31" i="12" s="1"/>
  <c r="Q31" i="12" s="1"/>
  <c r="U16" i="14"/>
  <c r="AB16" i="14"/>
  <c r="V13" i="14"/>
  <c r="AF16" i="12"/>
  <c r="AI16" i="12" s="1"/>
  <c r="AF15" i="12"/>
  <c r="AI15" i="12" s="1"/>
  <c r="S21" i="12"/>
  <c r="AA21" i="12"/>
  <c r="S12" i="12"/>
  <c r="AA12" i="12"/>
  <c r="S13" i="12"/>
  <c r="AA13" i="12"/>
  <c r="S18" i="12"/>
  <c r="AA18" i="12"/>
  <c r="V11" i="12"/>
  <c r="W11" i="12" s="1"/>
  <c r="AE22" i="14"/>
  <c r="O10" i="12"/>
  <c r="M29" i="12" s="1"/>
  <c r="O5" i="12"/>
  <c r="M24" i="12" s="1"/>
  <c r="V16" i="14"/>
  <c r="AF13" i="14"/>
  <c r="U13" i="14"/>
  <c r="AF8" i="14"/>
  <c r="U8" i="14"/>
  <c r="AB8" i="14"/>
  <c r="Z4" i="12"/>
  <c r="Z12" i="12"/>
  <c r="Z18" i="12"/>
  <c r="Z13" i="12"/>
  <c r="M5" i="12"/>
  <c r="M18" i="12"/>
  <c r="M10" i="12"/>
  <c r="M12" i="12"/>
  <c r="M8" i="12"/>
  <c r="M13" i="12"/>
  <c r="M21" i="12"/>
  <c r="M7" i="12"/>
  <c r="M4" i="12"/>
  <c r="L20" i="12"/>
  <c r="O20" i="12" s="1"/>
  <c r="L19" i="12"/>
  <c r="O19" i="12" s="1"/>
  <c r="L17" i="12"/>
  <c r="O17" i="12" s="1"/>
  <c r="L16" i="12"/>
  <c r="O16" i="12" s="1"/>
  <c r="L15" i="12"/>
  <c r="O15" i="12" s="1"/>
  <c r="L14" i="12"/>
  <c r="O14" i="12" s="1"/>
  <c r="M33" i="12" s="1"/>
  <c r="L9" i="12"/>
  <c r="L6" i="12"/>
  <c r="M25" i="12" s="1"/>
  <c r="Z21" i="12"/>
  <c r="K9" i="12"/>
  <c r="G5" i="13"/>
  <c r="H5" i="13" s="1"/>
  <c r="F7" i="13"/>
  <c r="G7" i="13" s="1"/>
  <c r="H7" i="13" s="1"/>
  <c r="AI25" i="13"/>
  <c r="AJ25" i="13" s="1"/>
  <c r="AK25" i="13" s="1"/>
  <c r="AI24" i="13"/>
  <c r="AJ24" i="13" s="1"/>
  <c r="AK24" i="13" s="1"/>
  <c r="AI23" i="13"/>
  <c r="AJ23" i="13" s="1"/>
  <c r="AK23" i="13" s="1"/>
  <c r="AI22" i="13"/>
  <c r="AJ22" i="13" s="1"/>
  <c r="AK22" i="13" s="1"/>
  <c r="AI21" i="13"/>
  <c r="AJ21" i="13" s="1"/>
  <c r="AK21" i="13" s="1"/>
  <c r="AI20" i="13"/>
  <c r="AJ20" i="13" s="1"/>
  <c r="AK20" i="13" s="1"/>
  <c r="AI19" i="13"/>
  <c r="AJ19" i="13" s="1"/>
  <c r="AK19" i="13" s="1"/>
  <c r="AI18" i="13"/>
  <c r="AJ18" i="13" s="1"/>
  <c r="AK18" i="13" s="1"/>
  <c r="AI17" i="13"/>
  <c r="AJ17" i="13" s="1"/>
  <c r="AK17" i="13" s="1"/>
  <c r="AI16" i="13"/>
  <c r="AJ16" i="13" s="1"/>
  <c r="AK16" i="13" s="1"/>
  <c r="AI15" i="13"/>
  <c r="AJ15" i="13" s="1"/>
  <c r="AK15" i="13" s="1"/>
  <c r="AI14" i="13"/>
  <c r="AJ14" i="13" s="1"/>
  <c r="AK14" i="13" s="1"/>
  <c r="AI13" i="13"/>
  <c r="AJ13" i="13" s="1"/>
  <c r="AK13" i="13" s="1"/>
  <c r="AI12" i="13"/>
  <c r="AJ12" i="13" s="1"/>
  <c r="AK12" i="13" s="1"/>
  <c r="AI11" i="13"/>
  <c r="AJ11" i="13" s="1"/>
  <c r="AK11" i="13" s="1"/>
  <c r="AI10" i="13"/>
  <c r="AJ10" i="13" s="1"/>
  <c r="AK10" i="13" s="1"/>
  <c r="AI9" i="13"/>
  <c r="AJ9" i="13" s="1"/>
  <c r="AK9" i="13" s="1"/>
  <c r="AI8" i="13"/>
  <c r="AJ8" i="13" s="1"/>
  <c r="AK8" i="13" s="1"/>
  <c r="AI6" i="13"/>
  <c r="AJ6" i="13" s="1"/>
  <c r="AK6" i="13" s="1"/>
  <c r="AI4" i="13"/>
  <c r="AJ4" i="13" s="1"/>
  <c r="AK4" i="13" s="1"/>
  <c r="AB7" i="13"/>
  <c r="AC7" i="13" s="1"/>
  <c r="AD7" i="13" s="1"/>
  <c r="AB5" i="13"/>
  <c r="AC5" i="13" s="1"/>
  <c r="AD5" i="13" s="1"/>
  <c r="AB15" i="13"/>
  <c r="AC15" i="13" s="1"/>
  <c r="AD15" i="13" s="1"/>
  <c r="AB16" i="13"/>
  <c r="AC16" i="13" s="1"/>
  <c r="AD16" i="13" s="1"/>
  <c r="AB17" i="13"/>
  <c r="AC17" i="13" s="1"/>
  <c r="AD17" i="13" s="1"/>
  <c r="AB18" i="13"/>
  <c r="AC18" i="13" s="1"/>
  <c r="AD18" i="13" s="1"/>
  <c r="AB19" i="13"/>
  <c r="AC19" i="13" s="1"/>
  <c r="AD19" i="13" s="1"/>
  <c r="AB20" i="13"/>
  <c r="AC20" i="13" s="1"/>
  <c r="AD20" i="13" s="1"/>
  <c r="AB21" i="13"/>
  <c r="AC21" i="13" s="1"/>
  <c r="AD21" i="13" s="1"/>
  <c r="AB22" i="13"/>
  <c r="AC22" i="13" s="1"/>
  <c r="AD22" i="13" s="1"/>
  <c r="AB23" i="13"/>
  <c r="AC23" i="13" s="1"/>
  <c r="AD23" i="13" s="1"/>
  <c r="AB24" i="13"/>
  <c r="AC24" i="13" s="1"/>
  <c r="AD24" i="13" s="1"/>
  <c r="AB25" i="13"/>
  <c r="AC25" i="13" s="1"/>
  <c r="AD25" i="13" s="1"/>
  <c r="AB6" i="13"/>
  <c r="AC6" i="13" s="1"/>
  <c r="AD6" i="13" s="1"/>
  <c r="AB8" i="13"/>
  <c r="AC8" i="13" s="1"/>
  <c r="AD8" i="13" s="1"/>
  <c r="AB9" i="13"/>
  <c r="AC9" i="13" s="1"/>
  <c r="AD9" i="13" s="1"/>
  <c r="AB10" i="13"/>
  <c r="AC10" i="13" s="1"/>
  <c r="AD10" i="13" s="1"/>
  <c r="AB11" i="13"/>
  <c r="AC11" i="13" s="1"/>
  <c r="AD11" i="13" s="1"/>
  <c r="AB12" i="13"/>
  <c r="AC12" i="13" s="1"/>
  <c r="AD12" i="13" s="1"/>
  <c r="AB13" i="13"/>
  <c r="AC13" i="13" s="1"/>
  <c r="AD13" i="13" s="1"/>
  <c r="AB14" i="13"/>
  <c r="AC14" i="13" s="1"/>
  <c r="AD14" i="13" s="1"/>
  <c r="AB22" i="14" l="1"/>
  <c r="AB23" i="14" s="1"/>
  <c r="M40" i="12"/>
  <c r="O37" i="12"/>
  <c r="P37" i="12" s="1"/>
  <c r="Q37" i="12" s="1"/>
  <c r="U15" i="12"/>
  <c r="L34" i="12" s="1"/>
  <c r="M34" i="12" s="1"/>
  <c r="AA10" i="12"/>
  <c r="AD20" i="12" s="1"/>
  <c r="AH21" i="12" s="1"/>
  <c r="U10" i="12"/>
  <c r="U20" i="12"/>
  <c r="L39" i="12" s="1"/>
  <c r="U6" i="12"/>
  <c r="U17" i="12"/>
  <c r="L36" i="12" s="1"/>
  <c r="AA5" i="12"/>
  <c r="AD7" i="12" s="1"/>
  <c r="AG8" i="12" s="1"/>
  <c r="U5" i="12"/>
  <c r="O24" i="12" s="1"/>
  <c r="P24" i="12" s="1"/>
  <c r="Q24" i="12" s="1"/>
  <c r="U16" i="12"/>
  <c r="L35" i="12" s="1"/>
  <c r="U14" i="12"/>
  <c r="U19" i="12"/>
  <c r="L38" i="12" s="1"/>
  <c r="M38" i="12" s="1"/>
  <c r="X11" i="12"/>
  <c r="S17" i="12"/>
  <c r="AA17" i="12"/>
  <c r="S14" i="12"/>
  <c r="AA14" i="12"/>
  <c r="S15" i="12"/>
  <c r="AA15" i="12"/>
  <c r="S20" i="12"/>
  <c r="AA20" i="12"/>
  <c r="S19" i="12"/>
  <c r="AA19" i="12"/>
  <c r="S16" i="12"/>
  <c r="AA16" i="12"/>
  <c r="Z10" i="12"/>
  <c r="S10" i="12"/>
  <c r="Z5" i="12"/>
  <c r="S5" i="12"/>
  <c r="O9" i="12"/>
  <c r="M28" i="12" s="1"/>
  <c r="AA6" i="12"/>
  <c r="AD10" i="12" s="1"/>
  <c r="AF22" i="14"/>
  <c r="AF23" i="14" s="1"/>
  <c r="Z16" i="12"/>
  <c r="Z17" i="12"/>
  <c r="Z14" i="12"/>
  <c r="Z19" i="12"/>
  <c r="Z15" i="12"/>
  <c r="R13" i="12"/>
  <c r="T13" i="12"/>
  <c r="R12" i="12"/>
  <c r="T12" i="12"/>
  <c r="R7" i="12"/>
  <c r="T7" i="12"/>
  <c r="R18" i="12"/>
  <c r="T18" i="12"/>
  <c r="T4" i="12"/>
  <c r="V4" i="12" s="1"/>
  <c r="R21" i="12"/>
  <c r="T21" i="12"/>
  <c r="T8" i="12"/>
  <c r="R10" i="12"/>
  <c r="T10" i="12"/>
  <c r="R5" i="12"/>
  <c r="T5" i="12"/>
  <c r="M14" i="12"/>
  <c r="M19" i="12"/>
  <c r="M15" i="12"/>
  <c r="M20" i="12"/>
  <c r="M9" i="12"/>
  <c r="M17" i="12"/>
  <c r="M6" i="12"/>
  <c r="M16" i="12"/>
  <c r="AI7" i="13"/>
  <c r="AJ7" i="13" s="1"/>
  <c r="AK7" i="13" s="1"/>
  <c r="AI5" i="13"/>
  <c r="AJ5" i="13" s="1"/>
  <c r="AK5" i="13" s="1"/>
  <c r="R15" i="3"/>
  <c r="AG25" i="3" s="1"/>
  <c r="R14" i="3"/>
  <c r="AG23" i="3" s="1"/>
  <c r="L25" i="3"/>
  <c r="AF7" i="12" l="1"/>
  <c r="AF9" i="12" s="1"/>
  <c r="AH8" i="12"/>
  <c r="AG9" i="12"/>
  <c r="AH9" i="12"/>
  <c r="O36" i="12"/>
  <c r="P36" i="12" s="1"/>
  <c r="Q36" i="12" s="1"/>
  <c r="M36" i="12"/>
  <c r="O39" i="12"/>
  <c r="P39" i="12" s="1"/>
  <c r="Q39" i="12" s="1"/>
  <c r="M39" i="12"/>
  <c r="AG22" i="12"/>
  <c r="AH22" i="12"/>
  <c r="AG21" i="12"/>
  <c r="AF20" i="12"/>
  <c r="AF22" i="12" s="1"/>
  <c r="O35" i="12"/>
  <c r="P35" i="12" s="1"/>
  <c r="Q35" i="12" s="1"/>
  <c r="M35" i="12"/>
  <c r="O29" i="12"/>
  <c r="P29" i="12" s="1"/>
  <c r="Q29" i="12" s="1"/>
  <c r="O33" i="12"/>
  <c r="P33" i="12" s="1"/>
  <c r="Q33" i="12" s="1"/>
  <c r="O25" i="12"/>
  <c r="P25" i="12" s="1"/>
  <c r="Q25" i="12" s="1"/>
  <c r="O34" i="12"/>
  <c r="P34" i="12" s="1"/>
  <c r="Q34" i="12" s="1"/>
  <c r="AA9" i="12"/>
  <c r="AD17" i="12" s="1"/>
  <c r="AH18" i="12" s="1"/>
  <c r="U9" i="12"/>
  <c r="O28" i="12" s="1"/>
  <c r="P28" i="12" s="1"/>
  <c r="Q28" i="12" s="1"/>
  <c r="O38" i="12"/>
  <c r="P38" i="12" s="1"/>
  <c r="Q38" i="12" s="1"/>
  <c r="AG11" i="12"/>
  <c r="AF10" i="12"/>
  <c r="AF11" i="12" s="1"/>
  <c r="AH11" i="12"/>
  <c r="AF8" i="12"/>
  <c r="Z9" i="12"/>
  <c r="S9" i="12"/>
  <c r="Z6" i="12"/>
  <c r="S6" i="12"/>
  <c r="V18" i="12"/>
  <c r="R15" i="12"/>
  <c r="T15" i="12"/>
  <c r="V5" i="12"/>
  <c r="R17" i="12"/>
  <c r="T17" i="12"/>
  <c r="R20" i="12"/>
  <c r="T20" i="12"/>
  <c r="R19" i="12"/>
  <c r="T19" i="12"/>
  <c r="V7" i="12"/>
  <c r="R6" i="12"/>
  <c r="T6" i="12"/>
  <c r="R9" i="12"/>
  <c r="T9" i="12"/>
  <c r="R14" i="12"/>
  <c r="T14" i="12"/>
  <c r="V8" i="12"/>
  <c r="V12" i="12"/>
  <c r="R16" i="12"/>
  <c r="T16" i="12"/>
  <c r="V10" i="12"/>
  <c r="V21" i="12"/>
  <c r="V13" i="12"/>
  <c r="Z20" i="12"/>
  <c r="AG22" i="3"/>
  <c r="AH22" i="3" s="1"/>
  <c r="AI22" i="3" s="1"/>
  <c r="AJ22" i="3" s="1"/>
  <c r="AG24" i="3"/>
  <c r="AH24" i="3" s="1"/>
  <c r="AI24" i="3" s="1"/>
  <c r="AJ24" i="3" s="1"/>
  <c r="AG21" i="3"/>
  <c r="AH21" i="3" s="1"/>
  <c r="AI21" i="3" s="1"/>
  <c r="AJ21" i="3" s="1"/>
  <c r="AG27" i="3"/>
  <c r="AH27" i="3" s="1"/>
  <c r="AI27" i="3" s="1"/>
  <c r="AJ27" i="3" s="1"/>
  <c r="AG26" i="3"/>
  <c r="AH26" i="3" s="1"/>
  <c r="AI26" i="3" s="1"/>
  <c r="AJ26" i="3" s="1"/>
  <c r="AH23" i="3"/>
  <c r="AI23" i="3" s="1"/>
  <c r="AJ23" i="3" s="1"/>
  <c r="AH25" i="3"/>
  <c r="AI25" i="3" s="1"/>
  <c r="AJ25" i="3" s="1"/>
  <c r="E15" i="3"/>
  <c r="E14" i="3"/>
  <c r="AI8" i="12" l="1"/>
  <c r="AI9" i="12"/>
  <c r="AI22" i="12"/>
  <c r="AF21" i="12"/>
  <c r="AI21" i="12" s="1"/>
  <c r="AF17" i="12"/>
  <c r="AF18" i="12" s="1"/>
  <c r="AI18" i="12" s="1"/>
  <c r="AG18" i="12"/>
  <c r="AH19" i="12"/>
  <c r="AG19" i="12"/>
  <c r="AI11" i="12"/>
  <c r="X4" i="12"/>
  <c r="V19" i="12"/>
  <c r="V14" i="12"/>
  <c r="W12" i="12"/>
  <c r="X12" i="12"/>
  <c r="W10" i="12"/>
  <c r="X10" i="12"/>
  <c r="W8" i="12"/>
  <c r="X8" i="12"/>
  <c r="W7" i="12"/>
  <c r="X7" i="12"/>
  <c r="W21" i="12"/>
  <c r="X21" i="12"/>
  <c r="W5" i="12"/>
  <c r="X5" i="12"/>
  <c r="W13" i="12"/>
  <c r="X13" i="12"/>
  <c r="V17" i="12"/>
  <c r="W18" i="12"/>
  <c r="X18" i="12"/>
  <c r="V6" i="12"/>
  <c r="V16" i="12"/>
  <c r="V20" i="12"/>
  <c r="V9" i="12"/>
  <c r="V15" i="12"/>
  <c r="C4" i="10"/>
  <c r="C2" i="10" s="1"/>
  <c r="D4" i="10"/>
  <c r="D2" i="10" s="1"/>
  <c r="E4" i="10"/>
  <c r="E2" i="10" s="1"/>
  <c r="F4" i="10"/>
  <c r="F2" i="10" s="1"/>
  <c r="G4" i="10"/>
  <c r="G2" i="10" s="1"/>
  <c r="H4" i="10"/>
  <c r="H2" i="10" s="1"/>
  <c r="I4" i="10"/>
  <c r="I2" i="10" s="1"/>
  <c r="J4" i="10"/>
  <c r="J2" i="10" s="1"/>
  <c r="K4" i="10"/>
  <c r="K2" i="10" s="1"/>
  <c r="L4" i="10"/>
  <c r="L2" i="10" s="1"/>
  <c r="M4" i="10"/>
  <c r="M2" i="10" s="1"/>
  <c r="N4" i="10"/>
  <c r="N2" i="10" s="1"/>
  <c r="O4" i="10"/>
  <c r="O2" i="10" s="1"/>
  <c r="P4" i="10"/>
  <c r="P2" i="10" s="1"/>
  <c r="Q4" i="10"/>
  <c r="Q2" i="10" s="1"/>
  <c r="R4" i="10"/>
  <c r="R2" i="10" s="1"/>
  <c r="S4" i="10"/>
  <c r="S2" i="10" s="1"/>
  <c r="B4" i="10"/>
  <c r="B2" i="10" s="1"/>
  <c r="T2" i="10" l="1"/>
  <c r="AF19" i="12"/>
  <c r="AI19" i="12" s="1"/>
  <c r="W14" i="12"/>
  <c r="W19" i="12"/>
  <c r="X14" i="12"/>
  <c r="X19" i="12"/>
  <c r="W6" i="12"/>
  <c r="X6" i="12"/>
  <c r="W9" i="12"/>
  <c r="X9" i="12"/>
  <c r="W20" i="12"/>
  <c r="X20" i="12"/>
  <c r="W15" i="12"/>
  <c r="X15" i="12"/>
  <c r="W16" i="12"/>
  <c r="X16" i="12"/>
  <c r="W17" i="12"/>
  <c r="X17" i="12"/>
  <c r="W4" i="12"/>
  <c r="S14" i="3"/>
  <c r="T14" i="3" s="1"/>
  <c r="S15" i="3"/>
  <c r="T15" i="3" s="1"/>
  <c r="E20" i="3"/>
  <c r="E19" i="3"/>
  <c r="N5" i="3" s="1"/>
  <c r="E17" i="3"/>
  <c r="O4" i="3" s="1"/>
  <c r="E16" i="3"/>
  <c r="E13" i="3"/>
  <c r="E12" i="3"/>
  <c r="P25" i="3" s="1"/>
  <c r="E11" i="3"/>
  <c r="P7" i="3" s="1"/>
  <c r="E9" i="3"/>
  <c r="N25" i="3" s="1"/>
  <c r="O5" i="3" l="1"/>
  <c r="P22" i="3" l="1"/>
  <c r="P23" i="3"/>
  <c r="P24" i="3"/>
  <c r="P21" i="3"/>
  <c r="P17" i="3"/>
  <c r="P18" i="3"/>
  <c r="P19" i="3"/>
  <c r="P20" i="3"/>
  <c r="P16" i="3"/>
  <c r="P13" i="3"/>
  <c r="P12" i="3"/>
  <c r="P10" i="3"/>
  <c r="P11" i="3"/>
  <c r="P9" i="3"/>
  <c r="P8" i="3"/>
  <c r="P6" i="3"/>
  <c r="N17" i="3"/>
  <c r="N18" i="3"/>
  <c r="N19" i="3"/>
  <c r="N20" i="3"/>
  <c r="N21" i="3"/>
  <c r="N22" i="3"/>
  <c r="N23" i="3"/>
  <c r="N24" i="3"/>
  <c r="N16" i="3"/>
  <c r="N8" i="3"/>
  <c r="N9" i="3"/>
  <c r="N10" i="3"/>
  <c r="N11" i="3"/>
  <c r="N12" i="3"/>
  <c r="N13" i="3"/>
  <c r="N7" i="3"/>
  <c r="N6" i="3"/>
  <c r="N4" i="3"/>
  <c r="M17" i="3"/>
  <c r="M18" i="3"/>
  <c r="M19" i="3"/>
  <c r="M20" i="3"/>
  <c r="M21" i="3"/>
  <c r="M22" i="3"/>
  <c r="M23" i="3"/>
  <c r="M24" i="3"/>
  <c r="M16" i="3"/>
  <c r="L16" i="3"/>
  <c r="L13" i="3"/>
  <c r="L12" i="3"/>
  <c r="L11" i="3"/>
  <c r="L10" i="3"/>
  <c r="L7" i="3"/>
  <c r="L6" i="3"/>
  <c r="L5" i="3"/>
  <c r="L8" i="3"/>
  <c r="L9" i="3"/>
  <c r="L4" i="3"/>
  <c r="E21" i="3"/>
  <c r="L18" i="3"/>
  <c r="L19" i="3"/>
  <c r="L20" i="3"/>
  <c r="L21" i="3"/>
  <c r="L22" i="3"/>
  <c r="L23" i="3"/>
  <c r="L24" i="3"/>
  <c r="L17" i="3"/>
  <c r="Q17" i="3" s="1"/>
  <c r="R17" i="3" s="1"/>
  <c r="L14" i="3"/>
  <c r="L15" i="3"/>
  <c r="G5" i="3"/>
  <c r="G6" i="3" s="1"/>
  <c r="G7" i="3" s="1"/>
  <c r="G8" i="3" s="1"/>
  <c r="G9" i="3" s="1"/>
  <c r="G10" i="3" s="1"/>
  <c r="G11" i="3" s="1"/>
  <c r="G12" i="3" s="1"/>
  <c r="G13" i="3" s="1"/>
  <c r="G14" i="3" s="1"/>
  <c r="G15" i="3" s="1"/>
  <c r="G16" i="3" s="1"/>
  <c r="G17" i="3" s="1"/>
  <c r="G18" i="3" s="1"/>
  <c r="G19" i="3" s="1"/>
  <c r="G20" i="3" s="1"/>
  <c r="G21" i="3" s="1"/>
  <c r="G22" i="3" s="1"/>
  <c r="G23" i="3" s="1"/>
  <c r="G24" i="3" s="1"/>
  <c r="AD12" i="11"/>
  <c r="AF12" i="11" s="1"/>
  <c r="AA12" i="11"/>
  <c r="AH12" i="11" s="1"/>
  <c r="AD11" i="11"/>
  <c r="AF11" i="11" s="1"/>
  <c r="AA11" i="11"/>
  <c r="AH11" i="11" s="1"/>
  <c r="AD10" i="11"/>
  <c r="AF10" i="11" s="1"/>
  <c r="AA10" i="11"/>
  <c r="AD9" i="11"/>
  <c r="AF9" i="11" s="1"/>
  <c r="AA9" i="11"/>
  <c r="AH9" i="11" s="1"/>
  <c r="AD8" i="11"/>
  <c r="AF8" i="11" s="1"/>
  <c r="AA8" i="11"/>
  <c r="AD7" i="11"/>
  <c r="AF7" i="11" s="1"/>
  <c r="AA7" i="11"/>
  <c r="AH7" i="11" s="1"/>
  <c r="AD6" i="11"/>
  <c r="AF6" i="11" s="1"/>
  <c r="AA6" i="11"/>
  <c r="AD5" i="11"/>
  <c r="AF5" i="11" s="1"/>
  <c r="AA5" i="11"/>
  <c r="AH5" i="11" s="1"/>
  <c r="AD4" i="11"/>
  <c r="AF4" i="11" s="1"/>
  <c r="AA4" i="11"/>
  <c r="Y4" i="11"/>
  <c r="Y5" i="11" s="1"/>
  <c r="Y6" i="11" s="1"/>
  <c r="Y7" i="11" s="1"/>
  <c r="Y8" i="11" s="1"/>
  <c r="Y9" i="11" s="1"/>
  <c r="Y10" i="11" s="1"/>
  <c r="Y11" i="11" s="1"/>
  <c r="Y12" i="11" s="1"/>
  <c r="AD3" i="11"/>
  <c r="AF3" i="11" s="1"/>
  <c r="AA3" i="11"/>
  <c r="AG10" i="11" l="1"/>
  <c r="Q24" i="3"/>
  <c r="R24" i="3" s="1"/>
  <c r="AG20" i="3" s="1"/>
  <c r="AH20" i="3" s="1"/>
  <c r="AI20" i="3" s="1"/>
  <c r="AJ20" i="3" s="1"/>
  <c r="S17" i="3"/>
  <c r="T17" i="3" s="1"/>
  <c r="Q16" i="3"/>
  <c r="R16" i="3" s="1"/>
  <c r="S16" i="3" s="1"/>
  <c r="T16" i="3" s="1"/>
  <c r="AG7" i="3"/>
  <c r="AH7" i="3" s="1"/>
  <c r="AI7" i="3" s="1"/>
  <c r="AJ7" i="3" s="1"/>
  <c r="P4" i="3"/>
  <c r="P5" i="3"/>
  <c r="Q22" i="3"/>
  <c r="R22" i="3" s="1"/>
  <c r="Q23" i="3"/>
  <c r="R23" i="3" s="1"/>
  <c r="AG19" i="3" s="1"/>
  <c r="AH19" i="3" s="1"/>
  <c r="AI19" i="3" s="1"/>
  <c r="AJ19" i="3" s="1"/>
  <c r="Q21" i="3"/>
  <c r="R21" i="3" s="1"/>
  <c r="Q20" i="3"/>
  <c r="R20" i="3" s="1"/>
  <c r="Q19" i="3"/>
  <c r="R19" i="3" s="1"/>
  <c r="AG11" i="3" s="1"/>
  <c r="AH11" i="3" s="1"/>
  <c r="AI11" i="3" s="1"/>
  <c r="AJ11" i="3" s="1"/>
  <c r="Q18" i="3"/>
  <c r="R18" i="3" s="1"/>
  <c r="AG4" i="11"/>
  <c r="AG8" i="11"/>
  <c r="AG5" i="11"/>
  <c r="AI5" i="11" s="1"/>
  <c r="AG9" i="11"/>
  <c r="AI9" i="11" s="1"/>
  <c r="AG6" i="11"/>
  <c r="AG12" i="11"/>
  <c r="AI12" i="11" s="1"/>
  <c r="AG3" i="11"/>
  <c r="AG7" i="11"/>
  <c r="AI7" i="11" s="1"/>
  <c r="AG11" i="11"/>
  <c r="AI11" i="11" s="1"/>
  <c r="AH10" i="11"/>
  <c r="AI10" i="11" s="1"/>
  <c r="Q4" i="11"/>
  <c r="B4" i="7"/>
  <c r="T4" i="11" l="1"/>
  <c r="S4" i="11"/>
  <c r="R4" i="11"/>
  <c r="S24" i="3"/>
  <c r="T24" i="3" s="1"/>
  <c r="AG12" i="3"/>
  <c r="AH12" i="3" s="1"/>
  <c r="AI12" i="3" s="1"/>
  <c r="AJ12" i="3" s="1"/>
  <c r="S23" i="3"/>
  <c r="T23" i="3" s="1"/>
  <c r="S22" i="3"/>
  <c r="T22" i="3" s="1"/>
  <c r="S21" i="3"/>
  <c r="T21" i="3" s="1"/>
  <c r="S19" i="3"/>
  <c r="T19" i="3" s="1"/>
  <c r="AG6" i="3"/>
  <c r="AH6" i="3" s="1"/>
  <c r="AI6" i="3" s="1"/>
  <c r="AJ6" i="3" s="1"/>
  <c r="S18" i="3"/>
  <c r="T18" i="3" s="1"/>
  <c r="AG4" i="3"/>
  <c r="AH4" i="3" s="1"/>
  <c r="AI4" i="3" s="1"/>
  <c r="AJ4" i="3" s="1"/>
  <c r="S20" i="3"/>
  <c r="T20" i="3" s="1"/>
  <c r="AG5" i="3"/>
  <c r="AH5" i="3" s="1"/>
  <c r="AI5" i="3" s="1"/>
  <c r="AJ5" i="3" s="1"/>
  <c r="AG13" i="3"/>
  <c r="AH13" i="3" s="1"/>
  <c r="AI13" i="3" s="1"/>
  <c r="AJ13" i="3" s="1"/>
  <c r="AG14" i="3"/>
  <c r="AH14" i="3" s="1"/>
  <c r="AI14" i="3" s="1"/>
  <c r="AJ14" i="3" s="1"/>
  <c r="AG15" i="3"/>
  <c r="AG18" i="3"/>
  <c r="AG16" i="3"/>
  <c r="AH16" i="3" s="1"/>
  <c r="AI16" i="3" s="1"/>
  <c r="AJ16" i="3" s="1"/>
  <c r="AG17" i="3"/>
  <c r="AH17" i="3" s="1"/>
  <c r="AI17" i="3" s="1"/>
  <c r="AJ17" i="3" s="1"/>
  <c r="AG10" i="3"/>
  <c r="AG8" i="3"/>
  <c r="AG9" i="3"/>
  <c r="AH9" i="3" s="1"/>
  <c r="AI9" i="3" s="1"/>
  <c r="AJ9" i="3" s="1"/>
  <c r="W4" i="11" l="1"/>
  <c r="AH8" i="3"/>
  <c r="AI8" i="3" s="1"/>
  <c r="AJ8" i="3" s="1"/>
  <c r="AH18" i="3"/>
  <c r="AI18" i="3" s="1"/>
  <c r="AJ18" i="3" s="1"/>
  <c r="AH10" i="3"/>
  <c r="AI10" i="3" s="1"/>
  <c r="AJ10" i="3" s="1"/>
  <c r="AH15" i="3"/>
  <c r="AI15" i="3" s="1"/>
  <c r="AJ15" i="3" s="1"/>
  <c r="E7" i="3"/>
  <c r="M25" i="3" s="1"/>
  <c r="Q25" i="3" s="1"/>
  <c r="R25" i="3" s="1"/>
  <c r="S25" i="3" l="1"/>
  <c r="T25" i="3" s="1"/>
  <c r="Z26" i="3"/>
  <c r="M11" i="3"/>
  <c r="Q11" i="3" s="1"/>
  <c r="M6" i="3"/>
  <c r="Q6" i="3" s="1"/>
  <c r="R6" i="3" s="1"/>
  <c r="S6" i="3" s="1"/>
  <c r="T6" i="3" s="1"/>
  <c r="M8" i="3"/>
  <c r="Q8" i="3" s="1"/>
  <c r="R8" i="3" s="1"/>
  <c r="S8" i="3" s="1"/>
  <c r="T8" i="3" s="1"/>
  <c r="M12" i="3"/>
  <c r="Q12" i="3" s="1"/>
  <c r="M5" i="3"/>
  <c r="Q5" i="3" s="1"/>
  <c r="R5" i="3" s="1"/>
  <c r="S5" i="3" s="1"/>
  <c r="T5" i="3" s="1"/>
  <c r="M10" i="3"/>
  <c r="Q10" i="3" s="1"/>
  <c r="R10" i="3" s="1"/>
  <c r="S10" i="3" s="1"/>
  <c r="T10" i="3" s="1"/>
  <c r="M7" i="3"/>
  <c r="Q7" i="3" s="1"/>
  <c r="R7" i="3" s="1"/>
  <c r="M9" i="3"/>
  <c r="Q9" i="3" s="1"/>
  <c r="R9" i="3" s="1"/>
  <c r="S9" i="3" s="1"/>
  <c r="T9" i="3" s="1"/>
  <c r="M13" i="3"/>
  <c r="Q13" i="3" s="1"/>
  <c r="M4" i="3"/>
  <c r="Q4" i="3" s="1"/>
  <c r="R4" i="3" s="1"/>
  <c r="S4" i="3" s="1"/>
  <c r="Z5" i="5"/>
  <c r="Z6" i="5" s="1"/>
  <c r="G15" i="5"/>
  <c r="P16" i="5" s="1"/>
  <c r="G16" i="5"/>
  <c r="P17" i="5" s="1"/>
  <c r="G17" i="5"/>
  <c r="P18" i="5" s="1"/>
  <c r="G18" i="5"/>
  <c r="P19" i="5" s="1"/>
  <c r="G19" i="5"/>
  <c r="P20" i="5" s="1"/>
  <c r="G20" i="5"/>
  <c r="P21" i="5" s="1"/>
  <c r="G21" i="5"/>
  <c r="P22" i="5" s="1"/>
  <c r="F22" i="5"/>
  <c r="F23" i="5"/>
  <c r="F24" i="5"/>
  <c r="F25" i="5"/>
  <c r="F26" i="5"/>
  <c r="F27" i="5"/>
  <c r="F28" i="5"/>
  <c r="F29" i="5"/>
  <c r="F30" i="5"/>
  <c r="F31" i="5"/>
  <c r="G13" i="5"/>
  <c r="P14" i="5" s="1"/>
  <c r="G14" i="5"/>
  <c r="P15" i="5" s="1"/>
  <c r="G11" i="5"/>
  <c r="P12" i="5" s="1"/>
  <c r="G12" i="5"/>
  <c r="P13" i="5" s="1"/>
  <c r="P23" i="5"/>
  <c r="P24" i="5"/>
  <c r="P25" i="5"/>
  <c r="P26" i="5"/>
  <c r="P27" i="5"/>
  <c r="P28" i="5"/>
  <c r="P29" i="5"/>
  <c r="P30" i="5"/>
  <c r="P31" i="5"/>
  <c r="I11" i="5"/>
  <c r="I12" i="5" s="1"/>
  <c r="G10" i="5"/>
  <c r="P11" i="5" s="1"/>
  <c r="G7" i="5"/>
  <c r="P8" i="5" s="1"/>
  <c r="G5" i="5"/>
  <c r="P6" i="5" s="1"/>
  <c r="G6" i="5"/>
  <c r="P7" i="5" s="1"/>
  <c r="G4" i="5"/>
  <c r="P5" i="5" s="1"/>
  <c r="R12" i="3" l="1"/>
  <c r="Z10" i="3"/>
  <c r="AA10" i="3" s="1"/>
  <c r="AB10" i="3" s="1"/>
  <c r="AC10" i="3" s="1"/>
  <c r="S7" i="3"/>
  <c r="T7" i="3" s="1"/>
  <c r="Z9" i="3"/>
  <c r="Z8" i="3"/>
  <c r="Z7" i="3"/>
  <c r="AA7" i="3" s="1"/>
  <c r="AB7" i="3" s="1"/>
  <c r="AC7" i="3" s="1"/>
  <c r="Z6" i="3"/>
  <c r="AA6" i="3" s="1"/>
  <c r="AB6" i="3" s="1"/>
  <c r="AC6" i="3" s="1"/>
  <c r="Z5" i="3"/>
  <c r="AA5" i="3" s="1"/>
  <c r="AB5" i="3" s="1"/>
  <c r="AC5" i="3" s="1"/>
  <c r="Z4" i="3"/>
  <c r="AA4" i="3" s="1"/>
  <c r="AB4" i="3" s="1"/>
  <c r="AC4" i="3" s="1"/>
  <c r="R13" i="3"/>
  <c r="R11" i="3"/>
  <c r="S11" i="3" s="1"/>
  <c r="T11" i="3" s="1"/>
  <c r="Z17" i="3"/>
  <c r="Z15" i="3"/>
  <c r="AA15" i="3" s="1"/>
  <c r="AB15" i="3" s="1"/>
  <c r="AC15" i="3" s="1"/>
  <c r="Z18" i="3"/>
  <c r="Z19" i="3"/>
  <c r="AA19" i="3" s="1"/>
  <c r="AB19" i="3" s="1"/>
  <c r="AC19" i="3" s="1"/>
  <c r="Z16" i="3"/>
  <c r="AA16" i="3" s="1"/>
  <c r="AB16" i="3" s="1"/>
  <c r="AC16" i="3" s="1"/>
  <c r="Z25" i="3"/>
  <c r="Z23" i="3"/>
  <c r="AA23" i="3" s="1"/>
  <c r="AB23" i="3" s="1"/>
  <c r="AC23" i="3" s="1"/>
  <c r="Z24" i="3"/>
  <c r="AA24" i="3" s="1"/>
  <c r="AB24" i="3" s="1"/>
  <c r="AC24" i="3" s="1"/>
  <c r="Z11" i="3"/>
  <c r="AA11" i="3" s="1"/>
  <c r="AB11" i="3" s="1"/>
  <c r="AC11" i="3" s="1"/>
  <c r="Z12" i="3"/>
  <c r="Z14" i="3"/>
  <c r="AA14" i="3" s="1"/>
  <c r="AB14" i="3" s="1"/>
  <c r="AC14" i="3" s="1"/>
  <c r="Z13" i="3"/>
  <c r="AH4" i="11"/>
  <c r="AI4" i="11" s="1"/>
  <c r="AH3" i="11"/>
  <c r="AI3" i="11" s="1"/>
  <c r="AH6" i="11"/>
  <c r="AI6" i="11" s="1"/>
  <c r="E4" i="6"/>
  <c r="I5" i="6"/>
  <c r="I6" i="6" s="1"/>
  <c r="I7" i="6" s="1"/>
  <c r="I8" i="6" s="1"/>
  <c r="I9" i="6" s="1"/>
  <c r="I10" i="6" s="1"/>
  <c r="I11" i="6" s="1"/>
  <c r="I12" i="6" s="1"/>
  <c r="I13" i="6" s="1"/>
  <c r="I14" i="6" s="1"/>
  <c r="I15" i="6" s="1"/>
  <c r="I16" i="6" s="1"/>
  <c r="I17" i="6" s="1"/>
  <c r="I18" i="6" s="1"/>
  <c r="I19" i="6" s="1"/>
  <c r="I20" i="6" s="1"/>
  <c r="I21" i="6" s="1"/>
  <c r="I22" i="6" s="1"/>
  <c r="I23" i="6" s="1"/>
  <c r="I24" i="6" s="1"/>
  <c r="L4" i="6"/>
  <c r="B5" i="6"/>
  <c r="B6" i="6" s="1"/>
  <c r="B7" i="6" s="1"/>
  <c r="B8" i="6" s="1"/>
  <c r="B9" i="6" s="1"/>
  <c r="B10" i="6" s="1"/>
  <c r="B11" i="6" s="1"/>
  <c r="B12" i="6" s="1"/>
  <c r="B13" i="6" s="1"/>
  <c r="B14" i="6" s="1"/>
  <c r="B15" i="6" s="1"/>
  <c r="B16" i="6" s="1"/>
  <c r="B17" i="6" s="1"/>
  <c r="B18" i="6" s="1"/>
  <c r="B19" i="6" s="1"/>
  <c r="B20" i="6" s="1"/>
  <c r="B21" i="6" s="1"/>
  <c r="B22" i="6" s="1"/>
  <c r="B23" i="6" s="1"/>
  <c r="B24" i="6" s="1"/>
  <c r="I5" i="5"/>
  <c r="I6" i="5" s="1"/>
  <c r="F5" i="4"/>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Z20" i="3" l="1"/>
  <c r="AA20" i="3" s="1"/>
  <c r="AB20" i="3" s="1"/>
  <c r="AC20" i="3" s="1"/>
  <c r="Z22" i="3"/>
  <c r="AA22" i="3" s="1"/>
  <c r="AB22" i="3" s="1"/>
  <c r="AC22" i="3" s="1"/>
  <c r="S13" i="3"/>
  <c r="T13" i="3" s="1"/>
  <c r="Z28" i="3"/>
  <c r="AA28" i="3" s="1"/>
  <c r="AB28" i="3" s="1"/>
  <c r="AC28" i="3" s="1"/>
  <c r="Z27" i="3"/>
  <c r="Z21" i="3"/>
  <c r="AA21" i="3" s="1"/>
  <c r="AB21" i="3" s="1"/>
  <c r="AC21" i="3" s="1"/>
  <c r="AA26" i="3"/>
  <c r="AB26" i="3" s="1"/>
  <c r="AC26" i="3" s="1"/>
  <c r="S12" i="3"/>
  <c r="T12" i="3" s="1"/>
  <c r="AA13" i="3"/>
  <c r="AB13" i="3" s="1"/>
  <c r="AC13" i="3" s="1"/>
  <c r="AA18" i="3"/>
  <c r="AB18" i="3" s="1"/>
  <c r="AC18" i="3" s="1"/>
  <c r="AA8" i="3"/>
  <c r="AB8" i="3" s="1"/>
  <c r="AC8" i="3" s="1"/>
  <c r="AA25" i="3"/>
  <c r="AB25" i="3" s="1"/>
  <c r="AC25" i="3" s="1"/>
  <c r="AA12" i="3"/>
  <c r="AB12" i="3" s="1"/>
  <c r="AC12" i="3" s="1"/>
  <c r="AA9" i="3"/>
  <c r="AB9" i="3" s="1"/>
  <c r="AC9" i="3" s="1"/>
  <c r="AA17" i="3"/>
  <c r="AB17" i="3" s="1"/>
  <c r="AC17" i="3" s="1"/>
  <c r="AH8" i="11"/>
  <c r="AI8" i="11" s="1"/>
  <c r="K12" i="4"/>
  <c r="J12" i="4"/>
  <c r="J9" i="4"/>
  <c r="AA27" i="3" l="1"/>
  <c r="AB27" i="3" s="1"/>
  <c r="AC27" i="3" s="1"/>
  <c r="H5" i="4"/>
  <c r="F6" i="4"/>
  <c r="H6" i="4" s="1"/>
  <c r="F7" i="4"/>
  <c r="H7" i="4" s="1"/>
  <c r="F8" i="4"/>
  <c r="H8" i="4" s="1"/>
  <c r="F9" i="4"/>
  <c r="H9" i="4" s="1"/>
  <c r="F10" i="4"/>
  <c r="H10" i="4" s="1"/>
  <c r="F11" i="4"/>
  <c r="H11" i="4" s="1"/>
  <c r="F12" i="4"/>
  <c r="H12" i="4" s="1"/>
  <c r="F13" i="4"/>
  <c r="H13" i="4" s="1"/>
  <c r="F14" i="4"/>
  <c r="H14" i="4" s="1"/>
  <c r="F15" i="4"/>
  <c r="H15" i="4" s="1"/>
  <c r="F16" i="4"/>
  <c r="H16" i="4" s="1"/>
  <c r="F17" i="4"/>
  <c r="H17" i="4" s="1"/>
  <c r="F18" i="4"/>
  <c r="H18" i="4" s="1"/>
  <c r="F19" i="4"/>
  <c r="H19" i="4" s="1"/>
  <c r="F20" i="4"/>
  <c r="H20" i="4" s="1"/>
  <c r="F21" i="4"/>
  <c r="H21" i="4" s="1"/>
  <c r="F22" i="4"/>
  <c r="H22" i="4" s="1"/>
  <c r="F23" i="4"/>
  <c r="H23" i="4" s="1"/>
  <c r="F24" i="4"/>
  <c r="H24" i="4" s="1"/>
  <c r="F25" i="4"/>
  <c r="H25" i="4" s="1"/>
  <c r="F26" i="4"/>
  <c r="H26" i="4" s="1"/>
  <c r="F27" i="4"/>
  <c r="H27" i="4" s="1"/>
  <c r="F28" i="4"/>
  <c r="H28" i="4" s="1"/>
  <c r="G8" i="5" l="1"/>
  <c r="P9" i="5" s="1"/>
  <c r="G9" i="5"/>
  <c r="P10" i="5" s="1"/>
  <c r="AB4" i="13"/>
  <c r="AC4" i="13" s="1"/>
  <c r="AD4" i="13" s="1"/>
  <c r="T4" i="3"/>
</calcChain>
</file>

<file path=xl/sharedStrings.xml><?xml version="1.0" encoding="utf-8"?>
<sst xmlns="http://schemas.openxmlformats.org/spreadsheetml/2006/main" count="816" uniqueCount="462">
  <si>
    <t>꽃지꿈집</t>
    <phoneticPr fontId="1" type="noConversion"/>
  </si>
  <si>
    <t>황토</t>
    <phoneticPr fontId="1" type="noConversion"/>
  </si>
  <si>
    <t>꽃지점보롤</t>
    <phoneticPr fontId="1" type="noConversion"/>
  </si>
  <si>
    <t>부가세 10%</t>
    <phoneticPr fontId="1" type="noConversion"/>
  </si>
  <si>
    <t>카드 수수료 3.5%</t>
    <phoneticPr fontId="1" type="noConversion"/>
  </si>
  <si>
    <t>계좌이체 1.8%</t>
    <phoneticPr fontId="1" type="noConversion"/>
  </si>
  <si>
    <t>가상계좌 건별 300원</t>
    <phoneticPr fontId="1" type="noConversion"/>
  </si>
  <si>
    <t>핸드폰결제 3.75%</t>
    <phoneticPr fontId="1" type="noConversion"/>
  </si>
  <si>
    <t>최종 플러스</t>
    <phoneticPr fontId="1" type="noConversion"/>
  </si>
  <si>
    <t>#</t>
    <phoneticPr fontId="1" type="noConversion"/>
  </si>
  <si>
    <t>상품명</t>
    <phoneticPr fontId="1" type="noConversion"/>
  </si>
  <si>
    <t>가격</t>
    <phoneticPr fontId="1" type="noConversion"/>
  </si>
  <si>
    <t>자연 3팩</t>
    <phoneticPr fontId="1" type="noConversion"/>
  </si>
  <si>
    <t>꿈집 3팩</t>
    <phoneticPr fontId="1" type="noConversion"/>
  </si>
  <si>
    <t>순수 3팩</t>
    <phoneticPr fontId="1" type="noConversion"/>
  </si>
  <si>
    <t>꽃지꿈집 3팩</t>
    <phoneticPr fontId="1" type="noConversion"/>
  </si>
  <si>
    <t>황토 3팩</t>
    <phoneticPr fontId="1" type="noConversion"/>
  </si>
  <si>
    <t>데코꿈집 3팩</t>
    <phoneticPr fontId="1" type="noConversion"/>
  </si>
  <si>
    <t>황토 2팩</t>
    <phoneticPr fontId="1" type="noConversion"/>
  </si>
  <si>
    <t>데코꿈집 2팩</t>
    <phoneticPr fontId="1" type="noConversion"/>
  </si>
  <si>
    <t>꽃지꿈집 2팩</t>
    <phoneticPr fontId="1" type="noConversion"/>
  </si>
  <si>
    <t>새피아 10롤 6팩</t>
    <phoneticPr fontId="1" type="noConversion"/>
  </si>
  <si>
    <t>새피아 10롤 7팩</t>
    <phoneticPr fontId="1" type="noConversion"/>
  </si>
  <si>
    <t>새피아 10롤 8팩</t>
    <phoneticPr fontId="1" type="noConversion"/>
  </si>
  <si>
    <t>새피아 10롤 9팩</t>
    <phoneticPr fontId="1" type="noConversion"/>
  </si>
  <si>
    <t>새피아 10롤 10팩</t>
    <phoneticPr fontId="1" type="noConversion"/>
  </si>
  <si>
    <t>새피아 24롤 3팩</t>
    <phoneticPr fontId="1" type="noConversion"/>
  </si>
  <si>
    <t>새피아 24롤 4팩</t>
    <phoneticPr fontId="1" type="noConversion"/>
  </si>
  <si>
    <t>고급점보롤 160m</t>
    <phoneticPr fontId="1" type="noConversion"/>
  </si>
  <si>
    <t>고급점보롤 180m</t>
    <phoneticPr fontId="1" type="noConversion"/>
  </si>
  <si>
    <t>고급점보롤 200m</t>
    <phoneticPr fontId="1" type="noConversion"/>
  </si>
  <si>
    <t>고급점보롤 300m</t>
    <phoneticPr fontId="1" type="noConversion"/>
  </si>
  <si>
    <t>꽃지점보롤 160m</t>
    <phoneticPr fontId="1" type="noConversion"/>
  </si>
  <si>
    <t>꽃지점보롤 180m</t>
    <phoneticPr fontId="1" type="noConversion"/>
  </si>
  <si>
    <t>꽃지점보롤 200m</t>
    <phoneticPr fontId="1" type="noConversion"/>
  </si>
  <si>
    <t>꽃지점보롤 300m</t>
    <phoneticPr fontId="1" type="noConversion"/>
  </si>
  <si>
    <t>쿠팡</t>
    <phoneticPr fontId="1" type="noConversion"/>
  </si>
  <si>
    <t>택배</t>
    <phoneticPr fontId="1" type="noConversion"/>
  </si>
  <si>
    <t>판매수수료</t>
    <phoneticPr fontId="1" type="noConversion"/>
  </si>
  <si>
    <t>순이익</t>
    <phoneticPr fontId="1" type="noConversion"/>
  </si>
  <si>
    <t>원가</t>
    <phoneticPr fontId="1" type="noConversion"/>
  </si>
  <si>
    <t>CMW 상품 도매가</t>
    <phoneticPr fontId="1" type="noConversion"/>
  </si>
  <si>
    <t>상품명</t>
    <phoneticPr fontId="1" type="noConversion"/>
  </si>
  <si>
    <t>새피아</t>
    <phoneticPr fontId="1" type="noConversion"/>
  </si>
  <si>
    <t>순수</t>
    <phoneticPr fontId="1" type="noConversion"/>
  </si>
  <si>
    <t>자연</t>
    <phoneticPr fontId="1" type="noConversion"/>
  </si>
  <si>
    <t>꿈집</t>
    <phoneticPr fontId="1" type="noConversion"/>
  </si>
  <si>
    <t>데코꿈집</t>
    <phoneticPr fontId="1" type="noConversion"/>
  </si>
  <si>
    <t>고급점보롤</t>
    <phoneticPr fontId="1" type="noConversion"/>
  </si>
  <si>
    <t>개당금액</t>
    <phoneticPr fontId="1" type="noConversion"/>
  </si>
  <si>
    <t>묶음금액</t>
    <phoneticPr fontId="1" type="noConversion"/>
  </si>
  <si>
    <t>개수</t>
    <phoneticPr fontId="1" type="noConversion"/>
  </si>
  <si>
    <t>롤&amp;길이</t>
    <phoneticPr fontId="1" type="noConversion"/>
  </si>
  <si>
    <t>네프킨</t>
    <phoneticPr fontId="1" type="noConversion"/>
  </si>
  <si>
    <t>핸드타월</t>
    <phoneticPr fontId="1" type="noConversion"/>
  </si>
  <si>
    <t>소(120이하)</t>
    <phoneticPr fontId="1" type="noConversion"/>
  </si>
  <si>
    <t>중(140이하)</t>
    <phoneticPr fontId="1" type="noConversion"/>
  </si>
  <si>
    <t>대(160이하)</t>
    <phoneticPr fontId="1" type="noConversion"/>
  </si>
  <si>
    <t>택배비</t>
    <phoneticPr fontId="1" type="noConversion"/>
  </si>
  <si>
    <t>#</t>
    <phoneticPr fontId="1" type="noConversion"/>
  </si>
  <si>
    <t>사이즈</t>
    <phoneticPr fontId="1" type="noConversion"/>
  </si>
  <si>
    <t>가격</t>
    <phoneticPr fontId="1" type="noConversion"/>
  </si>
  <si>
    <t>#</t>
    <phoneticPr fontId="1" type="noConversion"/>
  </si>
  <si>
    <t>상품명</t>
    <phoneticPr fontId="1" type="noConversion"/>
  </si>
  <si>
    <t>개수</t>
    <phoneticPr fontId="1" type="noConversion"/>
  </si>
  <si>
    <t>판매가</t>
    <phoneticPr fontId="1" type="noConversion"/>
  </si>
  <si>
    <t>순수익</t>
    <phoneticPr fontId="1" type="noConversion"/>
  </si>
  <si>
    <t>판매수수료</t>
    <phoneticPr fontId="1" type="noConversion"/>
  </si>
  <si>
    <t>새피아 10롤</t>
    <phoneticPr fontId="1" type="noConversion"/>
  </si>
  <si>
    <t>새피아 24롤</t>
    <phoneticPr fontId="1" type="noConversion"/>
  </si>
  <si>
    <t>순수 30롤</t>
    <phoneticPr fontId="1" type="noConversion"/>
  </si>
  <si>
    <t>자연 30롤</t>
    <phoneticPr fontId="1" type="noConversion"/>
  </si>
  <si>
    <t>꿈집 30롤</t>
    <phoneticPr fontId="1" type="noConversion"/>
  </si>
  <si>
    <t>꽃지꿈집 30롤</t>
    <phoneticPr fontId="1" type="noConversion"/>
  </si>
  <si>
    <t>황토 30롤</t>
    <phoneticPr fontId="1" type="noConversion"/>
  </si>
  <si>
    <t>데코꿈집 30롤</t>
    <phoneticPr fontId="1" type="noConversion"/>
  </si>
  <si>
    <t>쿠팡 배송비포함 판매가</t>
    <phoneticPr fontId="1" type="noConversion"/>
  </si>
  <si>
    <t>쿠팡 배송비 별로 판매가</t>
    <phoneticPr fontId="1" type="noConversion"/>
  </si>
  <si>
    <t>비고사항</t>
    <phoneticPr fontId="1" type="noConversion"/>
  </si>
  <si>
    <t>쿠팡</t>
    <phoneticPr fontId="1" type="noConversion"/>
  </si>
  <si>
    <t>티몬</t>
    <phoneticPr fontId="1" type="noConversion"/>
  </si>
  <si>
    <t>위메프</t>
    <phoneticPr fontId="1" type="noConversion"/>
  </si>
  <si>
    <t>11번가</t>
    <phoneticPr fontId="1" type="noConversion"/>
  </si>
  <si>
    <t>옥션</t>
    <phoneticPr fontId="1" type="noConversion"/>
  </si>
  <si>
    <t>지마켓</t>
    <phoneticPr fontId="1" type="noConversion"/>
  </si>
  <si>
    <t>네스팜</t>
    <phoneticPr fontId="1" type="noConversion"/>
  </si>
  <si>
    <t>쇼핑몰</t>
    <phoneticPr fontId="1" type="noConversion"/>
  </si>
  <si>
    <t>1. 새피아 10롤
   개별일 경우는 3개부터 판매
   묶음일 경우는 5, 10개로 판매
2. 새피아 24롤은 무조건 2개부터 판매하도록(포장때문에)
     개별상품일 경우에는 2개부터 판매 가능
     묶음상품일 경우에는 3, 4개로 판매 가능
3. 30롤은 2개부터 판매인데, 순수, 자연, 꿈집은 3개부터(포장 및 가격)</t>
    <phoneticPr fontId="1" type="noConversion"/>
  </si>
  <si>
    <t>새피아</t>
    <phoneticPr fontId="1" type="noConversion"/>
  </si>
  <si>
    <t>사이트별 판매가</t>
    <phoneticPr fontId="1" type="noConversion"/>
  </si>
  <si>
    <t>상품명</t>
    <phoneticPr fontId="1" type="noConversion"/>
  </si>
  <si>
    <t>개수</t>
    <phoneticPr fontId="1" type="noConversion"/>
  </si>
  <si>
    <t>이익 수수료</t>
    <phoneticPr fontId="1" type="noConversion"/>
  </si>
  <si>
    <t>금액대</t>
    <phoneticPr fontId="1" type="noConversion"/>
  </si>
  <si>
    <t>퍼센트</t>
    <phoneticPr fontId="1" type="noConversion"/>
  </si>
  <si>
    <t>1만원이하</t>
    <phoneticPr fontId="1" type="noConversion"/>
  </si>
  <si>
    <t>2만원이하</t>
    <phoneticPr fontId="1" type="noConversion"/>
  </si>
  <si>
    <t>3만원이하</t>
    <phoneticPr fontId="1" type="noConversion"/>
  </si>
  <si>
    <t>구분</t>
    <phoneticPr fontId="1" type="noConversion"/>
  </si>
  <si>
    <t>예상판매량</t>
    <phoneticPr fontId="1" type="noConversion"/>
  </si>
  <si>
    <t>공급받는가격</t>
    <phoneticPr fontId="1" type="noConversion"/>
  </si>
  <si>
    <t>소비자가격</t>
    <phoneticPr fontId="1" type="noConversion"/>
  </si>
  <si>
    <t>판매수수료</t>
    <phoneticPr fontId="1" type="noConversion"/>
  </si>
  <si>
    <t>택배비</t>
    <phoneticPr fontId="1" type="noConversion"/>
  </si>
  <si>
    <t>개당마진</t>
    <phoneticPr fontId="1" type="noConversion"/>
  </si>
  <si>
    <t>예상판매량
*개당마진</t>
    <phoneticPr fontId="1" type="noConversion"/>
  </si>
  <si>
    <t>순수</t>
    <phoneticPr fontId="1" type="noConversion"/>
  </si>
  <si>
    <t>고급(150)</t>
    <phoneticPr fontId="1" type="noConversion"/>
  </si>
  <si>
    <t>꽃지(150)</t>
    <phoneticPr fontId="1" type="noConversion"/>
  </si>
  <si>
    <t>자연</t>
    <phoneticPr fontId="1" type="noConversion"/>
  </si>
  <si>
    <t>꿈집</t>
    <phoneticPr fontId="1" type="noConversion"/>
  </si>
  <si>
    <t>꽃지꿈집</t>
    <phoneticPr fontId="1" type="noConversion"/>
  </si>
  <si>
    <t>황토</t>
    <phoneticPr fontId="1" type="noConversion"/>
  </si>
  <si>
    <t>데코꿈집</t>
    <phoneticPr fontId="1" type="noConversion"/>
  </si>
  <si>
    <t>네프킨</t>
    <phoneticPr fontId="1" type="noConversion"/>
  </si>
  <si>
    <t>핸드타월</t>
    <phoneticPr fontId="1" type="noConversion"/>
  </si>
  <si>
    <t>공장내수익</t>
    <phoneticPr fontId="1" type="noConversion"/>
  </si>
  <si>
    <t>순수익</t>
    <phoneticPr fontId="1" type="noConversion"/>
  </si>
  <si>
    <t>마진가</t>
    <phoneticPr fontId="1" type="noConversion"/>
  </si>
  <si>
    <t>가격 공식</t>
    <phoneticPr fontId="1" type="noConversion"/>
  </si>
  <si>
    <t>고정비 / 한계이익금</t>
    <phoneticPr fontId="1" type="noConversion"/>
  </si>
  <si>
    <t>손익분기점 목표 주문건</t>
    <phoneticPr fontId="1" type="noConversion"/>
  </si>
  <si>
    <t>EX) 에코백 손익분기점 = 100만원(임대료) / 9,000원 = 111개</t>
    <phoneticPr fontId="1" type="noConversion"/>
  </si>
  <si>
    <t>고정비 / 한계이익률</t>
    <phoneticPr fontId="1" type="noConversion"/>
  </si>
  <si>
    <t>손익분기점 목표 매출액</t>
    <phoneticPr fontId="1" type="noConversion"/>
  </si>
  <si>
    <t>매출액과 총비용이 일치하는 시점</t>
    <phoneticPr fontId="1" type="noConversion"/>
  </si>
  <si>
    <t>손익분기점</t>
    <phoneticPr fontId="1" type="noConversion"/>
  </si>
  <si>
    <t>즉, 한계이익 = 매출액 - 변동비</t>
    <phoneticPr fontId="1" type="noConversion"/>
  </si>
  <si>
    <t>물건을 팔았을때 실질적으로 남는 비용</t>
    <phoneticPr fontId="1" type="noConversion"/>
  </si>
  <si>
    <t>한계이익</t>
    <phoneticPr fontId="1" type="noConversion"/>
  </si>
  <si>
    <t>제품원가, 배송비, 포장비, 판매수수료</t>
    <phoneticPr fontId="1" type="noConversion"/>
  </si>
  <si>
    <t>판매량(생산량)이 늘수록 증가하는 비용</t>
    <phoneticPr fontId="1" type="noConversion"/>
  </si>
  <si>
    <t>변동비</t>
    <phoneticPr fontId="1" type="noConversion"/>
  </si>
  <si>
    <t>매출과 상관없이 일정하게 나가는 비용</t>
    <phoneticPr fontId="1" type="noConversion"/>
  </si>
  <si>
    <t>고정비</t>
    <phoneticPr fontId="1" type="noConversion"/>
  </si>
  <si>
    <t>과세기간 1년 동안 발생한 다양한 종류의 소득을 모두 합쳐서 부과되는 세금을 말한다.
당해의 종합소득세는 다음 연도의 5월에 신고하면 됩니다.</t>
    <phoneticPr fontId="1" type="noConversion"/>
  </si>
  <si>
    <t>종합소득세</t>
    <phoneticPr fontId="1" type="noConversion"/>
  </si>
  <si>
    <t>기업이 보유중인 부동산을 매각해서 돈이 들어오는 것을 말한다.</t>
    <phoneticPr fontId="1" type="noConversion"/>
  </si>
  <si>
    <t>영업외수익</t>
    <phoneticPr fontId="1" type="noConversion"/>
  </si>
  <si>
    <t>이자비용, 외환거래비용, 파생상품손실</t>
    <phoneticPr fontId="1" type="noConversion"/>
  </si>
  <si>
    <t>금융비용</t>
    <phoneticPr fontId="1" type="noConversion"/>
  </si>
  <si>
    <t>이자수익, 배당금수익, 외환거래이익, 파생상품이익</t>
    <phoneticPr fontId="1" type="noConversion"/>
  </si>
  <si>
    <t>금융수익</t>
    <phoneticPr fontId="1" type="noConversion"/>
  </si>
  <si>
    <t>즉, 순이익 = 영업이익 + (금융수익 - 금융비용) + (영업외수익 - 영업외비용) - 법인세비용</t>
    <phoneticPr fontId="1" type="noConversion"/>
  </si>
  <si>
    <t>총이익 중에서 금융손익과 영업외손익을 반영하고, 법인세 비용을 차감해 계산한다.</t>
    <phoneticPr fontId="1" type="noConversion"/>
  </si>
  <si>
    <t>순이익</t>
    <phoneticPr fontId="1" type="noConversion"/>
  </si>
  <si>
    <t>상품의 판매활동비나 기업의 유지 관리를 위해 지출된 비용을 말한다.
인건비, 세금, 공과금, 감가상각비, 광고비 등이 있다.</t>
    <phoneticPr fontId="1" type="noConversion"/>
  </si>
  <si>
    <t>판매관리비</t>
    <phoneticPr fontId="1" type="noConversion"/>
  </si>
  <si>
    <t>즉, 영업이익 = 매출액 - 매출원가 - 판매관리비</t>
    <phoneticPr fontId="1" type="noConversion"/>
  </si>
  <si>
    <t>영업활동을 통해 순수하게 남은 이익을 말한다.</t>
    <phoneticPr fontId="1" type="noConversion"/>
  </si>
  <si>
    <t>영억이익</t>
    <phoneticPr fontId="1" type="noConversion"/>
  </si>
  <si>
    <t>즉, 매출랙 = 판매가격 * 판매량</t>
    <phoneticPr fontId="1" type="noConversion"/>
  </si>
  <si>
    <t>영업활동을 통해 얻은 총 수익을 말한다.</t>
    <phoneticPr fontId="1" type="noConversion"/>
  </si>
  <si>
    <t>매출액</t>
    <phoneticPr fontId="1" type="noConversion"/>
  </si>
  <si>
    <t>#</t>
    <phoneticPr fontId="1" type="noConversion"/>
  </si>
  <si>
    <t>종합소득세에 대한 세율은 금액의 크기에 상관없이 10%를 세금으로
부과하는 비례세율 형태의 부가가치세와는 달리 '누진세율'의 성격을
가지고 있습니다.
누진세율이란 종합소득금액에서 각종 소득공제를 뺀 금액을 종합소득세
과세표준의 구간에 따라 달리 세율을 적용하고, 각 구간에서 계산된 세율을
합치는 것을 말합니다.
과세표준 구간에 따라 각기 다른 세율이 적용되기 때문에 흔히 '세금폭탄'을 
맞는다고 하는 이유가 여기에 있습니다. 과세표준이 커질수록 세율이 커지고, 그에 따라 세금도 크게 커지기 떄문입니다.</t>
    <phoneticPr fontId="1" type="noConversion"/>
  </si>
  <si>
    <t>1억 7,460만원 + 5억원 초과분 x 15%</t>
    <phoneticPr fontId="1" type="noConversion"/>
  </si>
  <si>
    <t>5억원 초과 ~</t>
    <phoneticPr fontId="1" type="noConversion"/>
  </si>
  <si>
    <t>9,460만원 + 3억원 초과분 x 15%</t>
    <phoneticPr fontId="1" type="noConversion"/>
  </si>
  <si>
    <t>3억원 초과 ~
5억원 이하</t>
    <phoneticPr fontId="1" type="noConversion"/>
  </si>
  <si>
    <t>3,760만원 + 1억 5천만원 초과분 x 15%</t>
    <phoneticPr fontId="1" type="noConversion"/>
  </si>
  <si>
    <t>1억 5천 만원 초과 ~
3억원 이하</t>
    <phoneticPr fontId="1" type="noConversion"/>
  </si>
  <si>
    <t>1,590만원 + 8,800만원 초과분 x 15%</t>
    <phoneticPr fontId="1" type="noConversion"/>
  </si>
  <si>
    <t>8,800만원 초과 ~
1억 5천 만원 이하</t>
    <phoneticPr fontId="1" type="noConversion"/>
  </si>
  <si>
    <t>582만원 + 4,600만원 초과분 x 15%</t>
    <phoneticPr fontId="1" type="noConversion"/>
  </si>
  <si>
    <t>4,600만원 초과 ~
8,800만원 이하</t>
    <phoneticPr fontId="1" type="noConversion"/>
  </si>
  <si>
    <t>72만원 + 1,200만원 초과분 x 15%</t>
    <phoneticPr fontId="1" type="noConversion"/>
  </si>
  <si>
    <t>1,200만원 초과 ~
4,600만원 이하</t>
    <phoneticPr fontId="1" type="noConversion"/>
  </si>
  <si>
    <t>종합소득금액 = 총 수입액 - 필요 경비액
과세표준 = 종합소득금액 - 각종 소득공제
종합소득금액은 비용처리를 통해 줄일 수 있고, 실제 세율이 적용되는 과세표준은 각종 소득공제를 통해 줄일 수 있습니다. 다시 말해 종합소득세 절세를 위해서는 비용처리와 소득공제를 잘 해주어야 한다.
종합소득세액을 산출하는 방법을 그림으로 나타내 보면 옆과 같습니다.
1차적으로 종합소득금액을 산출하여 해당금액에서 각종 소득공제 금액을 빼서 종합소득과세표준을 산출합니다.
종합소득과세표준에 구간별 세율을 곱하여 산출세액을 구합니다.
종합소득 산출세액에서 각종 세액공제와 세금감면을 통해 결정세액을 산출합니다.
결정세액에서 가산세가 있으면 더하고, 기 납부세액이 있다면 빼서 최종 납부할 종합소득세액을 산출합니다.
종합소득세는 말 그대로 종합적으로 소득에 대해 과세를 하는 것이므로 사업자라고 해서 사업소득만 생각해서는 안됩니다.
사업소득 외에도 발생할 수 있는 소득을 고려해야 합니다. 따라서 부가가치세보다 신고과정이 복잡하고 필요한 서류도 많습니다.</t>
    <phoneticPr fontId="1" type="noConversion"/>
  </si>
  <si>
    <t>과세표준액 x 6%</t>
    <phoneticPr fontId="1" type="noConversion"/>
  </si>
  <si>
    <t>1,200만원 이하</t>
    <phoneticPr fontId="1" type="noConversion"/>
  </si>
  <si>
    <t>종합소득세 계산</t>
    <phoneticPr fontId="1" type="noConversion"/>
  </si>
  <si>
    <t>산출세액 계산방법</t>
    <phoneticPr fontId="1" type="noConversion"/>
  </si>
  <si>
    <t>세율</t>
    <phoneticPr fontId="1" type="noConversion"/>
  </si>
  <si>
    <t>과세표준</t>
    <phoneticPr fontId="1" type="noConversion"/>
  </si>
  <si>
    <t>2018년 종합소득세율</t>
    <phoneticPr fontId="1" type="noConversion"/>
  </si>
  <si>
    <t>임대료 : 240만원, 인건비 : 330만원, 전기료 : 40만원, 세콤 : 8.8만원, 전화 : 4만원
화재보험 : 30만원, 트럭보험 : 80만원, 가스 : 4만원</t>
    <phoneticPr fontId="1" type="noConversion"/>
  </si>
  <si>
    <t>핸드</t>
  </si>
  <si>
    <t>네프</t>
  </si>
  <si>
    <t>꽃지</t>
  </si>
  <si>
    <t>고급</t>
  </si>
  <si>
    <t>충무꽃지</t>
  </si>
  <si>
    <t>충무고급</t>
  </si>
  <si>
    <t>데코꿈집</t>
  </si>
  <si>
    <t>황토</t>
  </si>
  <si>
    <t>꽃지꿈집</t>
  </si>
  <si>
    <t>꿈집</t>
  </si>
  <si>
    <t>자연</t>
  </si>
  <si>
    <t>순수</t>
  </si>
  <si>
    <t>땡큐30</t>
  </si>
  <si>
    <t>새피아24</t>
  </si>
  <si>
    <t>땡큐10</t>
  </si>
  <si>
    <t>새피아10</t>
  </si>
  <si>
    <t>땡큐</t>
    <phoneticPr fontId="1" type="noConversion"/>
  </si>
  <si>
    <t>부가가치세</t>
    <phoneticPr fontId="1" type="noConversion"/>
  </si>
  <si>
    <t>부가가치세는 소비자가 부담하는 소비세이고, 납부의 의무는 사업자에게 있는 간접세이며,
각 생간단계의 부가가치에 대한 세금이다.</t>
    <phoneticPr fontId="1" type="noConversion"/>
  </si>
  <si>
    <t>부가가치세 = 매출세액      -     매입세액
                (매출액x10%)      (매입액x10%)</t>
    <phoneticPr fontId="1" type="noConversion"/>
  </si>
  <si>
    <t>롤</t>
    <phoneticPr fontId="1" type="noConversion"/>
  </si>
  <si>
    <t>상품명</t>
    <phoneticPr fontId="1" type="noConversion"/>
  </si>
  <si>
    <t>판매가</t>
    <phoneticPr fontId="1" type="noConversion"/>
  </si>
  <si>
    <t>부가세</t>
    <phoneticPr fontId="1" type="noConversion"/>
  </si>
  <si>
    <t>순수익</t>
    <phoneticPr fontId="1" type="noConversion"/>
  </si>
  <si>
    <t>마진율</t>
    <phoneticPr fontId="1" type="noConversion"/>
  </si>
  <si>
    <t>땡큐</t>
    <phoneticPr fontId="1" type="noConversion"/>
  </si>
  <si>
    <t>새피아</t>
    <phoneticPr fontId="1" type="noConversion"/>
  </si>
  <si>
    <t>땡큐,
순수</t>
    <phoneticPr fontId="1" type="noConversion"/>
  </si>
  <si>
    <t>황토</t>
    <phoneticPr fontId="1" type="noConversion"/>
  </si>
  <si>
    <t>자연,
꿈집</t>
    <phoneticPr fontId="1" type="noConversion"/>
  </si>
  <si>
    <t>꽃지
꿈집</t>
    <phoneticPr fontId="1" type="noConversion"/>
  </si>
  <si>
    <t>데코
꿈집</t>
    <phoneticPr fontId="1" type="noConversion"/>
  </si>
  <si>
    <t>(온라인)판매가별 마진율</t>
  </si>
  <si>
    <t>판매가</t>
  </si>
  <si>
    <t>원가</t>
  </si>
  <si>
    <t>부가세</t>
  </si>
  <si>
    <t>순수익</t>
  </si>
  <si>
    <t>마진율</t>
  </si>
  <si>
    <t>수수료</t>
    <phoneticPr fontId="1" type="noConversion"/>
  </si>
  <si>
    <t>상품명</t>
    <phoneticPr fontId="1" type="noConversion"/>
  </si>
  <si>
    <t>개수</t>
    <phoneticPr fontId="1" type="noConversion"/>
  </si>
  <si>
    <t>합계</t>
    <phoneticPr fontId="1" type="noConversion"/>
  </si>
  <si>
    <t>온라인</t>
    <phoneticPr fontId="1" type="noConversion"/>
  </si>
  <si>
    <t>총합계</t>
    <phoneticPr fontId="1" type="noConversion"/>
  </si>
  <si>
    <t>네프킨</t>
    <phoneticPr fontId="1" type="noConversion"/>
  </si>
  <si>
    <t>핸드
타월</t>
    <phoneticPr fontId="1" type="noConversion"/>
  </si>
  <si>
    <t>납품가</t>
    <phoneticPr fontId="1" type="noConversion"/>
  </si>
  <si>
    <t>고급
점보롤</t>
    <phoneticPr fontId="1" type="noConversion"/>
  </si>
  <si>
    <t>층무
황토</t>
    <phoneticPr fontId="1" type="noConversion"/>
  </si>
  <si>
    <t>꽃지
점보롤</t>
    <phoneticPr fontId="1" type="noConversion"/>
  </si>
  <si>
    <t>기타</t>
    <phoneticPr fontId="1" type="noConversion"/>
  </si>
  <si>
    <t>상품명</t>
  </si>
  <si>
    <t>새피아</t>
  </si>
  <si>
    <t>땡큐</t>
  </si>
  <si>
    <t>땡큐,
순수</t>
  </si>
  <si>
    <t>자연,
꿈집</t>
  </si>
  <si>
    <t>꽃지
꿈집</t>
  </si>
  <si>
    <t>데코
꿈집</t>
  </si>
  <si>
    <t>네프킨</t>
  </si>
  <si>
    <t>핸드
타월</t>
  </si>
  <si>
    <t>층무
황토</t>
  </si>
  <si>
    <t>마진율 18% 공장 판매가</t>
    <phoneticPr fontId="1" type="noConversion"/>
  </si>
  <si>
    <t>새피아</t>
    <phoneticPr fontId="1" type="noConversion"/>
  </si>
  <si>
    <t>마진율 20% 공장 판매가</t>
    <phoneticPr fontId="1" type="noConversion"/>
  </si>
  <si>
    <t>자연,꿈집,꽃지꿈집</t>
    <phoneticPr fontId="1" type="noConversion"/>
  </si>
  <si>
    <t>-</t>
    <phoneticPr fontId="1" type="noConversion"/>
  </si>
  <si>
    <t>꽃지꿈집</t>
    <phoneticPr fontId="1" type="noConversion"/>
  </si>
  <si>
    <t>작은거</t>
    <phoneticPr fontId="1" type="noConversion"/>
  </si>
  <si>
    <t>1개당</t>
    <phoneticPr fontId="1" type="noConversion"/>
  </si>
  <si>
    <t>지관</t>
    <phoneticPr fontId="1" type="noConversion"/>
  </si>
  <si>
    <t>충무황토</t>
    <phoneticPr fontId="1" type="noConversion"/>
  </si>
  <si>
    <t>새피아24, 황토, 데코</t>
    <phoneticPr fontId="1" type="noConversion"/>
  </si>
  <si>
    <t>큰거</t>
    <phoneticPr fontId="1" type="noConversion"/>
  </si>
  <si>
    <t>중간거</t>
    <phoneticPr fontId="1" type="noConversion"/>
  </si>
  <si>
    <t>순수, 땡큐</t>
    <phoneticPr fontId="1" type="noConversion"/>
  </si>
  <si>
    <t>박스포장</t>
    <phoneticPr fontId="1" type="noConversion"/>
  </si>
  <si>
    <t>꽃지
점보롤
(m)</t>
    <phoneticPr fontId="1" type="noConversion"/>
  </si>
  <si>
    <t>1m</t>
    <phoneticPr fontId="1" type="noConversion"/>
  </si>
  <si>
    <t>휴지</t>
    <phoneticPr fontId="1" type="noConversion"/>
  </si>
  <si>
    <t>노끈</t>
    <phoneticPr fontId="1" type="noConversion"/>
  </si>
  <si>
    <t>24롤봉투</t>
    <phoneticPr fontId="1" type="noConversion"/>
  </si>
  <si>
    <t>1개당</t>
    <phoneticPr fontId="1" type="noConversion"/>
  </si>
  <si>
    <t>-</t>
    <phoneticPr fontId="1" type="noConversion"/>
  </si>
  <si>
    <t>10롤봉투</t>
    <phoneticPr fontId="1" type="noConversion"/>
  </si>
  <si>
    <t>-</t>
    <phoneticPr fontId="1" type="noConversion"/>
  </si>
  <si>
    <t>풀값</t>
    <phoneticPr fontId="1" type="noConversion"/>
  </si>
  <si>
    <t>1m</t>
    <phoneticPr fontId="1" type="noConversion"/>
  </si>
  <si>
    <t>포장지</t>
    <phoneticPr fontId="1" type="noConversion"/>
  </si>
  <si>
    <t>새피아10롤</t>
    <phoneticPr fontId="1" type="noConversion"/>
  </si>
  <si>
    <t>고급
점보롤
(m)</t>
    <phoneticPr fontId="1" type="noConversion"/>
  </si>
  <si>
    <t>일괄</t>
    <phoneticPr fontId="1" type="noConversion"/>
  </si>
  <si>
    <t>점보롤봉투</t>
    <phoneticPr fontId="1" type="noConversion"/>
  </si>
  <si>
    <t>핸드타월</t>
    <phoneticPr fontId="1" type="noConversion"/>
  </si>
  <si>
    <t>꽃지</t>
    <phoneticPr fontId="1" type="noConversion"/>
  </si>
  <si>
    <t>네프킨</t>
    <phoneticPr fontId="1" type="noConversion"/>
  </si>
  <si>
    <t>기타</t>
    <phoneticPr fontId="1" type="noConversion"/>
  </si>
  <si>
    <t>1개당</t>
    <phoneticPr fontId="1" type="noConversion"/>
  </si>
  <si>
    <t>일반</t>
    <phoneticPr fontId="1" type="noConversion"/>
  </si>
  <si>
    <t>점보롤
포장박스</t>
    <phoneticPr fontId="1" type="noConversion"/>
  </si>
  <si>
    <t>데코꿈집</t>
    <phoneticPr fontId="1" type="noConversion"/>
  </si>
  <si>
    <t>큰게</t>
    <phoneticPr fontId="1" type="noConversion"/>
  </si>
  <si>
    <t>황토</t>
    <phoneticPr fontId="1" type="noConversion"/>
  </si>
  <si>
    <t>중간</t>
    <phoneticPr fontId="1" type="noConversion"/>
  </si>
  <si>
    <t>작은거</t>
    <phoneticPr fontId="1" type="noConversion"/>
  </si>
  <si>
    <t>박스포장</t>
    <phoneticPr fontId="1" type="noConversion"/>
  </si>
  <si>
    <t>꿈집</t>
    <phoneticPr fontId="1" type="noConversion"/>
  </si>
  <si>
    <t>자연</t>
    <phoneticPr fontId="1" type="noConversion"/>
  </si>
  <si>
    <t>30롤봉투</t>
    <phoneticPr fontId="1" type="noConversion"/>
  </si>
  <si>
    <t>순수</t>
    <phoneticPr fontId="1" type="noConversion"/>
  </si>
  <si>
    <t>점보롤</t>
    <phoneticPr fontId="1" type="noConversion"/>
  </si>
  <si>
    <t>땡큐</t>
    <phoneticPr fontId="1" type="noConversion"/>
  </si>
  <si>
    <t>1롤</t>
    <phoneticPr fontId="1" type="noConversion"/>
  </si>
  <si>
    <t>새피아</t>
    <phoneticPr fontId="1" type="noConversion"/>
  </si>
  <si>
    <t>1개</t>
    <phoneticPr fontId="1" type="noConversion"/>
  </si>
  <si>
    <t>휴지</t>
    <phoneticPr fontId="1" type="noConversion"/>
  </si>
  <si>
    <t>지관</t>
    <phoneticPr fontId="1" type="noConversion"/>
  </si>
  <si>
    <t>1kg당</t>
    <phoneticPr fontId="1" type="noConversion"/>
  </si>
  <si>
    <t>꽃지</t>
    <phoneticPr fontId="1" type="noConversion"/>
  </si>
  <si>
    <t>원지</t>
    <phoneticPr fontId="1" type="noConversion"/>
  </si>
  <si>
    <t>원가</t>
    <phoneticPr fontId="1" type="noConversion"/>
  </si>
  <si>
    <t>박스단가</t>
    <phoneticPr fontId="1" type="noConversion"/>
  </si>
  <si>
    <t>기타</t>
    <phoneticPr fontId="1" type="noConversion"/>
  </si>
  <si>
    <t>포장지</t>
    <phoneticPr fontId="1" type="noConversion"/>
  </si>
  <si>
    <t>원단</t>
    <phoneticPr fontId="1" type="noConversion"/>
  </si>
  <si>
    <r>
      <t xml:space="preserve">무게
</t>
    </r>
    <r>
      <rPr>
        <b/>
        <sz val="9"/>
        <color theme="1"/>
        <rFont val="맑은 고딕"/>
        <family val="3"/>
        <charset val="129"/>
        <scheme val="minor"/>
      </rPr>
      <t>(kg)</t>
    </r>
    <phoneticPr fontId="1" type="noConversion"/>
  </si>
  <si>
    <t>상품명</t>
    <phoneticPr fontId="1" type="noConversion"/>
  </si>
  <si>
    <t>#</t>
    <phoneticPr fontId="1" type="noConversion"/>
  </si>
  <si>
    <t>단가</t>
    <phoneticPr fontId="1" type="noConversion"/>
  </si>
  <si>
    <t>규격</t>
    <phoneticPr fontId="1" type="noConversion"/>
  </si>
  <si>
    <t>상세명</t>
    <phoneticPr fontId="1" type="noConversion"/>
  </si>
  <si>
    <t>품목</t>
    <phoneticPr fontId="1" type="noConversion"/>
  </si>
  <si>
    <t>상품별 정 보 및 원가 책정</t>
    <phoneticPr fontId="1" type="noConversion"/>
  </si>
  <si>
    <t>화장지/점보롤 제품 단가</t>
    <phoneticPr fontId="1" type="noConversion"/>
  </si>
  <si>
    <t>공장 판매가</t>
    <phoneticPr fontId="1" type="noConversion"/>
  </si>
  <si>
    <t>온라인 납품가</t>
    <phoneticPr fontId="1" type="noConversion"/>
  </si>
  <si>
    <t>순수</t>
    <phoneticPr fontId="1" type="noConversion"/>
  </si>
  <si>
    <t>새피아10</t>
    <phoneticPr fontId="1" type="noConversion"/>
  </si>
  <si>
    <t>점보롤</t>
    <phoneticPr fontId="1" type="noConversion"/>
  </si>
  <si>
    <t>4개당</t>
    <phoneticPr fontId="1" type="noConversion"/>
  </si>
  <si>
    <t>마진율 15% 공장 판매가</t>
    <phoneticPr fontId="1" type="noConversion"/>
  </si>
  <si>
    <t>마진율 12.6% 공장 판매가</t>
    <phoneticPr fontId="1" type="noConversion"/>
  </si>
  <si>
    <t>새피아
24</t>
    <phoneticPr fontId="1" type="noConversion"/>
  </si>
  <si>
    <t>꽃지
꿈집</t>
    <phoneticPr fontId="1" type="noConversion"/>
  </si>
  <si>
    <t>데코
꿈집</t>
    <phoneticPr fontId="1" type="noConversion"/>
  </si>
  <si>
    <t>매입가</t>
    <phoneticPr fontId="1" type="noConversion"/>
  </si>
  <si>
    <r>
      <t xml:space="preserve">마진 포함가
</t>
    </r>
    <r>
      <rPr>
        <b/>
        <sz val="8"/>
        <color theme="1"/>
        <rFont val="맑은 고딕"/>
        <family val="3"/>
        <charset val="129"/>
        <scheme val="minor"/>
      </rPr>
      <t>(10%)</t>
    </r>
    <phoneticPr fontId="1" type="noConversion"/>
  </si>
  <si>
    <r>
      <t xml:space="preserve">판매가(20%)
</t>
    </r>
    <r>
      <rPr>
        <b/>
        <sz val="8"/>
        <color theme="1"/>
        <rFont val="맑은 고딕"/>
        <family val="3"/>
        <charset val="129"/>
        <scheme val="minor"/>
      </rPr>
      <t>수수료포함</t>
    </r>
    <phoneticPr fontId="1" type="noConversion"/>
  </si>
  <si>
    <t>원가
순수익</t>
    <phoneticPr fontId="1" type="noConversion"/>
  </si>
  <si>
    <t>순수익
합계</t>
    <phoneticPr fontId="1" type="noConversion"/>
  </si>
  <si>
    <t>원가</t>
    <phoneticPr fontId="1" type="noConversion"/>
  </si>
  <si>
    <t>새피아10</t>
    <phoneticPr fontId="1" type="noConversion"/>
  </si>
  <si>
    <t>새피아24</t>
    <phoneticPr fontId="1" type="noConversion"/>
  </si>
  <si>
    <t>순수</t>
    <phoneticPr fontId="1" type="noConversion"/>
  </si>
  <si>
    <t>자연,꿈</t>
    <phoneticPr fontId="1" type="noConversion"/>
  </si>
  <si>
    <t>황토</t>
    <phoneticPr fontId="1" type="noConversion"/>
  </si>
  <si>
    <t>데코꿈</t>
    <phoneticPr fontId="1" type="noConversion"/>
  </si>
  <si>
    <t>꽃지꿈</t>
    <phoneticPr fontId="1" type="noConversion"/>
  </si>
  <si>
    <t>핸드</t>
    <phoneticPr fontId="1" type="noConversion"/>
  </si>
  <si>
    <t>네프킨</t>
    <phoneticPr fontId="1" type="noConversion"/>
  </si>
  <si>
    <t>부가세</t>
    <phoneticPr fontId="1" type="noConversion"/>
  </si>
  <si>
    <t>택배비</t>
    <phoneticPr fontId="1" type="noConversion"/>
  </si>
  <si>
    <t>판매
수수료</t>
    <phoneticPr fontId="1" type="noConversion"/>
  </si>
  <si>
    <t>공장
순수익</t>
    <phoneticPr fontId="1" type="noConversion"/>
  </si>
  <si>
    <t>인터넷
판매가</t>
    <phoneticPr fontId="1" type="noConversion"/>
  </si>
  <si>
    <t>기존
판매가</t>
    <phoneticPr fontId="1" type="noConversion"/>
  </si>
  <si>
    <t>판매가
차이</t>
    <phoneticPr fontId="1" type="noConversion"/>
  </si>
  <si>
    <t>마진율</t>
    <phoneticPr fontId="1" type="noConversion"/>
  </si>
  <si>
    <t>판매량</t>
    <phoneticPr fontId="1" type="noConversion"/>
  </si>
  <si>
    <t>2020년 01월</t>
    <phoneticPr fontId="1" type="noConversion"/>
  </si>
  <si>
    <t>공장수익</t>
    <phoneticPr fontId="1" type="noConversion"/>
  </si>
  <si>
    <t>인터넷수익</t>
    <phoneticPr fontId="1" type="noConversion"/>
  </si>
  <si>
    <t>총 합계</t>
    <phoneticPr fontId="1" type="noConversion"/>
  </si>
  <si>
    <t>부가세20%</t>
    <phoneticPr fontId="1" type="noConversion"/>
  </si>
  <si>
    <t>마진(12%)</t>
    <phoneticPr fontId="1" type="noConversion"/>
  </si>
  <si>
    <t>임대료</t>
    <phoneticPr fontId="1" type="noConversion"/>
  </si>
  <si>
    <t>전기세</t>
    <phoneticPr fontId="1" type="noConversion"/>
  </si>
  <si>
    <t>세콤</t>
    <phoneticPr fontId="1" type="noConversion"/>
  </si>
  <si>
    <t>인건비</t>
    <phoneticPr fontId="1" type="noConversion"/>
  </si>
  <si>
    <t>전화</t>
    <phoneticPr fontId="1" type="noConversion"/>
  </si>
  <si>
    <t>화재보험</t>
    <phoneticPr fontId="1" type="noConversion"/>
  </si>
  <si>
    <t>차량보험</t>
    <phoneticPr fontId="1" type="noConversion"/>
  </si>
  <si>
    <t>가스</t>
    <phoneticPr fontId="1" type="noConversion"/>
  </si>
  <si>
    <t>대출이자</t>
    <phoneticPr fontId="1" type="noConversion"/>
  </si>
  <si>
    <t>총합계</t>
    <phoneticPr fontId="1" type="noConversion"/>
  </si>
  <si>
    <t>새이파10</t>
    <phoneticPr fontId="1" type="noConversion"/>
  </si>
  <si>
    <t>점보롤 150</t>
    <phoneticPr fontId="1" type="noConversion"/>
  </si>
  <si>
    <t>매입가
마진</t>
    <phoneticPr fontId="1" type="noConversion"/>
  </si>
  <si>
    <t>판매가</t>
    <phoneticPr fontId="1" type="noConversion"/>
  </si>
  <si>
    <t>마진율</t>
    <phoneticPr fontId="1" type="noConversion"/>
  </si>
  <si>
    <t>기존판매가
차이</t>
    <phoneticPr fontId="1" type="noConversion"/>
  </si>
  <si>
    <t>-</t>
    <phoneticPr fontId="1" type="noConversion"/>
  </si>
  <si>
    <t>-</t>
    <phoneticPr fontId="1" type="noConversion"/>
  </si>
  <si>
    <t>인터넷원가</t>
    <phoneticPr fontId="1" type="noConversion"/>
  </si>
  <si>
    <t>판매원가</t>
    <phoneticPr fontId="1" type="noConversion"/>
  </si>
  <si>
    <t>부가세
택비포함</t>
    <phoneticPr fontId="1" type="noConversion"/>
  </si>
  <si>
    <t>마진율</t>
    <phoneticPr fontId="1" type="noConversion"/>
  </si>
  <si>
    <t>판매가</t>
    <phoneticPr fontId="1" type="noConversion"/>
  </si>
  <si>
    <t>[오프라인] 기존거래처 마진율</t>
    <phoneticPr fontId="1" type="noConversion"/>
  </si>
  <si>
    <t>택배비
제외</t>
    <phoneticPr fontId="1" type="noConversion"/>
  </si>
  <si>
    <t>할인가</t>
    <phoneticPr fontId="1" type="noConversion"/>
  </si>
  <si>
    <t>기본가</t>
    <phoneticPr fontId="1" type="noConversion"/>
  </si>
  <si>
    <t>자연,꿈집</t>
    <phoneticPr fontId="1" type="noConversion"/>
  </si>
  <si>
    <t>할인금액</t>
    <phoneticPr fontId="1" type="noConversion"/>
  </si>
  <si>
    <t>새피아10</t>
    <phoneticPr fontId="1" type="noConversion"/>
  </si>
  <si>
    <t>1개
단가</t>
    <phoneticPr fontId="1" type="noConversion"/>
  </si>
  <si>
    <t>택배비 유무에 따른 상품 판매가</t>
    <phoneticPr fontId="1" type="noConversion"/>
  </si>
  <si>
    <t>판매가를 선택하기 전에 확인해야 할 사항</t>
    <phoneticPr fontId="1" type="noConversion"/>
  </si>
  <si>
    <t>무료배송 판매가</t>
    <phoneticPr fontId="1" type="noConversion"/>
  </si>
  <si>
    <t>상품명</t>
    <phoneticPr fontId="1" type="noConversion"/>
  </si>
  <si>
    <t>수량</t>
    <phoneticPr fontId="1" type="noConversion"/>
  </si>
  <si>
    <t>롤수</t>
    <phoneticPr fontId="1" type="noConversion"/>
  </si>
  <si>
    <t>새피아</t>
    <phoneticPr fontId="1" type="noConversion"/>
  </si>
  <si>
    <t>새피아</t>
    <phoneticPr fontId="1" type="noConversion"/>
  </si>
  <si>
    <t>새피아</t>
    <phoneticPr fontId="1" type="noConversion"/>
  </si>
  <si>
    <t>자연,꿈집</t>
    <phoneticPr fontId="1" type="noConversion"/>
  </si>
  <si>
    <t>꽃지꿈집</t>
    <phoneticPr fontId="1" type="noConversion"/>
  </si>
  <si>
    <t>꽃지꿈집</t>
    <phoneticPr fontId="1" type="noConversion"/>
  </si>
  <si>
    <t>황토</t>
    <phoneticPr fontId="1" type="noConversion"/>
  </si>
  <si>
    <t>황토</t>
    <phoneticPr fontId="1" type="noConversion"/>
  </si>
  <si>
    <t>고급점보롤</t>
    <phoneticPr fontId="1" type="noConversion"/>
  </si>
  <si>
    <t>꽃지점보롤</t>
    <phoneticPr fontId="1" type="noConversion"/>
  </si>
  <si>
    <t>원가</t>
    <phoneticPr fontId="1" type="noConversion"/>
  </si>
  <si>
    <t>유료배송 판매가</t>
    <phoneticPr fontId="1" type="noConversion"/>
  </si>
  <si>
    <t>할인가</t>
    <phoneticPr fontId="1" type="noConversion"/>
  </si>
  <si>
    <t>쿠팡과 같이 유료배송인데, 수량별배송이 지원하지 않는 경우는 
무료배송으로 하기</t>
    <phoneticPr fontId="1" type="noConversion"/>
  </si>
  <si>
    <t>수량</t>
    <phoneticPr fontId="1" type="noConversion"/>
  </si>
  <si>
    <t>단품 판매가</t>
    <phoneticPr fontId="1" type="noConversion"/>
  </si>
  <si>
    <t>판매가</t>
    <phoneticPr fontId="1" type="noConversion"/>
  </si>
  <si>
    <t>상품명</t>
    <phoneticPr fontId="1" type="noConversion"/>
  </si>
  <si>
    <t>새피아 10</t>
    <phoneticPr fontId="1" type="noConversion"/>
  </si>
  <si>
    <t>새피아 24</t>
    <phoneticPr fontId="1" type="noConversion"/>
  </si>
  <si>
    <t>순수</t>
    <phoneticPr fontId="1" type="noConversion"/>
  </si>
  <si>
    <t>자연,꿈집</t>
    <phoneticPr fontId="1" type="noConversion"/>
  </si>
  <si>
    <t>꽃지꿈집</t>
    <phoneticPr fontId="1" type="noConversion"/>
  </si>
  <si>
    <t>데코꿈집</t>
    <phoneticPr fontId="1" type="noConversion"/>
  </si>
  <si>
    <t>쿠팡</t>
    <phoneticPr fontId="1" type="noConversion"/>
  </si>
  <si>
    <t>수량별 배송비가 적용되지 않으므로, 무료배송으로처리</t>
    <phoneticPr fontId="1" type="noConversion"/>
  </si>
  <si>
    <t>제주/도서지역 배송 불가로 처리하면 자동적으로 주문 안됨</t>
    <phoneticPr fontId="1" type="noConversion"/>
  </si>
  <si>
    <t>(제주/도서지역을 안하는 이유는 2개이면 추가배송비가 2개 처리되어야하는데
수량과 상관없이 1개만 처리된다)</t>
    <phoneticPr fontId="1" type="noConversion"/>
  </si>
  <si>
    <t>수수료
택포함</t>
    <phoneticPr fontId="1" type="noConversion"/>
  </si>
  <si>
    <t>새피아10모음</t>
    <phoneticPr fontId="1" type="noConversion"/>
  </si>
  <si>
    <t>30롤 모음</t>
    <phoneticPr fontId="1" type="noConversion"/>
  </si>
  <si>
    <t>점보롤 모음</t>
    <phoneticPr fontId="1" type="noConversion"/>
  </si>
  <si>
    <t>300m 모음</t>
    <phoneticPr fontId="1" type="noConversion"/>
  </si>
  <si>
    <t>전체모음</t>
    <phoneticPr fontId="1" type="noConversion"/>
  </si>
  <si>
    <t>새피아 24모음</t>
    <phoneticPr fontId="1" type="noConversion"/>
  </si>
  <si>
    <t>새피아 모음</t>
    <phoneticPr fontId="1" type="noConversion"/>
  </si>
  <si>
    <t>티몬</t>
    <phoneticPr fontId="1" type="noConversion"/>
  </si>
  <si>
    <t>무료배송이며, 제주/도서산간 배송 불가처리하면 자동적으로 주문 안됨</t>
    <phoneticPr fontId="1" type="noConversion"/>
  </si>
  <si>
    <t>11번가</t>
    <phoneticPr fontId="1" type="noConversion"/>
  </si>
  <si>
    <t>묶음일 경우 무료배송으로 전국배송으로 하며, 제주 3000, 도서 5000으로 선택하며</t>
    <phoneticPr fontId="1" type="noConversion"/>
  </si>
  <si>
    <t>안내문구 넣기</t>
    <phoneticPr fontId="1" type="noConversion"/>
  </si>
  <si>
    <t>단품일 경우 단품가격으로 수량별 택배비, 전국배송으로 묶음이랑 똑같이</t>
    <phoneticPr fontId="1" type="noConversion"/>
  </si>
  <si>
    <t>네이버</t>
    <phoneticPr fontId="1" type="noConversion"/>
  </si>
  <si>
    <t>안내문구 넣기 -&gt; A/S, 특이사항에 내용 넣고 전체 수정</t>
    <phoneticPr fontId="1" type="noConversion"/>
  </si>
  <si>
    <t>새피아</t>
    <phoneticPr fontId="1" type="noConversion"/>
  </si>
  <si>
    <t>꽃지점보롤</t>
    <phoneticPr fontId="1" type="noConversion"/>
  </si>
  <si>
    <t>부가세
(신규)</t>
    <phoneticPr fontId="1" type="noConversion"/>
  </si>
  <si>
    <t>순수익
(신규)</t>
    <phoneticPr fontId="1" type="noConversion"/>
  </si>
  <si>
    <t>신규</t>
    <phoneticPr fontId="1" type="noConversion"/>
  </si>
  <si>
    <t>페이팔 상세설정</t>
  </si>
  <si>
    <t>페이팔에서 제공하는 신용카드 결제는 페이팔 계정없이 결제가 가능합니다.</t>
  </si>
  <si>
    <t>페이팔 계정없이 결제한 경우, 부정거래가 발생하거나 구매자가 클레임을 제기시 판매자 보호 프로그램이 적용되지 않으며 이로 인한 피해 발생시 해당 쇼핑몰에 책임이 있습니다.</t>
  </si>
  <si>
    <t>페이팔 관리자 화면에서 비회원 결제 차단설정시, 페이팔 회원가입을 반드시 해야 결제가 가능합니다.</t>
  </si>
  <si>
    <t>엑심베이, EC페이에서 해당 결제수단 사용시 중복사용이 불가능합니다.</t>
  </si>
  <si>
    <t>신용카드</t>
    <phoneticPr fontId="1" type="noConversion"/>
  </si>
  <si>
    <t>계좌이체</t>
    <phoneticPr fontId="1" type="noConversion"/>
  </si>
  <si>
    <t>1.8, 최저 200원</t>
    <phoneticPr fontId="1" type="noConversion"/>
  </si>
  <si>
    <t>가상계좌</t>
    <phoneticPr fontId="1" type="noConversion"/>
  </si>
  <si>
    <t>건별 300원</t>
    <phoneticPr fontId="1" type="noConversion"/>
  </si>
  <si>
    <t>휴대폰</t>
    <phoneticPr fontId="1" type="noConversion"/>
  </si>
  <si>
    <t>VAT별도</t>
    <phoneticPr fontId="1" type="noConversion"/>
  </si>
  <si>
    <t>판매가</t>
    <phoneticPr fontId="1" type="noConversion"/>
  </si>
  <si>
    <t>330원</t>
    <phoneticPr fontId="1" type="noConversion"/>
  </si>
  <si>
    <t>순이익</t>
    <phoneticPr fontId="1" type="noConversion"/>
  </si>
  <si>
    <t>매입대가</t>
    <phoneticPr fontId="1" type="noConversion"/>
  </si>
  <si>
    <t>매입가</t>
    <phoneticPr fontId="1" type="noConversion"/>
  </si>
  <si>
    <t>수수료</t>
    <phoneticPr fontId="1" type="noConversion"/>
  </si>
  <si>
    <t>매입</t>
    <phoneticPr fontId="1" type="noConversion"/>
  </si>
  <si>
    <t>판매수수료</t>
    <phoneticPr fontId="1" type="noConversion"/>
  </si>
  <si>
    <t>총계</t>
    <phoneticPr fontId="1" type="noConversion"/>
  </si>
  <si>
    <t>공급가액</t>
    <phoneticPr fontId="1" type="noConversion"/>
  </si>
  <si>
    <t>세액</t>
    <phoneticPr fontId="1" type="noConversion"/>
  </si>
  <si>
    <t>공급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</si>
</sst>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176" formatCode="#,##0_ "/>
    <numFmt numFmtId="177" formatCode="#,##0_);[Red]\(#,##0\)"/>
    <numFmt numFmtId="178" formatCode="#,##0.00_);[Red]\(#,##0.00\)"/>
    <numFmt numFmtId="179" formatCode="#,##0.00_ "/>
    <numFmt numFmtId="180" formatCode="0.0_);[Red]\(0.0\)"/>
    <numFmt numFmtId="181" formatCode="0.00_);[Red]\(0.00\)"/>
    <numFmt numFmtId="182" formatCode="#,##0.0_);[Red]\(#,##0.0\)"/>
  </numFmts>
  <fonts count="36" x14ac:knownFonts="1">
    <font>
      <sz val="11"/>
      <color theme="1"/>
      <name val="맑은 고딕"/>
      <family val="2"/>
      <charset val="129"/>
      <scheme val="minor"/>
    </font>
    <font>
      <sz val="8"/>
      <name val="맑은 고딕"/>
      <family val="2"/>
      <charset val="129"/>
      <scheme val="minor"/>
    </font>
    <font>
      <b/>
      <sz val="12"/>
      <color theme="1"/>
      <name val="맑은 고딕"/>
      <family val="3"/>
      <charset val="129"/>
      <scheme val="minor"/>
    </font>
    <font>
      <b/>
      <sz val="13"/>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sz val="12"/>
      <color theme="1"/>
      <name val="맑은 고딕"/>
      <family val="3"/>
      <charset val="129"/>
      <scheme val="minor"/>
    </font>
    <font>
      <sz val="9"/>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10.5"/>
      <color theme="1"/>
      <name val="맑은 고딕"/>
      <family val="3"/>
      <charset val="129"/>
      <scheme val="minor"/>
    </font>
    <font>
      <sz val="9"/>
      <color theme="1"/>
      <name val="맑은 고딕"/>
      <family val="2"/>
      <charset val="129"/>
      <scheme val="minor"/>
    </font>
    <font>
      <b/>
      <sz val="13"/>
      <color theme="0"/>
      <name val="맑은 고딕"/>
      <family val="3"/>
      <charset val="129"/>
      <scheme val="minor"/>
    </font>
    <font>
      <sz val="9.5"/>
      <color theme="1"/>
      <name val="맑은 고딕"/>
      <family val="2"/>
      <charset val="129"/>
      <scheme val="minor"/>
    </font>
    <font>
      <sz val="9.5"/>
      <color theme="1"/>
      <name val="맑은 고딕"/>
      <family val="3"/>
      <charset val="129"/>
      <scheme val="minor"/>
    </font>
    <font>
      <b/>
      <sz val="9"/>
      <color theme="1"/>
      <name val="맑은 고딕"/>
      <family val="3"/>
      <charset val="129"/>
      <scheme val="minor"/>
    </font>
    <font>
      <sz val="10"/>
      <color theme="1"/>
      <name val="맑은 고딕"/>
      <family val="2"/>
      <charset val="129"/>
      <scheme val="minor"/>
    </font>
    <font>
      <sz val="10"/>
      <color theme="1"/>
      <name val="맑은 고딕"/>
      <family val="3"/>
      <charset val="129"/>
      <scheme val="minor"/>
    </font>
    <font>
      <sz val="10"/>
      <color theme="4" tint="-0.499984740745262"/>
      <name val="맑은 고딕"/>
      <family val="3"/>
      <charset val="129"/>
      <scheme val="minor"/>
    </font>
    <font>
      <sz val="10"/>
      <color rgb="FF002060"/>
      <name val="맑은 고딕"/>
      <family val="3"/>
      <charset val="129"/>
      <scheme val="minor"/>
    </font>
    <font>
      <sz val="10"/>
      <color rgb="FF002060"/>
      <name val="맑은 고딕"/>
      <family val="2"/>
      <charset val="129"/>
      <scheme val="minor"/>
    </font>
    <font>
      <b/>
      <sz val="14"/>
      <color rgb="FF002060"/>
      <name val="맑은 고딕"/>
      <family val="3"/>
      <charset val="129"/>
      <scheme val="minor"/>
    </font>
    <font>
      <b/>
      <sz val="9.5"/>
      <color theme="0"/>
      <name val="맑은 고딕"/>
      <family val="3"/>
      <charset val="129"/>
      <scheme val="minor"/>
    </font>
    <font>
      <b/>
      <sz val="10"/>
      <color theme="1"/>
      <name val="맑은 고딕"/>
      <family val="3"/>
      <charset val="129"/>
      <scheme val="minor"/>
    </font>
    <font>
      <b/>
      <sz val="9.5"/>
      <color theme="1"/>
      <name val="맑은 고딕"/>
      <family val="3"/>
      <charset val="129"/>
      <scheme val="minor"/>
    </font>
    <font>
      <b/>
      <sz val="8"/>
      <color theme="1"/>
      <name val="맑은 고딕"/>
      <family val="3"/>
      <charset val="129"/>
      <scheme val="minor"/>
    </font>
    <font>
      <b/>
      <sz val="10"/>
      <color theme="0"/>
      <name val="맑은 고딕"/>
      <family val="3"/>
      <charset val="129"/>
      <scheme val="minor"/>
    </font>
    <font>
      <b/>
      <sz val="11.5"/>
      <color theme="1"/>
      <name val="맑은 고딕"/>
      <family val="3"/>
      <charset val="129"/>
      <scheme val="minor"/>
    </font>
    <font>
      <b/>
      <sz val="9"/>
      <color theme="0"/>
      <name val="맑은 고딕"/>
      <family val="3"/>
      <charset val="129"/>
      <scheme val="minor"/>
    </font>
    <font>
      <sz val="7.5"/>
      <color theme="1"/>
      <name val="맑은 고딕"/>
      <family val="2"/>
      <charset val="129"/>
      <scheme val="minor"/>
    </font>
    <font>
      <sz val="7.5"/>
      <color theme="1"/>
      <name val="맑은 고딕"/>
      <family val="3"/>
      <charset val="129"/>
      <scheme val="minor"/>
    </font>
    <font>
      <b/>
      <sz val="14"/>
      <color theme="1"/>
      <name val="맑은 고딕"/>
      <family val="3"/>
      <charset val="129"/>
      <scheme val="minor"/>
    </font>
    <font>
      <b/>
      <sz val="12"/>
      <color rgb="FF000000"/>
      <name val="맑은 고딕"/>
      <family val="3"/>
      <charset val="129"/>
      <scheme val="minor"/>
    </font>
    <font>
      <sz val="10"/>
      <color rgb="FF666666"/>
      <name val="맑은 고딕"/>
      <family val="3"/>
      <charset val="129"/>
      <scheme val="minor"/>
    </font>
    <font>
      <sz val="10"/>
      <color rgb="FFFF6D01"/>
      <name val="맑은 고딕"/>
      <family val="3"/>
      <charset val="129"/>
      <scheme val="minor"/>
    </font>
    <font>
      <sz val="11"/>
      <color theme="1"/>
      <name val="맑은 고딕"/>
      <family val="2"/>
      <charset val="129"/>
      <scheme val="minor"/>
    </font>
  </fonts>
  <fills count="3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3399"/>
        <bgColor indexed="64"/>
      </patternFill>
    </fill>
    <fill>
      <patternFill patternType="solid">
        <fgColor theme="1" tint="0.34998626667073579"/>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CCFF33"/>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theme="4"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2" tint="-0.89999084444715716"/>
        <bgColor indexed="64"/>
      </patternFill>
    </fill>
    <fill>
      <patternFill patternType="solid">
        <fgColor theme="0" tint="-0.1499984740745262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2">
    <xf numFmtId="0" fontId="0" fillId="0" borderId="0">
      <alignment vertical="center"/>
    </xf>
    <xf numFmtId="41" fontId="35" fillId="0" borderId="0" applyFont="0" applyFill="0" applyBorder="0" applyAlignment="0" applyProtection="0">
      <alignment vertical="center"/>
    </xf>
  </cellStyleXfs>
  <cellXfs count="357">
    <xf numFmtId="0" fontId="0" fillId="0" borderId="0" xfId="0">
      <alignment vertical="center"/>
    </xf>
    <xf numFmtId="0" fontId="0" fillId="0" borderId="0" xfId="0" applyAlignment="1">
      <alignment horizontal="center"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0" fillId="0" borderId="1" xfId="0" applyBorder="1" applyAlignment="1">
      <alignment horizontal="center" vertical="center"/>
    </xf>
    <xf numFmtId="176" fontId="0" fillId="2" borderId="1" xfId="0" applyNumberFormat="1" applyFill="1" applyBorder="1" applyAlignment="1">
      <alignment horizontal="right" vertical="center"/>
    </xf>
    <xf numFmtId="176" fontId="0" fillId="3" borderId="1" xfId="0" applyNumberFormat="1" applyFill="1" applyBorder="1" applyAlignment="1">
      <alignment horizontal="right" vertical="center"/>
    </xf>
    <xf numFmtId="176" fontId="0" fillId="4" borderId="1" xfId="0" applyNumberFormat="1" applyFill="1" applyBorder="1" applyAlignment="1">
      <alignment horizontal="right" vertical="center"/>
    </xf>
    <xf numFmtId="0" fontId="0" fillId="2" borderId="1" xfId="0" applyFill="1" applyBorder="1" applyAlignment="1">
      <alignment horizontal="left" vertical="center" indent="1"/>
    </xf>
    <xf numFmtId="0" fontId="0" fillId="3" borderId="1" xfId="0" applyFill="1" applyBorder="1" applyAlignment="1">
      <alignment horizontal="left" vertical="center" indent="1"/>
    </xf>
    <xf numFmtId="0" fontId="0" fillId="4" borderId="1" xfId="0" applyFill="1" applyBorder="1" applyAlignment="1">
      <alignment horizontal="left" vertical="center" indent="1"/>
    </xf>
    <xf numFmtId="0" fontId="0" fillId="0" borderId="0" xfId="0" applyAlignment="1">
      <alignment horizontal="left" vertical="center" indent="1"/>
    </xf>
    <xf numFmtId="0" fontId="3" fillId="0" borderId="1" xfId="0" applyFont="1" applyBorder="1" applyAlignment="1">
      <alignment vertical="center"/>
    </xf>
    <xf numFmtId="0" fontId="0" fillId="0" borderId="0" xfId="0" applyAlignment="1">
      <alignment horizontal="center" vertical="center"/>
    </xf>
    <xf numFmtId="0" fontId="0" fillId="0" borderId="0" xfId="0" applyAlignment="1">
      <alignment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indent="1"/>
    </xf>
    <xf numFmtId="177" fontId="0" fillId="0" borderId="0" xfId="0" applyNumberFormat="1" applyAlignment="1">
      <alignment horizontal="center" vertical="center"/>
    </xf>
    <xf numFmtId="177" fontId="7" fillId="0" borderId="1" xfId="0" applyNumberFormat="1" applyFont="1" applyBorder="1" applyAlignment="1">
      <alignment horizontal="center" vertical="center"/>
    </xf>
    <xf numFmtId="177" fontId="4" fillId="0" borderId="1" xfId="0" applyNumberFormat="1" applyFont="1" applyBorder="1" applyAlignment="1">
      <alignment horizontal="center" vertical="center"/>
    </xf>
    <xf numFmtId="0" fontId="8" fillId="0" borderId="0" xfId="0" applyFont="1" applyAlignment="1">
      <alignment horizontal="center" vertical="center"/>
    </xf>
    <xf numFmtId="176" fontId="7" fillId="0" borderId="1" xfId="0" applyNumberFormat="1" applyFont="1" applyBorder="1" applyAlignment="1">
      <alignment horizontal="center" vertical="center"/>
    </xf>
    <xf numFmtId="176" fontId="7" fillId="0" borderId="0" xfId="0" applyNumberFormat="1" applyFont="1" applyAlignment="1">
      <alignment vertical="top" wrapText="1"/>
    </xf>
    <xf numFmtId="176" fontId="0" fillId="0" borderId="0" xfId="0" applyNumberFormat="1" applyAlignment="1">
      <alignment vertical="top" wrapText="1"/>
    </xf>
    <xf numFmtId="176" fontId="11" fillId="0" borderId="0" xfId="0" applyNumberFormat="1" applyFont="1" applyAlignment="1">
      <alignment horizontal="center" vertical="center"/>
    </xf>
    <xf numFmtId="176" fontId="11" fillId="0" borderId="0" xfId="0" applyNumberFormat="1" applyFont="1" applyAlignment="1">
      <alignment vertical="top" wrapText="1"/>
    </xf>
    <xf numFmtId="0" fontId="10" fillId="0" borderId="1" xfId="0" applyFont="1" applyBorder="1" applyAlignment="1">
      <alignment horizontal="center" vertical="center"/>
    </xf>
    <xf numFmtId="0" fontId="4" fillId="0" borderId="1" xfId="0" applyFont="1" applyBorder="1" applyAlignment="1">
      <alignment horizontal="center" vertical="center"/>
    </xf>
    <xf numFmtId="0" fontId="0" fillId="0" borderId="0" xfId="0" applyAlignment="1">
      <alignment horizontal="center" vertical="center"/>
    </xf>
    <xf numFmtId="176" fontId="4" fillId="0" borderId="1" xfId="0" applyNumberFormat="1" applyFont="1" applyBorder="1" applyAlignment="1">
      <alignment horizontal="center" vertical="center"/>
    </xf>
    <xf numFmtId="0" fontId="14" fillId="0" borderId="1" xfId="0" applyFont="1" applyBorder="1" applyAlignment="1">
      <alignment horizontal="center" vertical="center"/>
    </xf>
    <xf numFmtId="176" fontId="14" fillId="0" borderId="1" xfId="0" applyNumberFormat="1" applyFont="1" applyBorder="1" applyAlignment="1">
      <alignment horizontal="center" vertical="center"/>
    </xf>
    <xf numFmtId="176" fontId="14" fillId="0" borderId="1" xfId="0" applyNumberFormat="1" applyFont="1" applyBorder="1" applyAlignment="1">
      <alignment horizontal="right" vertical="center"/>
    </xf>
    <xf numFmtId="178" fontId="0" fillId="0" borderId="0" xfId="0" applyNumberFormat="1" applyAlignment="1">
      <alignment horizontal="center" vertical="center"/>
    </xf>
    <xf numFmtId="178" fontId="14" fillId="0" borderId="1" xfId="0" applyNumberFormat="1" applyFont="1" applyBorder="1" applyAlignment="1">
      <alignment horizontal="center" vertical="center"/>
    </xf>
    <xf numFmtId="177" fontId="14" fillId="0" borderId="1" xfId="0" applyNumberFormat="1" applyFont="1" applyBorder="1" applyAlignment="1">
      <alignment horizontal="center" vertical="center"/>
    </xf>
    <xf numFmtId="0" fontId="0" fillId="0" borderId="0" xfId="0" applyAlignment="1">
      <alignment horizontal="center" vertical="center"/>
    </xf>
    <xf numFmtId="178" fontId="10" fillId="0" borderId="1" xfId="0" applyNumberFormat="1" applyFont="1" applyBorder="1" applyAlignment="1">
      <alignment horizontal="center" vertical="center" wrapText="1"/>
    </xf>
    <xf numFmtId="0" fontId="14" fillId="0" borderId="1" xfId="0" applyFont="1" applyBorder="1" applyAlignment="1">
      <alignment horizontal="left" vertical="center" indent="1"/>
    </xf>
    <xf numFmtId="178" fontId="11" fillId="0" borderId="1" xfId="0" applyNumberFormat="1" applyFont="1" applyBorder="1" applyAlignment="1">
      <alignment horizontal="center" vertical="center"/>
    </xf>
    <xf numFmtId="177" fontId="11" fillId="0" borderId="1" xfId="0" applyNumberFormat="1" applyFont="1" applyBorder="1" applyAlignment="1">
      <alignment horizontal="center" vertical="center"/>
    </xf>
    <xf numFmtId="178" fontId="15" fillId="6" borderId="1" xfId="0" applyNumberFormat="1" applyFont="1" applyFill="1" applyBorder="1" applyAlignment="1">
      <alignment horizontal="center" vertical="center"/>
    </xf>
    <xf numFmtId="178" fontId="15" fillId="6" borderId="1" xfId="0" applyNumberFormat="1" applyFont="1" applyFill="1" applyBorder="1" applyAlignment="1">
      <alignment horizontal="center" vertical="center" wrapText="1"/>
    </xf>
    <xf numFmtId="0" fontId="0" fillId="0" borderId="0" xfId="0" applyAlignment="1">
      <alignment horizontal="center" vertical="center"/>
    </xf>
    <xf numFmtId="0" fontId="11" fillId="0" borderId="0" xfId="0" applyFont="1">
      <alignment vertical="center"/>
    </xf>
    <xf numFmtId="0" fontId="11" fillId="0" borderId="0" xfId="0" applyFont="1" applyAlignment="1">
      <alignment vertical="center" wrapText="1"/>
    </xf>
    <xf numFmtId="0" fontId="7" fillId="0" borderId="0" xfId="0" applyFont="1" applyAlignment="1">
      <alignment vertical="center" wrapText="1"/>
    </xf>
    <xf numFmtId="0" fontId="16" fillId="0" borderId="0" xfId="0" applyFont="1" applyAlignment="1">
      <alignment horizontal="center" vertical="center"/>
    </xf>
    <xf numFmtId="9" fontId="18" fillId="0" borderId="0" xfId="0" applyNumberFormat="1" applyFont="1" applyAlignment="1">
      <alignment horizontal="center" vertical="center"/>
    </xf>
    <xf numFmtId="0" fontId="19" fillId="7" borderId="0" xfId="0" applyFont="1" applyFill="1" applyAlignment="1">
      <alignment horizontal="center" vertical="center" wrapText="1"/>
    </xf>
    <xf numFmtId="0" fontId="20" fillId="7" borderId="0" xfId="0" applyFont="1" applyFill="1" applyAlignment="1">
      <alignment horizontal="center" vertical="center"/>
    </xf>
    <xf numFmtId="0" fontId="2" fillId="0" borderId="0" xfId="0" applyFont="1" applyAlignment="1">
      <alignment horizontal="center" vertical="center"/>
    </xf>
    <xf numFmtId="0" fontId="14" fillId="0" borderId="1" xfId="0" applyFont="1" applyBorder="1" applyAlignment="1">
      <alignment horizontal="left" vertical="center" wrapText="1" indent="1"/>
    </xf>
    <xf numFmtId="177" fontId="10" fillId="0" borderId="1" xfId="0" applyNumberFormat="1" applyFont="1" applyBorder="1" applyAlignment="1">
      <alignment horizontal="center" vertical="center" wrapText="1"/>
    </xf>
    <xf numFmtId="178" fontId="10" fillId="0" borderId="1" xfId="0" applyNumberFormat="1" applyFont="1" applyBorder="1" applyAlignment="1">
      <alignment horizontal="center" vertical="center" wrapText="1"/>
    </xf>
    <xf numFmtId="0" fontId="0" fillId="0" borderId="0" xfId="0" applyAlignment="1">
      <alignment horizontal="center" vertical="center"/>
    </xf>
    <xf numFmtId="177" fontId="22" fillId="8" borderId="1" xfId="0" applyNumberFormat="1" applyFont="1" applyFill="1" applyBorder="1" applyAlignment="1">
      <alignment horizontal="center" vertical="center"/>
    </xf>
    <xf numFmtId="0" fontId="14" fillId="0" borderId="1" xfId="0" applyFont="1" applyBorder="1" applyAlignment="1">
      <alignment horizontal="center" vertical="center" wrapText="1"/>
    </xf>
    <xf numFmtId="0" fontId="0" fillId="11" borderId="0" xfId="0" applyFill="1">
      <alignment vertical="center"/>
    </xf>
    <xf numFmtId="0" fontId="0" fillId="10" borderId="0" xfId="0" applyFill="1">
      <alignment vertical="center"/>
    </xf>
    <xf numFmtId="0" fontId="23" fillId="10" borderId="1" xfId="0" applyFont="1" applyFill="1" applyBorder="1" applyAlignment="1">
      <alignment horizontal="center" vertical="center"/>
    </xf>
    <xf numFmtId="176" fontId="23" fillId="10" borderId="1" xfId="0" applyNumberFormat="1" applyFont="1" applyFill="1" applyBorder="1" applyAlignment="1">
      <alignment horizontal="center" vertical="center"/>
    </xf>
    <xf numFmtId="179" fontId="23" fillId="10" borderId="1" xfId="0" applyNumberFormat="1" applyFont="1" applyFill="1" applyBorder="1" applyAlignment="1">
      <alignment horizontal="center" vertical="center"/>
    </xf>
    <xf numFmtId="176" fontId="14" fillId="10" borderId="1" xfId="0" applyNumberFormat="1" applyFont="1" applyFill="1" applyBorder="1">
      <alignment vertical="center"/>
    </xf>
    <xf numFmtId="179" fontId="14" fillId="10" borderId="1" xfId="0" applyNumberFormat="1" applyFont="1" applyFill="1" applyBorder="1">
      <alignment vertical="center"/>
    </xf>
    <xf numFmtId="0" fontId="13" fillId="10" borderId="1" xfId="0" applyFont="1" applyFill="1" applyBorder="1" applyAlignment="1">
      <alignment vertical="center"/>
    </xf>
    <xf numFmtId="0" fontId="2" fillId="0" borderId="0" xfId="0" applyFont="1">
      <alignment vertical="center"/>
    </xf>
    <xf numFmtId="177" fontId="14" fillId="12" borderId="1" xfId="0" applyNumberFormat="1" applyFont="1" applyFill="1" applyBorder="1" applyAlignment="1">
      <alignment horizontal="center" vertical="center"/>
    </xf>
    <xf numFmtId="178" fontId="14" fillId="12" borderId="1" xfId="0" applyNumberFormat="1" applyFont="1" applyFill="1" applyBorder="1" applyAlignment="1">
      <alignment horizontal="center" vertical="center"/>
    </xf>
    <xf numFmtId="177" fontId="0" fillId="10" borderId="0" xfId="0" applyNumberFormat="1" applyFill="1">
      <alignment vertical="center"/>
    </xf>
    <xf numFmtId="176" fontId="23" fillId="13" borderId="1" xfId="0" applyNumberFormat="1" applyFont="1" applyFill="1" applyBorder="1" applyAlignment="1">
      <alignment horizontal="center" vertical="center"/>
    </xf>
    <xf numFmtId="176" fontId="14" fillId="13" borderId="1" xfId="0" applyNumberFormat="1" applyFont="1" applyFill="1" applyBorder="1">
      <alignment vertical="center"/>
    </xf>
    <xf numFmtId="0" fontId="14" fillId="0" borderId="1" xfId="0" applyFont="1" applyFill="1" applyBorder="1" applyAlignment="1">
      <alignment horizontal="center" vertical="center"/>
    </xf>
    <xf numFmtId="179" fontId="11" fillId="0" borderId="0" xfId="0" applyNumberFormat="1" applyFont="1">
      <alignment vertical="center"/>
    </xf>
    <xf numFmtId="179" fontId="0" fillId="0" borderId="0" xfId="0" applyNumberFormat="1">
      <alignment vertical="center"/>
    </xf>
    <xf numFmtId="0" fontId="11" fillId="0" borderId="1" xfId="0" applyFont="1" applyBorder="1">
      <alignment vertical="center"/>
    </xf>
    <xf numFmtId="177" fontId="11" fillId="0" borderId="1" xfId="0" applyNumberFormat="1" applyFont="1" applyBorder="1">
      <alignment vertical="center"/>
    </xf>
    <xf numFmtId="177" fontId="0" fillId="0" borderId="0" xfId="0" applyNumberFormat="1">
      <alignment vertical="center"/>
    </xf>
    <xf numFmtId="180" fontId="11" fillId="0" borderId="1" xfId="0" applyNumberFormat="1" applyFont="1" applyBorder="1">
      <alignment vertical="center"/>
    </xf>
    <xf numFmtId="180" fontId="11" fillId="15" borderId="1" xfId="0" applyNumberFormat="1" applyFont="1" applyFill="1" applyBorder="1">
      <alignment vertical="center"/>
    </xf>
    <xf numFmtId="180" fontId="0" fillId="0" borderId="0" xfId="0" applyNumberFormat="1">
      <alignment vertical="center"/>
    </xf>
    <xf numFmtId="0" fontId="0" fillId="0" borderId="0" xfId="0" applyAlignment="1">
      <alignment horizontal="center" vertical="center"/>
    </xf>
    <xf numFmtId="177" fontId="23" fillId="0" borderId="1" xfId="0" applyNumberFormat="1" applyFont="1" applyFill="1" applyBorder="1" applyAlignment="1">
      <alignment horizontal="center" vertical="center" wrapText="1"/>
    </xf>
    <xf numFmtId="177" fontId="14" fillId="0" borderId="1" xfId="0" applyNumberFormat="1" applyFont="1" applyFill="1" applyBorder="1" applyAlignment="1">
      <alignment horizontal="center" vertical="center"/>
    </xf>
    <xf numFmtId="0" fontId="0" fillId="0" borderId="0" xfId="0" applyAlignment="1">
      <alignment horizontal="center" vertical="center"/>
    </xf>
    <xf numFmtId="176" fontId="0" fillId="0" borderId="1" xfId="0" applyNumberFormat="1" applyBorder="1" applyAlignment="1">
      <alignment horizontal="center" vertical="center"/>
    </xf>
    <xf numFmtId="179" fontId="0" fillId="0" borderId="1" xfId="0" applyNumberFormat="1" applyBorder="1" applyAlignment="1">
      <alignment horizontal="center" vertical="center"/>
    </xf>
    <xf numFmtId="0" fontId="23" fillId="14" borderId="1" xfId="0" applyFont="1" applyFill="1" applyBorder="1" applyAlignment="1">
      <alignment horizontal="center" vertical="center"/>
    </xf>
    <xf numFmtId="177" fontId="23" fillId="14" borderId="1" xfId="0" applyNumberFormat="1" applyFont="1" applyFill="1" applyBorder="1" applyAlignment="1">
      <alignment horizontal="center" vertical="center"/>
    </xf>
    <xf numFmtId="180" fontId="23" fillId="14" borderId="1" xfId="0" applyNumberFormat="1" applyFont="1" applyFill="1" applyBorder="1" applyAlignment="1">
      <alignment horizontal="center" vertical="center"/>
    </xf>
    <xf numFmtId="180" fontId="0" fillId="0" borderId="0" xfId="0" applyNumberFormat="1" applyAlignment="1">
      <alignment horizontal="center" vertical="center"/>
    </xf>
    <xf numFmtId="180" fontId="15" fillId="14" borderId="1" xfId="0" applyNumberFormat="1" applyFont="1" applyFill="1" applyBorder="1" applyAlignment="1">
      <alignment horizontal="center" vertical="center"/>
    </xf>
    <xf numFmtId="181" fontId="0" fillId="0" borderId="0" xfId="0" applyNumberFormat="1">
      <alignment vertical="center"/>
    </xf>
    <xf numFmtId="181" fontId="15" fillId="14" borderId="1" xfId="0" applyNumberFormat="1" applyFont="1" applyFill="1" applyBorder="1" applyAlignment="1">
      <alignment horizontal="center" vertical="center"/>
    </xf>
    <xf numFmtId="0" fontId="11" fillId="0" borderId="1" xfId="0" applyFont="1" applyBorder="1" applyAlignment="1">
      <alignment horizontal="center" vertical="center"/>
    </xf>
    <xf numFmtId="176" fontId="0" fillId="10" borderId="0" xfId="0" applyNumberFormat="1" applyFill="1">
      <alignment vertical="center"/>
    </xf>
    <xf numFmtId="178" fontId="24" fillId="0" borderId="1" xfId="0" applyNumberFormat="1" applyFont="1" applyBorder="1" applyAlignment="1">
      <alignment horizontal="center" vertical="center"/>
    </xf>
    <xf numFmtId="178" fontId="24" fillId="0" borderId="1" xfId="0" applyNumberFormat="1" applyFont="1" applyBorder="1" applyAlignment="1">
      <alignment horizontal="center" vertical="center" wrapText="1"/>
    </xf>
    <xf numFmtId="176" fontId="15" fillId="6" borderId="1" xfId="0" applyNumberFormat="1" applyFont="1" applyFill="1" applyBorder="1" applyAlignment="1">
      <alignment horizontal="center" vertical="center"/>
    </xf>
    <xf numFmtId="176" fontId="23" fillId="13" borderId="1" xfId="0" applyNumberFormat="1" applyFont="1" applyFill="1" applyBorder="1" applyAlignment="1">
      <alignment horizontal="center" vertical="center" wrapText="1"/>
    </xf>
    <xf numFmtId="176" fontId="23" fillId="0" borderId="1" xfId="0" applyNumberFormat="1" applyFont="1" applyFill="1" applyBorder="1" applyAlignment="1">
      <alignment horizontal="center" vertical="center" wrapText="1"/>
    </xf>
    <xf numFmtId="176" fontId="14" fillId="0" borderId="1" xfId="0" applyNumberFormat="1" applyFont="1" applyFill="1" applyBorder="1">
      <alignment vertical="center"/>
    </xf>
    <xf numFmtId="177" fontId="26" fillId="16" borderId="1" xfId="0" applyNumberFormat="1" applyFont="1" applyFill="1" applyBorder="1" applyAlignment="1">
      <alignment horizontal="center" vertical="center"/>
    </xf>
    <xf numFmtId="177" fontId="22" fillId="16" borderId="1" xfId="0" applyNumberFormat="1" applyFont="1" applyFill="1" applyBorder="1">
      <alignment vertical="center"/>
    </xf>
    <xf numFmtId="176" fontId="24" fillId="13" borderId="1" xfId="0" applyNumberFormat="1" applyFont="1" applyFill="1" applyBorder="1">
      <alignment vertical="center"/>
    </xf>
    <xf numFmtId="180" fontId="23" fillId="0" borderId="1" xfId="0" applyNumberFormat="1" applyFont="1" applyFill="1" applyBorder="1" applyAlignment="1">
      <alignment horizontal="center" vertical="center" wrapText="1"/>
    </xf>
    <xf numFmtId="180" fontId="14" fillId="0" borderId="1" xfId="0" applyNumberFormat="1" applyFont="1" applyFill="1" applyBorder="1">
      <alignment vertical="center"/>
    </xf>
    <xf numFmtId="180" fontId="0" fillId="10" borderId="0" xfId="0" applyNumberFormat="1" applyFill="1">
      <alignment vertical="center"/>
    </xf>
    <xf numFmtId="0" fontId="13" fillId="10" borderId="1" xfId="0" applyFont="1" applyFill="1" applyBorder="1" applyAlignment="1">
      <alignment horizontal="center" vertical="center"/>
    </xf>
    <xf numFmtId="0" fontId="0" fillId="10" borderId="0" xfId="0" applyFill="1" applyAlignment="1">
      <alignment horizontal="center" vertical="center"/>
    </xf>
    <xf numFmtId="182" fontId="14" fillId="0" borderId="1" xfId="0" applyNumberFormat="1" applyFont="1" applyFill="1" applyBorder="1" applyAlignment="1">
      <alignment horizontal="center" vertical="center"/>
    </xf>
    <xf numFmtId="177" fontId="10" fillId="17" borderId="1" xfId="0" applyNumberFormat="1" applyFont="1" applyFill="1" applyBorder="1" applyAlignment="1">
      <alignment horizontal="center" vertical="center"/>
    </xf>
    <xf numFmtId="176" fontId="10" fillId="17" borderId="1" xfId="0" applyNumberFormat="1" applyFont="1" applyFill="1" applyBorder="1" applyAlignment="1">
      <alignment vertical="center"/>
    </xf>
    <xf numFmtId="177" fontId="23" fillId="17" borderId="1" xfId="0" applyNumberFormat="1" applyFont="1" applyFill="1" applyBorder="1" applyAlignment="1">
      <alignment horizontal="center" vertical="center"/>
    </xf>
    <xf numFmtId="0" fontId="13" fillId="18" borderId="1" xfId="0" applyFont="1" applyFill="1" applyBorder="1" applyAlignment="1">
      <alignment horizontal="center" vertical="center"/>
    </xf>
    <xf numFmtId="0" fontId="13" fillId="18" borderId="1" xfId="0" applyFont="1" applyFill="1" applyBorder="1" applyAlignment="1">
      <alignment vertical="center"/>
    </xf>
    <xf numFmtId="176" fontId="14" fillId="18" borderId="1" xfId="0" applyNumberFormat="1" applyFont="1" applyFill="1" applyBorder="1">
      <alignment vertical="center"/>
    </xf>
    <xf numFmtId="180" fontId="14" fillId="18" borderId="1" xfId="0" applyNumberFormat="1" applyFont="1" applyFill="1" applyBorder="1">
      <alignment vertical="center"/>
    </xf>
    <xf numFmtId="179" fontId="14" fillId="18" borderId="1" xfId="0" applyNumberFormat="1" applyFont="1" applyFill="1" applyBorder="1">
      <alignment vertical="center"/>
    </xf>
    <xf numFmtId="177" fontId="22" fillId="18" borderId="1" xfId="0" applyNumberFormat="1" applyFont="1" applyFill="1" applyBorder="1">
      <alignment vertical="center"/>
    </xf>
    <xf numFmtId="177" fontId="14" fillId="18" borderId="1" xfId="0" applyNumberFormat="1" applyFont="1" applyFill="1" applyBorder="1" applyAlignment="1">
      <alignment horizontal="center" vertical="center"/>
    </xf>
    <xf numFmtId="0" fontId="0" fillId="0" borderId="0" xfId="0" applyAlignment="1">
      <alignment horizontal="center" vertical="center"/>
    </xf>
    <xf numFmtId="178" fontId="24" fillId="19" borderId="1" xfId="0" applyNumberFormat="1" applyFont="1" applyFill="1" applyBorder="1" applyAlignment="1">
      <alignment horizontal="center" vertical="center" wrapText="1"/>
    </xf>
    <xf numFmtId="178" fontId="24" fillId="19" borderId="1" xfId="0" applyNumberFormat="1" applyFont="1" applyFill="1" applyBorder="1" applyAlignment="1">
      <alignment horizontal="center" vertical="center"/>
    </xf>
    <xf numFmtId="177" fontId="11" fillId="19" borderId="1" xfId="0" applyNumberFormat="1" applyFont="1" applyFill="1" applyBorder="1" applyAlignment="1">
      <alignment horizontal="center" vertical="center"/>
    </xf>
    <xf numFmtId="0" fontId="0" fillId="19" borderId="0" xfId="0" applyFill="1" applyAlignment="1">
      <alignment horizontal="center" vertical="center"/>
    </xf>
    <xf numFmtId="177" fontId="24" fillId="0" borderId="1" xfId="0" applyNumberFormat="1" applyFont="1" applyBorder="1" applyAlignment="1">
      <alignment horizontal="center" vertical="center" wrapText="1"/>
    </xf>
    <xf numFmtId="177" fontId="24" fillId="20" borderId="1" xfId="0" applyNumberFormat="1" applyFont="1" applyFill="1" applyBorder="1" applyAlignment="1">
      <alignment horizontal="center" vertical="center" wrapText="1"/>
    </xf>
    <xf numFmtId="177" fontId="11" fillId="20" borderId="1" xfId="0" applyNumberFormat="1" applyFont="1" applyFill="1" applyBorder="1" applyAlignment="1">
      <alignment horizontal="center" vertical="center"/>
    </xf>
    <xf numFmtId="176" fontId="23" fillId="14" borderId="1" xfId="0" applyNumberFormat="1" applyFont="1" applyFill="1" applyBorder="1" applyAlignment="1">
      <alignment horizontal="center" vertical="center"/>
    </xf>
    <xf numFmtId="176" fontId="11" fillId="0" borderId="1" xfId="0" applyNumberFormat="1" applyFont="1" applyBorder="1">
      <alignment vertical="center"/>
    </xf>
    <xf numFmtId="176" fontId="23" fillId="10" borderId="1" xfId="0" applyNumberFormat="1" applyFont="1" applyFill="1" applyBorder="1" applyAlignment="1">
      <alignment horizontal="center" vertical="center" wrapText="1"/>
    </xf>
    <xf numFmtId="177" fontId="11" fillId="13" borderId="1" xfId="0" applyNumberFormat="1" applyFont="1" applyFill="1" applyBorder="1" applyAlignment="1">
      <alignment horizontal="center" vertical="center"/>
    </xf>
    <xf numFmtId="178" fontId="11" fillId="13" borderId="1" xfId="0" applyNumberFormat="1" applyFont="1" applyFill="1" applyBorder="1" applyAlignment="1">
      <alignment horizontal="center" vertical="center"/>
    </xf>
    <xf numFmtId="181" fontId="0" fillId="0" borderId="0" xfId="0" applyNumberFormat="1" applyAlignment="1">
      <alignment horizontal="center" vertical="center"/>
    </xf>
    <xf numFmtId="181" fontId="10" fillId="0" borderId="1" xfId="0" applyNumberFormat="1" applyFont="1" applyBorder="1" applyAlignment="1">
      <alignment horizontal="center" vertical="center" wrapText="1"/>
    </xf>
    <xf numFmtId="181" fontId="14" fillId="0" borderId="1" xfId="0" applyNumberFormat="1" applyFont="1" applyBorder="1" applyAlignment="1">
      <alignment horizontal="center" vertical="center"/>
    </xf>
    <xf numFmtId="177" fontId="14" fillId="21" borderId="1" xfId="0" applyNumberFormat="1" applyFont="1" applyFill="1" applyBorder="1" applyAlignment="1">
      <alignment horizontal="center" vertical="center"/>
    </xf>
    <xf numFmtId="178" fontId="14" fillId="21" borderId="1" xfId="0" applyNumberFormat="1" applyFont="1" applyFill="1" applyBorder="1" applyAlignment="1">
      <alignment horizontal="center" vertical="center"/>
    </xf>
    <xf numFmtId="0" fontId="29" fillId="0" borderId="1" xfId="0" applyFont="1" applyBorder="1">
      <alignment vertical="center"/>
    </xf>
    <xf numFmtId="177" fontId="30" fillId="0" borderId="1" xfId="0" applyNumberFormat="1" applyFont="1" applyBorder="1">
      <alignment vertical="center"/>
    </xf>
    <xf numFmtId="180" fontId="30" fillId="0" borderId="1" xfId="0" applyNumberFormat="1" applyFont="1" applyBorder="1">
      <alignment vertical="center"/>
    </xf>
    <xf numFmtId="180" fontId="30" fillId="15" borderId="1" xfId="0" applyNumberFormat="1" applyFont="1" applyFill="1" applyBorder="1">
      <alignment vertical="center"/>
    </xf>
    <xf numFmtId="181" fontId="30" fillId="0" borderId="1" xfId="0" applyNumberFormat="1" applyFont="1" applyBorder="1">
      <alignment vertical="center"/>
    </xf>
    <xf numFmtId="0" fontId="30" fillId="0" borderId="0" xfId="0" applyFont="1">
      <alignment vertical="center"/>
    </xf>
    <xf numFmtId="180" fontId="30" fillId="0" borderId="0" xfId="0" applyNumberFormat="1" applyFont="1">
      <alignment vertical="center"/>
    </xf>
    <xf numFmtId="0" fontId="0" fillId="22" borderId="0" xfId="0" applyFill="1">
      <alignment vertical="center"/>
    </xf>
    <xf numFmtId="0" fontId="0" fillId="22" borderId="0" xfId="0" applyFill="1" applyAlignment="1">
      <alignment vertical="center"/>
    </xf>
    <xf numFmtId="0" fontId="0" fillId="22" borderId="0" xfId="0" applyFill="1" applyAlignment="1">
      <alignment horizontal="center" vertical="center"/>
    </xf>
    <xf numFmtId="177" fontId="14" fillId="13" borderId="1" xfId="0" applyNumberFormat="1" applyFont="1" applyFill="1" applyBorder="1" applyAlignment="1">
      <alignment horizontal="center" vertical="center"/>
    </xf>
    <xf numFmtId="179" fontId="14" fillId="0" borderId="1" xfId="0" applyNumberFormat="1" applyFont="1" applyFill="1" applyBorder="1">
      <alignment vertical="center"/>
    </xf>
    <xf numFmtId="0" fontId="13" fillId="0" borderId="1" xfId="0" applyFont="1" applyFill="1" applyBorder="1" applyAlignment="1">
      <alignment vertical="center"/>
    </xf>
    <xf numFmtId="0" fontId="0" fillId="10" borderId="0" xfId="0" applyFill="1" applyAlignment="1">
      <alignment vertical="center"/>
    </xf>
    <xf numFmtId="0" fontId="11" fillId="10" borderId="0" xfId="0" applyFont="1" applyFill="1">
      <alignment vertical="center"/>
    </xf>
    <xf numFmtId="0" fontId="0" fillId="23" borderId="0" xfId="0" applyFill="1">
      <alignment vertical="center"/>
    </xf>
    <xf numFmtId="176" fontId="0" fillId="23" borderId="0" xfId="0" applyNumberFormat="1" applyFill="1">
      <alignment vertical="center"/>
    </xf>
    <xf numFmtId="0" fontId="11" fillId="23" borderId="0" xfId="0" applyFont="1" applyFill="1">
      <alignment vertical="center"/>
    </xf>
    <xf numFmtId="0" fontId="0" fillId="10" borderId="10" xfId="0" applyFill="1" applyBorder="1">
      <alignment vertical="center"/>
    </xf>
    <xf numFmtId="0" fontId="23" fillId="10" borderId="6" xfId="0" applyFont="1" applyFill="1" applyBorder="1" applyAlignment="1">
      <alignment vertical="center"/>
    </xf>
    <xf numFmtId="0" fontId="7" fillId="10" borderId="0" xfId="0" applyFont="1" applyFill="1" applyAlignment="1">
      <alignment horizontal="center" vertical="center"/>
    </xf>
    <xf numFmtId="0" fontId="11" fillId="10" borderId="0" xfId="0" applyFont="1" applyFill="1" applyAlignment="1">
      <alignment horizontal="left" vertical="center" wrapText="1"/>
    </xf>
    <xf numFmtId="0" fontId="0" fillId="24" borderId="0" xfId="0" applyFill="1">
      <alignment vertical="center"/>
    </xf>
    <xf numFmtId="0" fontId="0" fillId="24" borderId="0" xfId="0" applyFill="1" applyAlignment="1">
      <alignment vertical="center"/>
    </xf>
    <xf numFmtId="0" fontId="11" fillId="24" borderId="0" xfId="0" applyFont="1" applyFill="1" applyAlignment="1">
      <alignment horizontal="left" vertical="center" wrapText="1"/>
    </xf>
    <xf numFmtId="0" fontId="0" fillId="23" borderId="0" xfId="0" applyFill="1" applyAlignment="1">
      <alignment horizontal="center" vertical="center"/>
    </xf>
    <xf numFmtId="0" fontId="0" fillId="24" borderId="0" xfId="0" applyFill="1" applyAlignment="1">
      <alignment horizontal="center" vertical="center"/>
    </xf>
    <xf numFmtId="0" fontId="11" fillId="24" borderId="0" xfId="0" applyFont="1" applyFill="1" applyAlignment="1">
      <alignment horizontal="center" vertical="center" wrapText="1"/>
    </xf>
    <xf numFmtId="0" fontId="11" fillId="10" borderId="0" xfId="0" applyFont="1" applyFill="1" applyAlignment="1">
      <alignment horizontal="center" vertical="center" wrapText="1"/>
    </xf>
    <xf numFmtId="0" fontId="23" fillId="10" borderId="6" xfId="0" applyFont="1" applyFill="1" applyBorder="1" applyAlignment="1">
      <alignment horizontal="center" vertical="center"/>
    </xf>
    <xf numFmtId="0" fontId="23" fillId="10" borderId="7" xfId="0" applyFont="1" applyFill="1" applyBorder="1" applyAlignment="1">
      <alignment horizontal="center" vertical="center"/>
    </xf>
    <xf numFmtId="0" fontId="7" fillId="10" borderId="4" xfId="0" applyFont="1" applyFill="1" applyBorder="1" applyAlignment="1">
      <alignment horizontal="center" vertical="center"/>
    </xf>
    <xf numFmtId="176" fontId="7" fillId="3" borderId="4" xfId="0" applyNumberFormat="1" applyFont="1" applyFill="1" applyBorder="1">
      <alignment vertical="center"/>
    </xf>
    <xf numFmtId="176" fontId="7" fillId="25" borderId="4" xfId="0" applyNumberFormat="1" applyFont="1" applyFill="1" applyBorder="1">
      <alignment vertical="center"/>
    </xf>
    <xf numFmtId="0" fontId="7" fillId="23" borderId="0" xfId="0" applyFont="1" applyFill="1" applyAlignment="1">
      <alignment horizontal="center" vertical="center"/>
    </xf>
    <xf numFmtId="176" fontId="7" fillId="25" borderId="4" xfId="0" applyNumberFormat="1" applyFont="1" applyFill="1" applyBorder="1" applyAlignment="1">
      <alignment horizontal="center" vertical="center"/>
    </xf>
    <xf numFmtId="176" fontId="7" fillId="10" borderId="4" xfId="0" applyNumberFormat="1" applyFont="1" applyFill="1" applyBorder="1" applyAlignment="1">
      <alignment horizontal="center" vertical="center"/>
    </xf>
    <xf numFmtId="0" fontId="7" fillId="10" borderId="10" xfId="0" applyFont="1" applyFill="1" applyBorder="1" applyAlignment="1">
      <alignment horizontal="center" vertical="center"/>
    </xf>
    <xf numFmtId="0" fontId="8" fillId="23" borderId="0" xfId="0" applyFont="1" applyFill="1" applyAlignment="1">
      <alignment horizontal="center" vertical="center"/>
    </xf>
    <xf numFmtId="0" fontId="8" fillId="10" borderId="0" xfId="0" applyFont="1" applyFill="1" applyAlignment="1">
      <alignment horizontal="center" vertical="center"/>
    </xf>
    <xf numFmtId="0" fontId="11" fillId="26" borderId="4" xfId="0" applyFont="1" applyFill="1" applyBorder="1">
      <alignment vertical="center"/>
    </xf>
    <xf numFmtId="0" fontId="11" fillId="26" borderId="4" xfId="0" applyFont="1" applyFill="1" applyBorder="1" applyAlignment="1">
      <alignment horizontal="center" vertical="center"/>
    </xf>
    <xf numFmtId="0" fontId="11" fillId="26" borderId="10" xfId="0" applyFont="1" applyFill="1" applyBorder="1">
      <alignment vertical="center"/>
    </xf>
    <xf numFmtId="0" fontId="11" fillId="27" borderId="4" xfId="0" applyFont="1" applyFill="1" applyBorder="1">
      <alignment vertical="center"/>
    </xf>
    <xf numFmtId="0" fontId="11" fillId="27" borderId="4" xfId="0" applyFont="1" applyFill="1" applyBorder="1" applyAlignment="1">
      <alignment horizontal="center" vertical="center"/>
    </xf>
    <xf numFmtId="0" fontId="11" fillId="27" borderId="10" xfId="0" applyFont="1" applyFill="1" applyBorder="1">
      <alignment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1" fillId="4" borderId="10" xfId="0" applyFont="1" applyFill="1" applyBorder="1">
      <alignment vertical="center"/>
    </xf>
    <xf numFmtId="0" fontId="11" fillId="28" borderId="4" xfId="0" applyFont="1" applyFill="1" applyBorder="1">
      <alignment vertical="center"/>
    </xf>
    <xf numFmtId="0" fontId="11" fillId="28" borderId="4" xfId="0" applyFont="1" applyFill="1" applyBorder="1" applyAlignment="1">
      <alignment horizontal="center" vertical="center"/>
    </xf>
    <xf numFmtId="0" fontId="11" fillId="28" borderId="10" xfId="0" applyFont="1" applyFill="1" applyBorder="1">
      <alignment vertical="center"/>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10" xfId="0" applyFont="1" applyFill="1" applyBorder="1">
      <alignment vertical="center"/>
    </xf>
    <xf numFmtId="0" fontId="11" fillId="29" borderId="4" xfId="0" applyFont="1" applyFill="1" applyBorder="1">
      <alignment vertical="center"/>
    </xf>
    <xf numFmtId="0" fontId="11" fillId="29" borderId="4" xfId="0" applyFont="1" applyFill="1" applyBorder="1" applyAlignment="1">
      <alignment horizontal="center" vertical="center"/>
    </xf>
    <xf numFmtId="0" fontId="11" fillId="29" borderId="10" xfId="0" applyFont="1" applyFill="1" applyBorder="1">
      <alignment vertical="center"/>
    </xf>
    <xf numFmtId="0" fontId="0" fillId="0" borderId="0" xfId="0" applyAlignment="1">
      <alignment horizontal="center" vertical="center"/>
    </xf>
    <xf numFmtId="0" fontId="11" fillId="22" borderId="2" xfId="0" applyFont="1" applyFill="1" applyBorder="1">
      <alignment vertical="center"/>
    </xf>
    <xf numFmtId="180" fontId="11" fillId="22" borderId="4" xfId="0" applyNumberFormat="1" applyFont="1" applyFill="1" applyBorder="1">
      <alignment vertical="center"/>
    </xf>
    <xf numFmtId="180" fontId="11" fillId="22" borderId="3" xfId="0" applyNumberFormat="1" applyFont="1" applyFill="1" applyBorder="1">
      <alignment vertical="center"/>
    </xf>
    <xf numFmtId="0" fontId="23" fillId="22" borderId="2" xfId="0" applyFont="1" applyFill="1" applyBorder="1" applyAlignment="1">
      <alignment horizontal="center" vertical="center"/>
    </xf>
    <xf numFmtId="177" fontId="23" fillId="22" borderId="4" xfId="0" applyNumberFormat="1" applyFont="1" applyFill="1" applyBorder="1" applyAlignment="1">
      <alignment horizontal="center" vertical="center"/>
    </xf>
    <xf numFmtId="180" fontId="23" fillId="22" borderId="4" xfId="0" applyNumberFormat="1" applyFont="1" applyFill="1" applyBorder="1" applyAlignment="1">
      <alignment horizontal="center" vertical="center"/>
    </xf>
    <xf numFmtId="180" fontId="15" fillId="22" borderId="4" xfId="0" applyNumberFormat="1" applyFont="1" applyFill="1" applyBorder="1" applyAlignment="1">
      <alignment horizontal="center" vertical="center"/>
    </xf>
    <xf numFmtId="180" fontId="15" fillId="22" borderId="3" xfId="0" applyNumberFormat="1" applyFont="1" applyFill="1" applyBorder="1" applyAlignment="1">
      <alignment horizontal="center" vertical="center"/>
    </xf>
    <xf numFmtId="177" fontId="0" fillId="23" borderId="0" xfId="0" applyNumberFormat="1" applyFill="1">
      <alignment vertical="center"/>
    </xf>
    <xf numFmtId="177" fontId="31" fillId="24" borderId="0" xfId="0" applyNumberFormat="1" applyFont="1" applyFill="1" applyAlignment="1">
      <alignment horizontal="left" vertical="center" indent="4"/>
    </xf>
    <xf numFmtId="177" fontId="31" fillId="24" borderId="0" xfId="0" applyNumberFormat="1" applyFont="1" applyFill="1" applyAlignment="1">
      <alignment horizontal="left" vertical="center" indent="3"/>
    </xf>
    <xf numFmtId="177" fontId="16" fillId="24" borderId="0" xfId="0" applyNumberFormat="1" applyFont="1" applyFill="1" applyAlignment="1">
      <alignment horizontal="left" vertical="center" indent="1"/>
    </xf>
    <xf numFmtId="177" fontId="11" fillId="24" borderId="0" xfId="0" applyNumberFormat="1" applyFont="1" applyFill="1" applyAlignment="1">
      <alignment horizontal="left" vertical="center" wrapText="1"/>
    </xf>
    <xf numFmtId="177" fontId="11" fillId="10" borderId="0" xfId="0" applyNumberFormat="1" applyFont="1" applyFill="1" applyAlignment="1">
      <alignment horizontal="left" vertical="center" wrapText="1"/>
    </xf>
    <xf numFmtId="177" fontId="23" fillId="10" borderId="0" xfId="0" applyNumberFormat="1" applyFont="1" applyFill="1" applyBorder="1" applyAlignment="1">
      <alignment horizontal="center" vertical="center"/>
    </xf>
    <xf numFmtId="177" fontId="7" fillId="25" borderId="4" xfId="0" applyNumberFormat="1" applyFont="1" applyFill="1" applyBorder="1" applyAlignment="1">
      <alignment horizontal="center" vertical="center"/>
    </xf>
    <xf numFmtId="177" fontId="7" fillId="10" borderId="3" xfId="0" applyNumberFormat="1" applyFont="1" applyFill="1" applyBorder="1" applyAlignment="1">
      <alignment horizontal="center" vertical="center"/>
    </xf>
    <xf numFmtId="177" fontId="7" fillId="10" borderId="0" xfId="0" applyNumberFormat="1" applyFont="1" applyFill="1" applyBorder="1" applyAlignment="1">
      <alignment horizontal="center" vertical="center"/>
    </xf>
    <xf numFmtId="177" fontId="7" fillId="10" borderId="2" xfId="0" applyNumberFormat="1" applyFont="1" applyFill="1" applyBorder="1" applyAlignment="1">
      <alignment horizontal="center" vertical="center"/>
    </xf>
    <xf numFmtId="177" fontId="7" fillId="10" borderId="4" xfId="0" applyNumberFormat="1" applyFont="1" applyFill="1" applyBorder="1" applyAlignment="1">
      <alignment horizontal="center" vertical="center"/>
    </xf>
    <xf numFmtId="177" fontId="11" fillId="3" borderId="4" xfId="0" applyNumberFormat="1" applyFont="1" applyFill="1" applyBorder="1" applyAlignment="1">
      <alignment horizontal="center" vertical="center"/>
    </xf>
    <xf numFmtId="177" fontId="11" fillId="26" borderId="4" xfId="0" applyNumberFormat="1" applyFont="1" applyFill="1" applyBorder="1" applyAlignment="1">
      <alignment horizontal="center" vertical="center"/>
    </xf>
    <xf numFmtId="177" fontId="11" fillId="28" borderId="4" xfId="0" applyNumberFormat="1" applyFont="1" applyFill="1" applyBorder="1" applyAlignment="1">
      <alignment horizontal="center" vertical="center"/>
    </xf>
    <xf numFmtId="177" fontId="11" fillId="27" borderId="4" xfId="0" applyNumberFormat="1" applyFont="1" applyFill="1" applyBorder="1" applyAlignment="1">
      <alignment horizontal="center" vertical="center"/>
    </xf>
    <xf numFmtId="177" fontId="11" fillId="4" borderId="4" xfId="0" applyNumberFormat="1" applyFont="1" applyFill="1" applyBorder="1" applyAlignment="1">
      <alignment horizontal="center" vertical="center"/>
    </xf>
    <xf numFmtId="177" fontId="11" fillId="29" borderId="4" xfId="0" applyNumberFormat="1" applyFont="1" applyFill="1" applyBorder="1" applyAlignment="1">
      <alignment horizontal="center" vertical="center"/>
    </xf>
    <xf numFmtId="177" fontId="11" fillId="25" borderId="4" xfId="0" applyNumberFormat="1" applyFont="1" applyFill="1" applyBorder="1">
      <alignment vertical="center"/>
    </xf>
    <xf numFmtId="177" fontId="11" fillId="25" borderId="4" xfId="0" applyNumberFormat="1" applyFont="1" applyFill="1" applyBorder="1" applyAlignment="1">
      <alignment horizontal="center" vertical="center"/>
    </xf>
    <xf numFmtId="177" fontId="11" fillId="3" borderId="3" xfId="0" applyNumberFormat="1" applyFont="1" applyFill="1" applyBorder="1">
      <alignment vertical="center"/>
    </xf>
    <xf numFmtId="177" fontId="11" fillId="26" borderId="3" xfId="0" applyNumberFormat="1" applyFont="1" applyFill="1" applyBorder="1">
      <alignment vertical="center"/>
    </xf>
    <xf numFmtId="177" fontId="11" fillId="28" borderId="3" xfId="0" applyNumberFormat="1" applyFont="1" applyFill="1" applyBorder="1">
      <alignment vertical="center"/>
    </xf>
    <xf numFmtId="177" fontId="11" fillId="27" borderId="3" xfId="0" applyNumberFormat="1" applyFont="1" applyFill="1" applyBorder="1">
      <alignment vertical="center"/>
    </xf>
    <xf numFmtId="177" fontId="11" fillId="4" borderId="3" xfId="0" applyNumberFormat="1" applyFont="1" applyFill="1" applyBorder="1">
      <alignment vertical="center"/>
    </xf>
    <xf numFmtId="177" fontId="11" fillId="29" borderId="3" xfId="0" applyNumberFormat="1" applyFont="1" applyFill="1" applyBorder="1">
      <alignment vertical="center"/>
    </xf>
    <xf numFmtId="177" fontId="11" fillId="3" borderId="2" xfId="0" applyNumberFormat="1" applyFont="1" applyFill="1" applyBorder="1">
      <alignment vertical="center"/>
    </xf>
    <xf numFmtId="177" fontId="11" fillId="3" borderId="3" xfId="0" applyNumberFormat="1" applyFont="1" applyFill="1" applyBorder="1" applyAlignment="1">
      <alignment horizontal="center" vertical="center"/>
    </xf>
    <xf numFmtId="177" fontId="11" fillId="26" borderId="2" xfId="0" applyNumberFormat="1" applyFont="1" applyFill="1" applyBorder="1">
      <alignment vertical="center"/>
    </xf>
    <xf numFmtId="177" fontId="11" fillId="26" borderId="3" xfId="0" applyNumberFormat="1" applyFont="1" applyFill="1" applyBorder="1" applyAlignment="1">
      <alignment horizontal="center" vertical="center"/>
    </xf>
    <xf numFmtId="177" fontId="11" fillId="28" borderId="2" xfId="0" applyNumberFormat="1" applyFont="1" applyFill="1" applyBorder="1">
      <alignment vertical="center"/>
    </xf>
    <xf numFmtId="177" fontId="11" fillId="28" borderId="3" xfId="0" applyNumberFormat="1" applyFont="1" applyFill="1" applyBorder="1" applyAlignment="1">
      <alignment horizontal="center" vertical="center"/>
    </xf>
    <xf numFmtId="177" fontId="11" fillId="27" borderId="2" xfId="0" applyNumberFormat="1" applyFont="1" applyFill="1" applyBorder="1">
      <alignment vertical="center"/>
    </xf>
    <xf numFmtId="177" fontId="11" fillId="27" borderId="3" xfId="0" applyNumberFormat="1" applyFont="1" applyFill="1" applyBorder="1" applyAlignment="1">
      <alignment horizontal="center" vertical="center"/>
    </xf>
    <xf numFmtId="177" fontId="11" fillId="4" borderId="2" xfId="0" applyNumberFormat="1" applyFont="1" applyFill="1" applyBorder="1">
      <alignment vertical="center"/>
    </xf>
    <xf numFmtId="177" fontId="11" fillId="4" borderId="3" xfId="0" applyNumberFormat="1" applyFont="1" applyFill="1" applyBorder="1" applyAlignment="1">
      <alignment horizontal="center" vertical="center"/>
    </xf>
    <xf numFmtId="177" fontId="11" fillId="29" borderId="2" xfId="0" applyNumberFormat="1" applyFont="1" applyFill="1" applyBorder="1">
      <alignment vertical="center"/>
    </xf>
    <xf numFmtId="177" fontId="11" fillId="29" borderId="3" xfId="0" applyNumberFormat="1" applyFont="1" applyFill="1" applyBorder="1" applyAlignment="1">
      <alignment horizontal="center" vertical="center"/>
    </xf>
    <xf numFmtId="177" fontId="11" fillId="3" borderId="10" xfId="0" applyNumberFormat="1" applyFont="1" applyFill="1" applyBorder="1" applyAlignment="1">
      <alignment horizontal="center" vertical="center"/>
    </xf>
    <xf numFmtId="177" fontId="11" fillId="26" borderId="10" xfId="0" applyNumberFormat="1" applyFont="1" applyFill="1" applyBorder="1" applyAlignment="1">
      <alignment horizontal="center" vertical="center"/>
    </xf>
    <xf numFmtId="177" fontId="11" fillId="28" borderId="10" xfId="0" applyNumberFormat="1" applyFont="1" applyFill="1" applyBorder="1" applyAlignment="1">
      <alignment horizontal="center" vertical="center"/>
    </xf>
    <xf numFmtId="177" fontId="11" fillId="27" borderId="10" xfId="0" applyNumberFormat="1" applyFont="1" applyFill="1" applyBorder="1" applyAlignment="1">
      <alignment horizontal="center" vertical="center"/>
    </xf>
    <xf numFmtId="177" fontId="11" fillId="4" borderId="10" xfId="0" applyNumberFormat="1" applyFont="1" applyFill="1" applyBorder="1" applyAlignment="1">
      <alignment horizontal="center" vertical="center"/>
    </xf>
    <xf numFmtId="177" fontId="11" fillId="29" borderId="10" xfId="0" applyNumberFormat="1" applyFont="1" applyFill="1" applyBorder="1" applyAlignment="1">
      <alignment horizontal="center" vertical="center"/>
    </xf>
    <xf numFmtId="0" fontId="0" fillId="0" borderId="0" xfId="0" applyAlignment="1">
      <alignment vertical="center" wrapText="1"/>
    </xf>
    <xf numFmtId="177" fontId="7" fillId="10" borderId="10" xfId="0" applyNumberFormat="1" applyFont="1" applyFill="1" applyBorder="1" applyAlignment="1">
      <alignment horizontal="center" vertical="center"/>
    </xf>
    <xf numFmtId="177" fontId="7" fillId="10" borderId="2" xfId="0" applyNumberFormat="1" applyFont="1" applyFill="1" applyBorder="1" applyAlignment="1">
      <alignment horizontal="center" vertical="center"/>
    </xf>
    <xf numFmtId="177" fontId="7" fillId="10" borderId="3" xfId="0" applyNumberFormat="1" applyFont="1" applyFill="1" applyBorder="1" applyAlignment="1">
      <alignment horizontal="center" vertical="center"/>
    </xf>
    <xf numFmtId="177" fontId="7" fillId="10" borderId="1" xfId="0" applyNumberFormat="1" applyFont="1" applyFill="1" applyBorder="1" applyAlignment="1">
      <alignment horizontal="center" vertical="center"/>
    </xf>
    <xf numFmtId="0" fontId="11" fillId="19" borderId="1" xfId="0" applyFont="1" applyFill="1" applyBorder="1" applyAlignment="1">
      <alignment horizontal="center" vertical="center"/>
    </xf>
    <xf numFmtId="0" fontId="13" fillId="19" borderId="1" xfId="0" applyFont="1" applyFill="1" applyBorder="1" applyAlignment="1">
      <alignment vertical="center"/>
    </xf>
    <xf numFmtId="0" fontId="0" fillId="19" borderId="0" xfId="0" applyFill="1">
      <alignment vertical="center"/>
    </xf>
    <xf numFmtId="176" fontId="0" fillId="19" borderId="0" xfId="0" applyNumberFormat="1" applyFill="1">
      <alignment vertical="center"/>
    </xf>
    <xf numFmtId="0" fontId="13" fillId="19" borderId="1" xfId="0" applyFont="1" applyFill="1" applyBorder="1" applyAlignment="1">
      <alignment horizontal="center" vertical="center"/>
    </xf>
    <xf numFmtId="177" fontId="28" fillId="30" borderId="4" xfId="0" applyNumberFormat="1" applyFont="1" applyFill="1" applyBorder="1">
      <alignment vertical="center"/>
    </xf>
    <xf numFmtId="0" fontId="0" fillId="0" borderId="0" xfId="0" applyAlignment="1">
      <alignment horizontal="center" vertical="center"/>
    </xf>
    <xf numFmtId="181" fontId="0" fillId="22" borderId="0" xfId="0" applyNumberFormat="1" applyFill="1">
      <alignment vertical="center"/>
    </xf>
    <xf numFmtId="181" fontId="23" fillId="22" borderId="13" xfId="0" applyNumberFormat="1" applyFont="1" applyFill="1" applyBorder="1" applyAlignment="1">
      <alignment horizontal="center" vertical="center"/>
    </xf>
    <xf numFmtId="181" fontId="23" fillId="22" borderId="9" xfId="0" applyNumberFormat="1" applyFont="1" applyFill="1" applyBorder="1" applyAlignment="1">
      <alignment horizontal="center" vertical="center"/>
    </xf>
    <xf numFmtId="177" fontId="11" fillId="22" borderId="4" xfId="0" applyNumberFormat="1" applyFont="1" applyFill="1" applyBorder="1">
      <alignment vertical="center"/>
    </xf>
    <xf numFmtId="177" fontId="11" fillId="31" borderId="4" xfId="0" applyNumberFormat="1" applyFont="1" applyFill="1" applyBorder="1">
      <alignment vertical="center"/>
    </xf>
    <xf numFmtId="0" fontId="32" fillId="0" borderId="0" xfId="0" applyFont="1">
      <alignment vertical="center"/>
    </xf>
    <xf numFmtId="0" fontId="33" fillId="0" borderId="0" xfId="0" applyFont="1" applyAlignment="1">
      <alignment horizontal="left" vertical="center" wrapText="1" indent="1"/>
    </xf>
    <xf numFmtId="0" fontId="34" fillId="0" borderId="0" xfId="0" applyFont="1" applyAlignment="1">
      <alignment horizontal="left" vertical="center" wrapText="1" indent="1"/>
    </xf>
    <xf numFmtId="0" fontId="16" fillId="0" borderId="1" xfId="0" applyFont="1" applyBorder="1">
      <alignment vertical="center"/>
    </xf>
    <xf numFmtId="0" fontId="17" fillId="0" borderId="1" xfId="0" applyFont="1" applyBorder="1" applyAlignment="1">
      <alignment vertical="center"/>
    </xf>
    <xf numFmtId="0" fontId="17" fillId="0" borderId="1" xfId="0" applyFont="1" applyBorder="1">
      <alignment vertical="center"/>
    </xf>
    <xf numFmtId="41" fontId="0" fillId="0" borderId="0" xfId="1" applyFont="1">
      <alignment vertical="center"/>
    </xf>
    <xf numFmtId="41" fontId="11" fillId="0" borderId="0" xfId="1" applyFont="1">
      <alignment vertical="center"/>
    </xf>
    <xf numFmtId="41" fontId="7" fillId="0" borderId="0" xfId="1" applyFont="1">
      <alignment vertical="center"/>
    </xf>
    <xf numFmtId="0" fontId="7" fillId="0" borderId="0" xfId="0" applyFont="1">
      <alignment vertical="center"/>
    </xf>
    <xf numFmtId="0" fontId="12" fillId="5" borderId="6" xfId="0" applyFont="1" applyFill="1" applyBorder="1" applyAlignment="1">
      <alignment horizontal="center" vertical="center"/>
    </xf>
    <xf numFmtId="0" fontId="14" fillId="0" borderId="8" xfId="0" applyFont="1" applyBorder="1" applyAlignment="1">
      <alignment horizontal="center" vertical="center"/>
    </xf>
    <xf numFmtId="0" fontId="14" fillId="0" borderId="10" xfId="0" applyFont="1" applyBorder="1" applyAlignment="1">
      <alignment horizontal="center" vertical="center"/>
    </xf>
    <xf numFmtId="0" fontId="14" fillId="0" borderId="9" xfId="0" applyFont="1" applyBorder="1" applyAlignment="1">
      <alignment horizontal="center" vertical="center"/>
    </xf>
    <xf numFmtId="0" fontId="14" fillId="0" borderId="1" xfId="0" applyFont="1" applyBorder="1" applyAlignment="1">
      <alignment horizontal="center" vertical="center"/>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 xfId="0" applyFont="1" applyBorder="1" applyAlignment="1">
      <alignment horizontal="center" vertical="center" wrapText="1"/>
    </xf>
    <xf numFmtId="178" fontId="0" fillId="0" borderId="1" xfId="0" applyNumberFormat="1" applyBorder="1" applyAlignment="1">
      <alignment horizontal="center" vertical="center" wrapText="1"/>
    </xf>
    <xf numFmtId="0" fontId="12" fillId="5" borderId="1" xfId="0" applyFont="1" applyFill="1" applyBorder="1" applyAlignment="1">
      <alignment horizontal="center" vertical="center"/>
    </xf>
    <xf numFmtId="0" fontId="13" fillId="0" borderId="1" xfId="0" applyFont="1" applyBorder="1" applyAlignment="1">
      <alignment horizontal="center" vertical="center"/>
    </xf>
    <xf numFmtId="0" fontId="12" fillId="5" borderId="0" xfId="0" applyFont="1" applyFill="1" applyBorder="1" applyAlignment="1">
      <alignment horizontal="center" vertical="center"/>
    </xf>
    <xf numFmtId="0" fontId="12" fillId="5" borderId="5" xfId="0" applyFont="1" applyFill="1" applyBorder="1" applyAlignment="1">
      <alignment horizontal="center" vertical="center"/>
    </xf>
    <xf numFmtId="178" fontId="10" fillId="0" borderId="1" xfId="0" applyNumberFormat="1" applyFont="1" applyBorder="1" applyAlignment="1">
      <alignment horizontal="center"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2" fillId="5" borderId="2"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3" xfId="0" applyFont="1" applyFill="1" applyBorder="1" applyAlignment="1">
      <alignment horizontal="center" vertical="center"/>
    </xf>
    <xf numFmtId="0" fontId="12" fillId="22" borderId="2" xfId="0" applyFont="1" applyFill="1" applyBorder="1" applyAlignment="1">
      <alignment horizontal="center" vertical="center"/>
    </xf>
    <xf numFmtId="0" fontId="12" fillId="22" borderId="4" xfId="0" applyFont="1" applyFill="1" applyBorder="1" applyAlignment="1">
      <alignment horizontal="center" vertical="center"/>
    </xf>
    <xf numFmtId="0" fontId="12" fillId="22" borderId="3" xfId="0" applyFont="1" applyFill="1" applyBorder="1" applyAlignment="1">
      <alignment horizontal="center" vertical="center"/>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11" fillId="0" borderId="9" xfId="0" applyFont="1" applyBorder="1" applyAlignment="1">
      <alignment horizontal="center" vertical="center"/>
    </xf>
    <xf numFmtId="176" fontId="14" fillId="10" borderId="8" xfId="0" applyNumberFormat="1" applyFont="1" applyFill="1" applyBorder="1" applyAlignment="1">
      <alignment horizontal="center" vertical="center"/>
    </xf>
    <xf numFmtId="176" fontId="14" fillId="10" borderId="10" xfId="0" applyNumberFormat="1" applyFont="1" applyFill="1" applyBorder="1" applyAlignment="1">
      <alignment horizontal="center" vertical="center"/>
    </xf>
    <xf numFmtId="176" fontId="14" fillId="10" borderId="9" xfId="0" applyNumberFormat="1" applyFont="1" applyFill="1" applyBorder="1" applyAlignment="1">
      <alignment horizontal="center" vertical="center"/>
    </xf>
    <xf numFmtId="0" fontId="12" fillId="9" borderId="12"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176" fontId="27" fillId="17" borderId="1" xfId="0" applyNumberFormat="1" applyFont="1" applyFill="1" applyBorder="1" applyAlignment="1">
      <alignment horizontal="center" vertical="center"/>
    </xf>
    <xf numFmtId="177" fontId="7" fillId="10" borderId="2" xfId="0" applyNumberFormat="1" applyFont="1" applyFill="1" applyBorder="1" applyAlignment="1">
      <alignment horizontal="center" vertical="center"/>
    </xf>
    <xf numFmtId="177" fontId="7" fillId="10" borderId="3" xfId="0" applyNumberFormat="1" applyFont="1" applyFill="1" applyBorder="1" applyAlignment="1">
      <alignment horizontal="center" vertical="center"/>
    </xf>
    <xf numFmtId="177" fontId="23" fillId="10" borderId="2" xfId="0" applyNumberFormat="1" applyFont="1" applyFill="1" applyBorder="1" applyAlignment="1">
      <alignment horizontal="center" vertical="center"/>
    </xf>
    <xf numFmtId="177" fontId="23" fillId="10" borderId="3" xfId="0" applyNumberFormat="1" applyFont="1" applyFill="1" applyBorder="1" applyAlignment="1">
      <alignment horizontal="center" vertical="center"/>
    </xf>
    <xf numFmtId="0" fontId="11" fillId="24" borderId="0" xfId="0" applyFont="1" applyFill="1" applyAlignment="1">
      <alignment horizontal="left" vertical="center" wrapText="1"/>
    </xf>
    <xf numFmtId="0" fontId="16" fillId="24" borderId="0" xfId="0" applyFont="1" applyFill="1" applyAlignment="1">
      <alignment horizontal="left" vertical="center" indent="1"/>
    </xf>
    <xf numFmtId="0" fontId="31" fillId="24" borderId="0" xfId="0" applyFont="1" applyFill="1" applyAlignment="1">
      <alignment horizontal="left" vertical="center" indent="4"/>
    </xf>
    <xf numFmtId="0" fontId="31" fillId="24" borderId="0" xfId="0" applyFont="1" applyFill="1" applyAlignment="1">
      <alignment horizontal="left" vertical="center" indent="3"/>
    </xf>
    <xf numFmtId="177" fontId="23" fillId="10" borderId="4" xfId="0" applyNumberFormat="1" applyFont="1" applyFill="1" applyBorder="1" applyAlignment="1">
      <alignment horizontal="center" vertical="center"/>
    </xf>
    <xf numFmtId="0" fontId="23" fillId="10" borderId="2" xfId="0" applyFont="1" applyFill="1" applyBorder="1" applyAlignment="1">
      <alignment horizontal="center" vertical="center"/>
    </xf>
    <xf numFmtId="0" fontId="23" fillId="10" borderId="4" xfId="0" applyFont="1" applyFill="1" applyBorder="1" applyAlignment="1">
      <alignment horizontal="center" vertical="center"/>
    </xf>
    <xf numFmtId="0" fontId="23" fillId="10" borderId="3" xfId="0" applyFont="1" applyFill="1" applyBorder="1" applyAlignment="1">
      <alignment horizontal="center" vertical="center"/>
    </xf>
    <xf numFmtId="0" fontId="12" fillId="5" borderId="11" xfId="0" applyFont="1" applyFill="1" applyBorder="1" applyAlignment="1">
      <alignment horizontal="center" vertical="center"/>
    </xf>
    <xf numFmtId="0" fontId="17" fillId="0" borderId="1" xfId="0" applyFont="1" applyBorder="1" applyAlignment="1">
      <alignment horizontal="center" vertical="center"/>
    </xf>
    <xf numFmtId="0" fontId="0" fillId="13" borderId="0" xfId="0" applyFill="1" applyAlignment="1">
      <alignment horizontal="center" vertical="center"/>
    </xf>
    <xf numFmtId="0" fontId="23" fillId="22" borderId="1" xfId="0" applyFont="1" applyFill="1" applyBorder="1" applyAlignment="1">
      <alignment horizontal="center" vertical="center"/>
    </xf>
    <xf numFmtId="180" fontId="23" fillId="22" borderId="1" xfId="0" applyNumberFormat="1" applyFont="1" applyFill="1" applyBorder="1" applyAlignment="1">
      <alignment horizontal="center" vertical="center"/>
    </xf>
    <xf numFmtId="180" fontId="15" fillId="22" borderId="1" xfId="0" applyNumberFormat="1" applyFont="1" applyFill="1" applyBorder="1" applyAlignment="1">
      <alignment horizontal="center" vertical="center" wrapText="1"/>
    </xf>
    <xf numFmtId="180" fontId="15" fillId="22" borderId="1" xfId="0" applyNumberFormat="1" applyFont="1" applyFill="1" applyBorder="1" applyAlignment="1">
      <alignment horizontal="center" vertical="center"/>
    </xf>
    <xf numFmtId="181" fontId="23" fillId="22" borderId="8" xfId="0" applyNumberFormat="1" applyFont="1" applyFill="1" applyBorder="1" applyAlignment="1">
      <alignment horizontal="center" vertical="center" wrapText="1"/>
    </xf>
    <xf numFmtId="181" fontId="23" fillId="22" borderId="9" xfId="0" applyNumberFormat="1" applyFont="1" applyFill="1" applyBorder="1" applyAlignment="1">
      <alignment horizontal="center" vertical="center"/>
    </xf>
    <xf numFmtId="0" fontId="0" fillId="0" borderId="0" xfId="0" applyAlignment="1">
      <alignment horizontal="center" vertical="center"/>
    </xf>
    <xf numFmtId="0" fontId="5" fillId="5" borderId="0" xfId="0" applyFont="1" applyFill="1"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5" fillId="5" borderId="1" xfId="0" applyFont="1" applyFill="1" applyBorder="1" applyAlignment="1">
      <alignment horizontal="center" vertical="center"/>
    </xf>
    <xf numFmtId="0" fontId="7" fillId="0" borderId="1" xfId="0" applyFont="1" applyBorder="1" applyAlignment="1">
      <alignment horizontal="center" vertical="center"/>
    </xf>
    <xf numFmtId="0" fontId="4" fillId="0" borderId="1" xfId="0" applyFont="1" applyBorder="1" applyAlignment="1">
      <alignment horizontal="center" vertical="center"/>
    </xf>
    <xf numFmtId="0" fontId="9" fillId="0" borderId="2" xfId="0" applyFont="1" applyBorder="1" applyAlignment="1">
      <alignment horizontal="left" vertical="top" wrapText="1"/>
    </xf>
    <xf numFmtId="0" fontId="9" fillId="0" borderId="4" xfId="0" applyFont="1" applyBorder="1" applyAlignment="1">
      <alignment horizontal="left" vertical="top" wrapText="1"/>
    </xf>
    <xf numFmtId="0" fontId="9" fillId="0" borderId="3" xfId="0" applyFont="1" applyBorder="1" applyAlignment="1">
      <alignment horizontal="left" vertical="top" wrapText="1"/>
    </xf>
    <xf numFmtId="0" fontId="5" fillId="5" borderId="2"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3" xfId="0" applyFont="1" applyFill="1" applyBorder="1" applyAlignment="1">
      <alignment horizontal="center" vertical="center"/>
    </xf>
    <xf numFmtId="0" fontId="10"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1" fillId="0" borderId="0" xfId="0" applyFont="1" applyAlignment="1">
      <alignment horizontal="left" vertical="center"/>
    </xf>
    <xf numFmtId="0" fontId="21" fillId="0" borderId="0" xfId="0" applyFont="1" applyAlignment="1">
      <alignment horizontal="center" vertical="center"/>
    </xf>
    <xf numFmtId="0" fontId="16" fillId="0" borderId="0" xfId="0" applyFont="1" applyAlignment="1">
      <alignment horizontal="left" vertical="center" wrapText="1"/>
    </xf>
    <xf numFmtId="0" fontId="17" fillId="0" borderId="0" xfId="0" applyFont="1" applyAlignment="1">
      <alignment horizontal="left" vertical="center"/>
    </xf>
    <xf numFmtId="0" fontId="2" fillId="0" borderId="0" xfId="0" applyFont="1" applyAlignment="1">
      <alignment horizontal="center" vertical="center"/>
    </xf>
  </cellXfs>
  <cellStyles count="2">
    <cellStyle name="쉼표 [0]" xfId="1" builtinId="6"/>
    <cellStyle name="표준" xfId="0" builtinId="0"/>
  </cellStyles>
  <dxfs count="5">
    <dxf>
      <numFmt numFmtId="33" formatCode="_-* #,##0_-;\-* #,##0_-;_-* &quot;-&quot;_-;_-@_-"/>
    </dxf>
    <dxf>
      <font>
        <strike val="0"/>
        <outline val="0"/>
        <shadow val="0"/>
        <u val="none"/>
        <vertAlign val="baseline"/>
        <sz val="9"/>
        <color theme="1"/>
        <name val="맑은 고딕"/>
        <scheme val="minor"/>
      </font>
    </dxf>
    <dxf>
      <numFmt numFmtId="33" formatCode="_-* #,##0_-;\-* #,##0_-;_-* &quot;-&quot;_-;_-@_-"/>
    </dxf>
    <dxf>
      <font>
        <strike val="0"/>
        <outline val="0"/>
        <shadow val="0"/>
        <u val="none"/>
        <vertAlign val="baseline"/>
        <sz val="9"/>
        <color theme="1"/>
        <name val="맑은 고딕"/>
        <scheme val="minor"/>
      </font>
    </dxf>
    <dxf>
      <font>
        <strike val="0"/>
        <outline val="0"/>
        <shadow val="0"/>
        <u val="none"/>
        <vertAlign val="baseline"/>
        <sz val="9"/>
        <color theme="1"/>
        <name val="맑은 고딕"/>
        <scheme val="minor"/>
      </font>
    </dxf>
  </dxfs>
  <tableStyles count="0" defaultTableStyle="TableStyleMedium2" defaultPivotStyle="PivotStyleLight16"/>
  <colors>
    <mruColors>
      <color rgb="FFCCFF33"/>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9526</xdr:colOff>
      <xdr:row>2</xdr:row>
      <xdr:rowOff>190501</xdr:rowOff>
    </xdr:from>
    <xdr:ext cx="2876550" cy="3640746"/>
    <xdr:pic>
      <xdr:nvPicPr>
        <xdr:cNvPr id="2" name="그림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6181726" y="609601"/>
          <a:ext cx="2876550" cy="364074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표1" displayName="표1" ref="I10:K30" totalsRowShown="0" headerRowDxfId="4" headerRowCellStyle="쉼표 [0]" dataCellStyle="쉼표 [0]">
  <autoFilter ref="I10:K30" xr:uid="{00000000-0009-0000-0100-000001000000}"/>
  <tableColumns count="3">
    <tableColumn id="1" xr3:uid="{00000000-0010-0000-0000-000001000000}" name="판매가" dataCellStyle="쉼표 [0]">
      <calculatedColumnFormula>D11/0.8</calculatedColumnFormula>
    </tableColumn>
    <tableColumn id="2" xr3:uid="{00000000-0010-0000-0000-000002000000}" name="수수료" dataCellStyle="쉼표 [0]">
      <calculatedColumnFormula>I11*0.1</calculatedColumnFormula>
    </tableColumn>
    <tableColumn id="6" xr3:uid="{00000000-0010-0000-0000-000006000000}" name="순이익" dataCellStyle="쉼표 [0]">
      <calculatedColumnFormula>I11-C11-#REF!</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표2" displayName="표2" ref="M10:O30" totalsRowShown="0" headerRowDxfId="3" headerRowCellStyle="쉼표 [0]" dataCellStyle="쉼표 [0]">
  <autoFilter ref="M10:O30" xr:uid="{00000000-0009-0000-0100-000002000000}"/>
  <tableColumns count="3">
    <tableColumn id="1" xr3:uid="{00000000-0010-0000-0100-000001000000}" name="매입대가" dataCellStyle="쉼표 [0]">
      <calculatedColumnFormula>C11</calculatedColumnFormula>
    </tableColumn>
    <tableColumn id="2" xr3:uid="{00000000-0010-0000-0100-000002000000}" name="매입가" dataDxfId="2" dataCellStyle="쉼표 [0]">
      <calculatedColumnFormula>표2[[#This Row],[매입대가]] / 11 * 10</calculatedColumnFormula>
    </tableColumn>
    <tableColumn id="3" xr3:uid="{00000000-0010-0000-0100-000003000000}" name="수수료" dataCellStyle="쉼표 [0]">
      <calculatedColumnFormula>표2[[#This Row],[매입대가]]/11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표3" displayName="표3" ref="Q10:S30" totalsRowShown="0" headerRowDxfId="1" headerRowCellStyle="쉼표 [0]" dataCellStyle="쉼표 [0]">
  <autoFilter ref="Q10:S30" xr:uid="{00000000-0009-0000-0100-000003000000}"/>
  <tableColumns count="3">
    <tableColumn id="1" xr3:uid="{00000000-0010-0000-0200-000001000000}" name="총계" dataCellStyle="쉼표 [0]">
      <calculatedColumnFormula>표1[[#This Row],[판매가]]*$E$5/100</calculatedColumnFormula>
    </tableColumn>
    <tableColumn id="2" xr3:uid="{00000000-0010-0000-0200-000002000000}" name="공급가액" dataDxfId="0" dataCellStyle="쉼표 [0]">
      <calculatedColumnFormula>표3[[#This Row],[총계]]/11*10</calculatedColumnFormula>
    </tableColumn>
    <tableColumn id="3" xr3:uid="{00000000-0010-0000-0200-000003000000}" name="세액" dataCellStyle="쉼표 [0]">
      <calculatedColumnFormula>Q11/11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7.bin"/><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O41"/>
  <sheetViews>
    <sheetView tabSelected="1" zoomScale="85" zoomScaleNormal="85" workbookViewId="0">
      <selection activeCell="M32" sqref="M32"/>
    </sheetView>
  </sheetViews>
  <sheetFormatPr defaultColWidth="9" defaultRowHeight="16.5" x14ac:dyDescent="0.3"/>
  <cols>
    <col min="1" max="1" width="2.25" style="33" customWidth="1"/>
    <col min="2" max="2" width="10" style="33" bestFit="1" customWidth="1"/>
    <col min="3" max="3" width="7.375" style="33" bestFit="1" customWidth="1"/>
    <col min="4" max="4" width="6.125" style="2" bestFit="1" customWidth="1"/>
    <col min="5" max="5" width="7" style="2" bestFit="1" customWidth="1"/>
    <col min="6" max="6" width="2.625" style="33" customWidth="1"/>
    <col min="7" max="7" width="3.5" style="48" bestFit="1" customWidth="1"/>
    <col min="8" max="8" width="6.625" style="48" bestFit="1" customWidth="1"/>
    <col min="9" max="9" width="10.125" style="48" bestFit="1" customWidth="1"/>
    <col min="10" max="10" width="6" style="60" customWidth="1"/>
    <col min="11" max="11" width="6" style="48" customWidth="1"/>
    <col min="12" max="12" width="9" style="48" customWidth="1"/>
    <col min="13" max="13" width="6.875" style="38" customWidth="1"/>
    <col min="14" max="14" width="7" style="48" customWidth="1"/>
    <col min="15" max="15" width="5.25" style="48" customWidth="1"/>
    <col min="16" max="16" width="8.75" style="48" customWidth="1"/>
    <col min="17" max="17" width="9" style="48" customWidth="1"/>
    <col min="18" max="18" width="9" style="38" customWidth="1"/>
    <col min="19" max="19" width="7.5" style="22" bestFit="1" customWidth="1"/>
    <col min="20" max="20" width="9.5" style="38" bestFit="1" customWidth="1"/>
    <col min="21" max="21" width="11" style="139" bestFit="1" customWidth="1"/>
    <col min="22" max="22" width="3.5" style="48" customWidth="1"/>
    <col min="23" max="23" width="3.5" style="48" bestFit="1" customWidth="1"/>
    <col min="24" max="24" width="7" style="48" bestFit="1" customWidth="1"/>
    <col min="25" max="25" width="7" style="22" bestFit="1" customWidth="1"/>
    <col min="26" max="26" width="6.875" style="22" bestFit="1" customWidth="1"/>
    <col min="27" max="28" width="7" style="22" bestFit="1" customWidth="1"/>
    <col min="29" max="29" width="7" style="38" bestFit="1" customWidth="1"/>
    <col min="30" max="30" width="7.125" style="38" bestFit="1" customWidth="1"/>
    <col min="31" max="32" width="7" style="38" bestFit="1" customWidth="1"/>
    <col min="33" max="33" width="6.875" style="38" bestFit="1" customWidth="1"/>
    <col min="34" max="36" width="7" style="38" bestFit="1" customWidth="1"/>
    <col min="37" max="37" width="4" style="33" customWidth="1"/>
    <col min="38" max="38" width="10.25" style="33" bestFit="1" customWidth="1"/>
    <col min="39" max="39" width="17.125" style="33" bestFit="1" customWidth="1"/>
    <col min="40" max="40" width="24.875" style="33" bestFit="1" customWidth="1"/>
    <col min="41" max="41" width="7.125" style="33" bestFit="1" customWidth="1"/>
    <col min="42" max="16384" width="9" style="33"/>
  </cols>
  <sheetData>
    <row r="1" spans="2:41" x14ac:dyDescent="0.3">
      <c r="AK1" s="38"/>
    </row>
    <row r="2" spans="2:41" ht="19.5" x14ac:dyDescent="0.3">
      <c r="B2" s="291" t="s">
        <v>310</v>
      </c>
      <c r="C2" s="291"/>
      <c r="D2" s="291"/>
      <c r="E2" s="291"/>
      <c r="G2" s="293" t="s">
        <v>309</v>
      </c>
      <c r="H2" s="293"/>
      <c r="I2" s="293"/>
      <c r="J2" s="293"/>
      <c r="K2" s="293"/>
      <c r="L2" s="293"/>
      <c r="M2" s="293"/>
      <c r="N2" s="293"/>
      <c r="O2" s="293"/>
      <c r="P2" s="293"/>
      <c r="Q2" s="293"/>
      <c r="R2" s="293"/>
      <c r="S2" s="293"/>
      <c r="T2" s="293"/>
      <c r="U2" s="294"/>
      <c r="W2" s="282" t="s">
        <v>375</v>
      </c>
      <c r="X2" s="282"/>
      <c r="Y2" s="282"/>
      <c r="Z2" s="282"/>
      <c r="AA2" s="282"/>
      <c r="AB2" s="282"/>
      <c r="AC2" s="282"/>
      <c r="AD2" s="282"/>
      <c r="AE2" s="282"/>
      <c r="AF2" s="282"/>
      <c r="AG2" s="282"/>
      <c r="AH2" s="282"/>
      <c r="AI2" s="282"/>
      <c r="AJ2" s="282"/>
      <c r="AK2" s="38"/>
    </row>
    <row r="3" spans="2:41" ht="27.75" x14ac:dyDescent="0.3">
      <c r="B3" s="32" t="s">
        <v>308</v>
      </c>
      <c r="C3" s="32" t="s">
        <v>307</v>
      </c>
      <c r="D3" s="34" t="s">
        <v>306</v>
      </c>
      <c r="E3" s="34" t="s">
        <v>305</v>
      </c>
      <c r="G3" s="6" t="s">
        <v>304</v>
      </c>
      <c r="H3" s="295" t="s">
        <v>303</v>
      </c>
      <c r="I3" s="295"/>
      <c r="J3" s="59" t="s">
        <v>302</v>
      </c>
      <c r="K3" s="42" t="s">
        <v>302</v>
      </c>
      <c r="L3" s="42" t="s">
        <v>301</v>
      </c>
      <c r="M3" s="42" t="s">
        <v>247</v>
      </c>
      <c r="N3" s="42" t="s">
        <v>300</v>
      </c>
      <c r="O3" s="42" t="s">
        <v>299</v>
      </c>
      <c r="P3" s="42" t="s">
        <v>282</v>
      </c>
      <c r="Q3" s="42" t="s">
        <v>297</v>
      </c>
      <c r="R3" s="42" t="s">
        <v>298</v>
      </c>
      <c r="S3" s="58" t="s">
        <v>297</v>
      </c>
      <c r="T3" s="42" t="s">
        <v>374</v>
      </c>
      <c r="U3" s="140" t="s">
        <v>373</v>
      </c>
      <c r="W3" s="58" t="s">
        <v>197</v>
      </c>
      <c r="X3" s="58" t="s">
        <v>198</v>
      </c>
      <c r="Y3" s="58" t="s">
        <v>199</v>
      </c>
      <c r="Z3" s="58" t="s">
        <v>40</v>
      </c>
      <c r="AA3" s="58" t="s">
        <v>200</v>
      </c>
      <c r="AB3" s="58" t="s">
        <v>201</v>
      </c>
      <c r="AC3" s="58" t="s">
        <v>202</v>
      </c>
      <c r="AD3" s="58" t="s">
        <v>197</v>
      </c>
      <c r="AE3" s="58" t="s">
        <v>90</v>
      </c>
      <c r="AF3" s="58" t="s">
        <v>65</v>
      </c>
      <c r="AG3" s="58" t="s">
        <v>40</v>
      </c>
      <c r="AH3" s="58" t="s">
        <v>200</v>
      </c>
      <c r="AI3" s="58" t="s">
        <v>117</v>
      </c>
      <c r="AJ3" s="58" t="s">
        <v>202</v>
      </c>
      <c r="AK3" s="38"/>
    </row>
    <row r="4" spans="2:41" ht="16.5" customHeight="1" x14ac:dyDescent="0.3">
      <c r="B4" s="292" t="s">
        <v>296</v>
      </c>
      <c r="C4" s="35" t="s">
        <v>275</v>
      </c>
      <c r="D4" s="36" t="s">
        <v>294</v>
      </c>
      <c r="E4" s="37">
        <v>1290</v>
      </c>
      <c r="G4" s="35">
        <v>1</v>
      </c>
      <c r="H4" s="283">
        <v>10</v>
      </c>
      <c r="I4" s="43" t="s">
        <v>290</v>
      </c>
      <c r="J4" s="39">
        <v>1.2</v>
      </c>
      <c r="K4" s="39">
        <v>1.25</v>
      </c>
      <c r="L4" s="39">
        <f>$E$4*K4</f>
        <v>1612.5</v>
      </c>
      <c r="M4" s="39">
        <f>$E$7*$H$4</f>
        <v>84.615384615384613</v>
      </c>
      <c r="N4" s="40">
        <f>$E$19</f>
        <v>104.50000000000001</v>
      </c>
      <c r="O4" s="40">
        <f>$E$17*1.36+48</f>
        <v>115.32000000000002</v>
      </c>
      <c r="P4" s="40">
        <f>$E$21*2.4</f>
        <v>51</v>
      </c>
      <c r="Q4" s="39">
        <f>L4+M4+N4+O4+P4</f>
        <v>1967.9353846153845</v>
      </c>
      <c r="R4" s="39">
        <f>Q4*H4</f>
        <v>19679.353846153845</v>
      </c>
      <c r="S4" s="61">
        <f>ROUNDUP(R4, 0)</f>
        <v>19680</v>
      </c>
      <c r="T4" s="39">
        <f>S4/(1-U4/100)</f>
        <v>23017.543859649122</v>
      </c>
      <c r="U4" s="141">
        <v>14.5</v>
      </c>
      <c r="W4" s="283">
        <v>10</v>
      </c>
      <c r="X4" s="77" t="s">
        <v>88</v>
      </c>
      <c r="Y4" s="72">
        <v>2300</v>
      </c>
      <c r="Z4" s="72">
        <f>S4/10</f>
        <v>1968</v>
      </c>
      <c r="AA4" s="72">
        <f>(Y4*0.1) - (Z4*0.1)</f>
        <v>33.199999999999989</v>
      </c>
      <c r="AB4" s="72">
        <f>Y4-Z4-AA4</f>
        <v>298.8</v>
      </c>
      <c r="AC4" s="73">
        <f>AB4/Y4*100</f>
        <v>12.991304347826087</v>
      </c>
      <c r="AD4" s="290" t="s">
        <v>225</v>
      </c>
      <c r="AE4" s="286">
        <v>150</v>
      </c>
      <c r="AF4" s="40">
        <v>14000</v>
      </c>
      <c r="AG4" s="40">
        <f>ROUNDUP($R$16, 0)</f>
        <v>11983</v>
      </c>
      <c r="AH4" s="40">
        <f t="shared" ref="AH4:AH6" si="0">(AF4*0.1) - (AG4*0.1)</f>
        <v>201.70000000000005</v>
      </c>
      <c r="AI4" s="40">
        <f t="shared" ref="AI4:AI6" si="1">AF4-AG4-AH4</f>
        <v>1815.3</v>
      </c>
      <c r="AJ4" s="39">
        <f t="shared" ref="AJ4:AJ6" si="2">AI4/AF4*100</f>
        <v>12.966428571428571</v>
      </c>
      <c r="AK4" s="38"/>
    </row>
    <row r="5" spans="2:41" x14ac:dyDescent="0.3">
      <c r="B5" s="292"/>
      <c r="C5" s="35" t="s">
        <v>295</v>
      </c>
      <c r="D5" s="36" t="s">
        <v>294</v>
      </c>
      <c r="E5" s="37">
        <v>1360</v>
      </c>
      <c r="G5" s="35">
        <f>G4+1</f>
        <v>2</v>
      </c>
      <c r="H5" s="285"/>
      <c r="I5" s="43" t="s">
        <v>288</v>
      </c>
      <c r="J5" s="39">
        <v>1.2</v>
      </c>
      <c r="K5" s="39">
        <v>1.25</v>
      </c>
      <c r="L5" s="39">
        <f>$E$4*K5</f>
        <v>1612.5</v>
      </c>
      <c r="M5" s="39">
        <f>$E$7*$H$4</f>
        <v>84.615384615384613</v>
      </c>
      <c r="N5" s="40">
        <f>$E$19+30</f>
        <v>134.5</v>
      </c>
      <c r="O5" s="40">
        <f>$E$17*1.36+48</f>
        <v>115.32000000000002</v>
      </c>
      <c r="P5" s="40">
        <f>$E$21*2.4</f>
        <v>51</v>
      </c>
      <c r="Q5" s="39">
        <f t="shared" ref="Q5:Q25" si="3">L5+M5+N5+O5+P5</f>
        <v>1997.9353846153845</v>
      </c>
      <c r="R5" s="39">
        <f>Q5*H4</f>
        <v>19979.353846153845</v>
      </c>
      <c r="S5" s="61">
        <f t="shared" ref="S5:S25" si="4">ROUNDUP(R5, 0)</f>
        <v>19980</v>
      </c>
      <c r="T5" s="39">
        <f t="shared" ref="T5:T25" si="5">S5/(1-U5/100)</f>
        <v>23505.882352941178</v>
      </c>
      <c r="U5" s="141">
        <v>15</v>
      </c>
      <c r="W5" s="284"/>
      <c r="X5" s="77" t="s">
        <v>88</v>
      </c>
      <c r="Y5" s="40">
        <v>2350</v>
      </c>
      <c r="Z5" s="40">
        <f>S4/10</f>
        <v>1968</v>
      </c>
      <c r="AA5" s="40">
        <f>(Y5*0.1) - (Z5*0.1)</f>
        <v>38.199999999999989</v>
      </c>
      <c r="AB5" s="40">
        <f>Y5-Z5-AA5</f>
        <v>343.8</v>
      </c>
      <c r="AC5" s="39">
        <f>AB5/Y5*100</f>
        <v>14.629787234042555</v>
      </c>
      <c r="AD5" s="290"/>
      <c r="AE5" s="286"/>
      <c r="AF5" s="72">
        <v>14500</v>
      </c>
      <c r="AG5" s="72">
        <f t="shared" ref="AG5:AG6" si="6">ROUNDUP($R$16, 0)</f>
        <v>11983</v>
      </c>
      <c r="AH5" s="72">
        <f t="shared" si="0"/>
        <v>251.70000000000005</v>
      </c>
      <c r="AI5" s="72">
        <f t="shared" si="1"/>
        <v>2265.3000000000002</v>
      </c>
      <c r="AJ5" s="73">
        <f t="shared" si="2"/>
        <v>15.622758620689655</v>
      </c>
      <c r="AK5" s="38"/>
    </row>
    <row r="6" spans="2:41" x14ac:dyDescent="0.3">
      <c r="B6" s="292" t="s">
        <v>293</v>
      </c>
      <c r="C6" s="283" t="s">
        <v>292</v>
      </c>
      <c r="D6" s="36" t="s">
        <v>291</v>
      </c>
      <c r="E6" s="37">
        <f>110</f>
        <v>110</v>
      </c>
      <c r="G6" s="35">
        <f t="shared" ref="G6:G24" si="7">G5+1</f>
        <v>3</v>
      </c>
      <c r="H6" s="35">
        <v>24</v>
      </c>
      <c r="I6" s="43" t="s">
        <v>290</v>
      </c>
      <c r="J6" s="39">
        <v>2.5099999999999998</v>
      </c>
      <c r="K6" s="39">
        <v>2.7</v>
      </c>
      <c r="L6" s="39">
        <f>$E$4*K6</f>
        <v>3483.0000000000005</v>
      </c>
      <c r="M6" s="39">
        <f>$E$7*$H$6</f>
        <v>203.07692307692309</v>
      </c>
      <c r="N6" s="40">
        <f>$E$20</f>
        <v>220.00000000000003</v>
      </c>
      <c r="O6" s="40">
        <v>100</v>
      </c>
      <c r="P6" s="40">
        <f>E13</f>
        <v>255.20000000000002</v>
      </c>
      <c r="Q6" s="39">
        <f t="shared" si="3"/>
        <v>4261.2769230769236</v>
      </c>
      <c r="R6" s="39">
        <f>Q6*4</f>
        <v>17045.107692307694</v>
      </c>
      <c r="S6" s="61">
        <f t="shared" si="4"/>
        <v>17046</v>
      </c>
      <c r="T6" s="39">
        <f t="shared" si="5"/>
        <v>20054.117647058825</v>
      </c>
      <c r="U6" s="141">
        <v>15</v>
      </c>
      <c r="W6" s="284"/>
      <c r="X6" s="77" t="s">
        <v>203</v>
      </c>
      <c r="Y6" s="40">
        <v>2300</v>
      </c>
      <c r="Z6" s="40">
        <f>S5/10</f>
        <v>1998</v>
      </c>
      <c r="AA6" s="40">
        <f t="shared" ref="AA6:AA9" si="8">(Y6*0.1) - (Z6*0.1)</f>
        <v>30.199999999999989</v>
      </c>
      <c r="AB6" s="40">
        <f t="shared" ref="AB6:AB9" si="9">Y6-Z6-AA6</f>
        <v>271.8</v>
      </c>
      <c r="AC6" s="39">
        <f t="shared" ref="AC6:AC9" si="10">AB6/Y6*100</f>
        <v>11.817391304347828</v>
      </c>
      <c r="AD6" s="290"/>
      <c r="AE6" s="286"/>
      <c r="AF6" s="40">
        <v>15000</v>
      </c>
      <c r="AG6" s="40">
        <f t="shared" si="6"/>
        <v>11983</v>
      </c>
      <c r="AH6" s="40">
        <f t="shared" si="0"/>
        <v>301.70000000000005</v>
      </c>
      <c r="AI6" s="40">
        <f t="shared" si="1"/>
        <v>2715.3</v>
      </c>
      <c r="AJ6" s="39">
        <f t="shared" si="2"/>
        <v>18.102</v>
      </c>
      <c r="AK6" s="38"/>
      <c r="AL6" s="2"/>
      <c r="AM6" s="2"/>
      <c r="AN6" s="2"/>
      <c r="AO6" s="2"/>
    </row>
    <row r="7" spans="2:41" x14ac:dyDescent="0.3">
      <c r="B7" s="292"/>
      <c r="C7" s="285"/>
      <c r="D7" s="36" t="s">
        <v>289</v>
      </c>
      <c r="E7" s="37">
        <f>E6/13</f>
        <v>8.4615384615384617</v>
      </c>
      <c r="G7" s="35">
        <f t="shared" si="7"/>
        <v>4</v>
      </c>
      <c r="H7" s="283">
        <v>30</v>
      </c>
      <c r="I7" s="43" t="s">
        <v>288</v>
      </c>
      <c r="J7" s="39">
        <v>2.42</v>
      </c>
      <c r="K7" s="39">
        <v>2.5</v>
      </c>
      <c r="L7" s="39">
        <f>$E$4*K7</f>
        <v>3225</v>
      </c>
      <c r="M7" s="39">
        <f>$E$7*$H$7</f>
        <v>253.84615384615384</v>
      </c>
      <c r="N7" s="40">
        <f>$E$9</f>
        <v>253.00000000000003</v>
      </c>
      <c r="O7" s="40">
        <v>100</v>
      </c>
      <c r="P7" s="40">
        <f>E11</f>
        <v>250.8</v>
      </c>
      <c r="Q7" s="39">
        <f t="shared" si="3"/>
        <v>4082.646153846154</v>
      </c>
      <c r="R7" s="39">
        <f>Q7*3</f>
        <v>12247.938461538462</v>
      </c>
      <c r="S7" s="61">
        <f t="shared" si="4"/>
        <v>12248</v>
      </c>
      <c r="T7" s="39">
        <f t="shared" si="5"/>
        <v>14503.256364712848</v>
      </c>
      <c r="U7" s="141">
        <v>15.55</v>
      </c>
      <c r="W7" s="285"/>
      <c r="X7" s="77" t="s">
        <v>193</v>
      </c>
      <c r="Y7" s="72">
        <v>2350</v>
      </c>
      <c r="Z7" s="72">
        <f>S5/10</f>
        <v>1998</v>
      </c>
      <c r="AA7" s="72">
        <f t="shared" si="8"/>
        <v>35.199999999999989</v>
      </c>
      <c r="AB7" s="72">
        <f t="shared" si="9"/>
        <v>316.8</v>
      </c>
      <c r="AC7" s="73">
        <f t="shared" si="10"/>
        <v>13.480851063829787</v>
      </c>
      <c r="AD7" s="290"/>
      <c r="AE7" s="35">
        <v>160</v>
      </c>
      <c r="AF7" s="40">
        <v>15500</v>
      </c>
      <c r="AG7" s="40">
        <f>ROUNDUP($R$17, 0)</f>
        <v>12590</v>
      </c>
      <c r="AH7" s="40">
        <f t="shared" ref="AH7" si="11">(AF7*0.1) - (AG7*0.1)</f>
        <v>291</v>
      </c>
      <c r="AI7" s="40">
        <f t="shared" ref="AI7" si="12">AF7-AG7-AH7</f>
        <v>2619</v>
      </c>
      <c r="AJ7" s="39">
        <f t="shared" ref="AJ7" si="13">AI7/AF7*100</f>
        <v>16.896774193548385</v>
      </c>
      <c r="AK7" s="38"/>
      <c r="AL7" s="2"/>
      <c r="AM7" s="2"/>
      <c r="AN7" s="2"/>
      <c r="AO7" s="2"/>
    </row>
    <row r="8" spans="2:41" x14ac:dyDescent="0.3">
      <c r="B8" s="292"/>
      <c r="C8" s="35" t="s">
        <v>287</v>
      </c>
      <c r="D8" s="36" t="s">
        <v>274</v>
      </c>
      <c r="E8" s="37">
        <v>50</v>
      </c>
      <c r="G8" s="35">
        <f t="shared" si="7"/>
        <v>5</v>
      </c>
      <c r="H8" s="284"/>
      <c r="I8" s="43" t="s">
        <v>286</v>
      </c>
      <c r="J8" s="39">
        <v>2.42</v>
      </c>
      <c r="K8" s="39">
        <v>2.5</v>
      </c>
      <c r="L8" s="39">
        <f t="shared" ref="L8:L9" si="14">$E$4*K8</f>
        <v>3225</v>
      </c>
      <c r="M8" s="39">
        <f t="shared" ref="M8:M13" si="15">$E$7*$H$7</f>
        <v>253.84615384615384</v>
      </c>
      <c r="N8" s="40">
        <f t="shared" ref="N8:N13" si="16">$E$9</f>
        <v>253.00000000000003</v>
      </c>
      <c r="O8" s="40">
        <v>100</v>
      </c>
      <c r="P8" s="40">
        <f>E11</f>
        <v>250.8</v>
      </c>
      <c r="Q8" s="39">
        <f t="shared" si="3"/>
        <v>4082.646153846154</v>
      </c>
      <c r="R8" s="39">
        <f t="shared" ref="R8:R13" si="17">Q8*3</f>
        <v>12247.938461538462</v>
      </c>
      <c r="S8" s="61">
        <f t="shared" si="4"/>
        <v>12248</v>
      </c>
      <c r="T8" s="39">
        <f t="shared" si="5"/>
        <v>14503.256364712848</v>
      </c>
      <c r="U8" s="141">
        <v>15.55</v>
      </c>
      <c r="W8" s="283">
        <v>24</v>
      </c>
      <c r="X8" s="77" t="s">
        <v>204</v>
      </c>
      <c r="Y8" s="72">
        <v>19700</v>
      </c>
      <c r="Z8" s="72">
        <f>S6</f>
        <v>17046</v>
      </c>
      <c r="AA8" s="72">
        <f t="shared" si="8"/>
        <v>265.39999999999986</v>
      </c>
      <c r="AB8" s="72">
        <f t="shared" si="9"/>
        <v>2388.6000000000004</v>
      </c>
      <c r="AC8" s="73">
        <f t="shared" si="10"/>
        <v>12.124873096446702</v>
      </c>
      <c r="AD8" s="290"/>
      <c r="AE8" s="286">
        <v>180</v>
      </c>
      <c r="AF8" s="40">
        <v>17000</v>
      </c>
      <c r="AG8" s="40">
        <f>ROUNDUP($R$18, 0)</f>
        <v>13777</v>
      </c>
      <c r="AH8" s="40">
        <f t="shared" ref="AH8:AH10" si="18">(AF8*0.1) - (AG8*0.1)</f>
        <v>322.29999999999995</v>
      </c>
      <c r="AI8" s="40">
        <f t="shared" ref="AI8:AI10" si="19">AF8-AG8-AH8</f>
        <v>2900.7</v>
      </c>
      <c r="AJ8" s="39">
        <f t="shared" ref="AJ8:AJ10" si="20">AI8/AF8*100</f>
        <v>17.062941176470588</v>
      </c>
      <c r="AK8" s="38"/>
      <c r="AL8" s="2"/>
      <c r="AM8" s="2"/>
      <c r="AN8" s="2"/>
      <c r="AO8" s="2"/>
    </row>
    <row r="9" spans="2:41" x14ac:dyDescent="0.3">
      <c r="B9" s="292" t="s">
        <v>285</v>
      </c>
      <c r="C9" s="35" t="s">
        <v>281</v>
      </c>
      <c r="D9" s="36" t="s">
        <v>274</v>
      </c>
      <c r="E9" s="37">
        <f>230*1.1</f>
        <v>253.00000000000003</v>
      </c>
      <c r="G9" s="35">
        <f t="shared" si="7"/>
        <v>6</v>
      </c>
      <c r="H9" s="284"/>
      <c r="I9" s="43" t="s">
        <v>284</v>
      </c>
      <c r="J9" s="39">
        <v>2.92</v>
      </c>
      <c r="K9" s="39">
        <v>3</v>
      </c>
      <c r="L9" s="39">
        <f t="shared" si="14"/>
        <v>3870</v>
      </c>
      <c r="M9" s="39">
        <f t="shared" si="15"/>
        <v>253.84615384615384</v>
      </c>
      <c r="N9" s="40">
        <f t="shared" si="16"/>
        <v>253.00000000000003</v>
      </c>
      <c r="O9" s="40">
        <v>100</v>
      </c>
      <c r="P9" s="40">
        <f>$E$12</f>
        <v>253.00000000000003</v>
      </c>
      <c r="Q9" s="39">
        <f t="shared" si="3"/>
        <v>4729.8461538461543</v>
      </c>
      <c r="R9" s="39">
        <f t="shared" si="17"/>
        <v>14189.538461538463</v>
      </c>
      <c r="S9" s="61">
        <f t="shared" si="4"/>
        <v>14190</v>
      </c>
      <c r="T9" s="39">
        <f t="shared" si="5"/>
        <v>17518.518518518518</v>
      </c>
      <c r="U9" s="141">
        <v>19</v>
      </c>
      <c r="W9" s="285"/>
      <c r="X9" s="77" t="s">
        <v>88</v>
      </c>
      <c r="Y9" s="40">
        <v>21000</v>
      </c>
      <c r="Z9" s="40">
        <f>S6</f>
        <v>17046</v>
      </c>
      <c r="AA9" s="40">
        <f t="shared" si="8"/>
        <v>395.39999999999986</v>
      </c>
      <c r="AB9" s="40">
        <f t="shared" si="9"/>
        <v>3558.6000000000004</v>
      </c>
      <c r="AC9" s="39">
        <f t="shared" si="10"/>
        <v>16.945714285714285</v>
      </c>
      <c r="AD9" s="290"/>
      <c r="AE9" s="286"/>
      <c r="AF9" s="72">
        <v>17500</v>
      </c>
      <c r="AG9" s="72">
        <f t="shared" ref="AG9:AG10" si="21">ROUNDUP($R$18, 0)</f>
        <v>13777</v>
      </c>
      <c r="AH9" s="72">
        <f t="shared" si="18"/>
        <v>372.29999999999995</v>
      </c>
      <c r="AI9" s="72">
        <f t="shared" si="19"/>
        <v>3350.7</v>
      </c>
      <c r="AJ9" s="73">
        <f t="shared" si="20"/>
        <v>19.14685714285714</v>
      </c>
      <c r="AK9" s="38"/>
      <c r="AL9" s="2"/>
      <c r="AM9" s="2"/>
      <c r="AN9" s="2"/>
      <c r="AO9" s="2"/>
    </row>
    <row r="10" spans="2:41" ht="16.5" customHeight="1" x14ac:dyDescent="0.3">
      <c r="B10" s="292"/>
      <c r="C10" s="35"/>
      <c r="D10" s="36"/>
      <c r="E10" s="37"/>
      <c r="G10" s="35">
        <f t="shared" si="7"/>
        <v>7</v>
      </c>
      <c r="H10" s="284"/>
      <c r="I10" s="43" t="s">
        <v>283</v>
      </c>
      <c r="J10" s="39">
        <v>2.92</v>
      </c>
      <c r="K10" s="39">
        <v>3</v>
      </c>
      <c r="L10" s="39">
        <f>$E$4*K10</f>
        <v>3870</v>
      </c>
      <c r="M10" s="39">
        <f t="shared" si="15"/>
        <v>253.84615384615384</v>
      </c>
      <c r="N10" s="40">
        <f t="shared" si="16"/>
        <v>253.00000000000003</v>
      </c>
      <c r="O10" s="40">
        <v>100</v>
      </c>
      <c r="P10" s="40">
        <f t="shared" ref="P10:P11" si="22">$E$12</f>
        <v>253.00000000000003</v>
      </c>
      <c r="Q10" s="39">
        <f t="shared" si="3"/>
        <v>4729.8461538461543</v>
      </c>
      <c r="R10" s="39">
        <f t="shared" si="17"/>
        <v>14189.538461538463</v>
      </c>
      <c r="S10" s="61">
        <f t="shared" si="4"/>
        <v>14190</v>
      </c>
      <c r="T10" s="39">
        <f t="shared" si="5"/>
        <v>16694.117647058825</v>
      </c>
      <c r="U10" s="141">
        <v>15</v>
      </c>
      <c r="W10" s="283">
        <v>30</v>
      </c>
      <c r="X10" s="287" t="s">
        <v>205</v>
      </c>
      <c r="Y10" s="40">
        <v>13000</v>
      </c>
      <c r="Z10" s="40">
        <f>ROUNDUP($R$7, 0)</f>
        <v>12248</v>
      </c>
      <c r="AA10" s="40">
        <f t="shared" ref="AA10:AA14" si="23">(Y10*0.1) - (Z10*0.1)</f>
        <v>75.200000000000045</v>
      </c>
      <c r="AB10" s="40">
        <f t="shared" ref="AB10:AB14" si="24">Y10-Z10-AA10</f>
        <v>676.8</v>
      </c>
      <c r="AC10" s="39">
        <f t="shared" ref="AC10:AC14" si="25">AB10/Y10*100</f>
        <v>5.2061538461538461</v>
      </c>
      <c r="AD10" s="290"/>
      <c r="AE10" s="286"/>
      <c r="AF10" s="40">
        <v>18000</v>
      </c>
      <c r="AG10" s="40">
        <f t="shared" si="21"/>
        <v>13777</v>
      </c>
      <c r="AH10" s="40">
        <f t="shared" si="18"/>
        <v>422.29999999999995</v>
      </c>
      <c r="AI10" s="40">
        <f t="shared" si="19"/>
        <v>3800.7</v>
      </c>
      <c r="AJ10" s="39">
        <f t="shared" si="20"/>
        <v>21.114999999999998</v>
      </c>
      <c r="AK10" s="38"/>
      <c r="AL10" s="2"/>
      <c r="AM10" s="2"/>
      <c r="AN10" s="2"/>
      <c r="AO10" s="2"/>
    </row>
    <row r="11" spans="2:41" x14ac:dyDescent="0.3">
      <c r="B11" s="292" t="s">
        <v>282</v>
      </c>
      <c r="C11" s="36" t="s">
        <v>281</v>
      </c>
      <c r="D11" s="36" t="s">
        <v>246</v>
      </c>
      <c r="E11" s="37">
        <f>228*1.1</f>
        <v>250.8</v>
      </c>
      <c r="G11" s="35">
        <f t="shared" si="7"/>
        <v>8</v>
      </c>
      <c r="H11" s="284"/>
      <c r="I11" s="43" t="s">
        <v>244</v>
      </c>
      <c r="J11" s="39">
        <v>3.45</v>
      </c>
      <c r="K11" s="39">
        <v>3.3</v>
      </c>
      <c r="L11" s="39">
        <f>$E$5*K11</f>
        <v>4488</v>
      </c>
      <c r="M11" s="39">
        <f t="shared" si="15"/>
        <v>253.84615384615384</v>
      </c>
      <c r="N11" s="40">
        <f t="shared" si="16"/>
        <v>253.00000000000003</v>
      </c>
      <c r="O11" s="40">
        <v>100</v>
      </c>
      <c r="P11" s="40">
        <f t="shared" si="22"/>
        <v>253.00000000000003</v>
      </c>
      <c r="Q11" s="39">
        <f t="shared" si="3"/>
        <v>5347.8461538461543</v>
      </c>
      <c r="R11" s="39">
        <f t="shared" si="17"/>
        <v>16043.538461538463</v>
      </c>
      <c r="S11" s="61">
        <f t="shared" si="4"/>
        <v>16044</v>
      </c>
      <c r="T11" s="39">
        <f t="shared" si="5"/>
        <v>18505.190311418686</v>
      </c>
      <c r="U11" s="141">
        <v>13.3</v>
      </c>
      <c r="W11" s="284"/>
      <c r="X11" s="284"/>
      <c r="Y11" s="40">
        <v>13500</v>
      </c>
      <c r="Z11" s="40">
        <f t="shared" ref="Z11:Z14" si="26">ROUNDUP($R$7, 0)</f>
        <v>12248</v>
      </c>
      <c r="AA11" s="40">
        <f t="shared" si="23"/>
        <v>125.20000000000005</v>
      </c>
      <c r="AB11" s="40">
        <f t="shared" si="24"/>
        <v>1126.8</v>
      </c>
      <c r="AC11" s="39">
        <f t="shared" si="25"/>
        <v>8.3466666666666658</v>
      </c>
      <c r="AD11" s="290"/>
      <c r="AE11" s="35">
        <v>200</v>
      </c>
      <c r="AF11" s="142">
        <v>19200</v>
      </c>
      <c r="AG11" s="142">
        <f>ROUNDUP($R$19, 0)</f>
        <v>14963</v>
      </c>
      <c r="AH11" s="142">
        <f t="shared" ref="AH11:AH12" si="27">(AF11*0.1) - (AG11*0.1)</f>
        <v>423.69999999999982</v>
      </c>
      <c r="AI11" s="142">
        <f t="shared" ref="AI11:AI12" si="28">AF11-AG11-AH11</f>
        <v>3813.3</v>
      </c>
      <c r="AJ11" s="143">
        <f t="shared" ref="AJ11:AJ12" si="29">AI11/AF11*100</f>
        <v>19.860937500000002</v>
      </c>
      <c r="AK11" s="38"/>
      <c r="AL11" s="2"/>
      <c r="AM11" s="2"/>
      <c r="AN11" s="2"/>
      <c r="AO11" s="2"/>
    </row>
    <row r="12" spans="2:41" s="41" customFormat="1" x14ac:dyDescent="0.3">
      <c r="B12" s="292"/>
      <c r="C12" s="36" t="s">
        <v>280</v>
      </c>
      <c r="D12" s="36" t="s">
        <v>246</v>
      </c>
      <c r="E12" s="37">
        <f>230*1.1</f>
        <v>253.00000000000003</v>
      </c>
      <c r="G12" s="35">
        <f t="shared" si="7"/>
        <v>9</v>
      </c>
      <c r="H12" s="284"/>
      <c r="I12" s="43" t="s">
        <v>279</v>
      </c>
      <c r="J12" s="39">
        <v>3.6</v>
      </c>
      <c r="K12" s="39">
        <v>3.6</v>
      </c>
      <c r="L12" s="39">
        <f>$E$4*K12</f>
        <v>4644</v>
      </c>
      <c r="M12" s="39">
        <f t="shared" si="15"/>
        <v>253.84615384615384</v>
      </c>
      <c r="N12" s="40">
        <f t="shared" si="16"/>
        <v>253.00000000000003</v>
      </c>
      <c r="O12" s="40">
        <v>100</v>
      </c>
      <c r="P12" s="40">
        <f>$E$13</f>
        <v>255.20000000000002</v>
      </c>
      <c r="Q12" s="39">
        <f t="shared" si="3"/>
        <v>5506.0461538461541</v>
      </c>
      <c r="R12" s="39">
        <f t="shared" si="17"/>
        <v>16518.138461538463</v>
      </c>
      <c r="S12" s="61">
        <f t="shared" si="4"/>
        <v>16519</v>
      </c>
      <c r="T12" s="39">
        <f>S12/(1-U12/100)</f>
        <v>19830.732292917168</v>
      </c>
      <c r="U12" s="141">
        <v>16.7</v>
      </c>
      <c r="V12" s="48"/>
      <c r="W12" s="284"/>
      <c r="X12" s="284"/>
      <c r="Y12" s="72">
        <v>14000</v>
      </c>
      <c r="Z12" s="72">
        <f t="shared" si="26"/>
        <v>12248</v>
      </c>
      <c r="AA12" s="72">
        <f t="shared" si="23"/>
        <v>175.20000000000005</v>
      </c>
      <c r="AB12" s="72">
        <f t="shared" si="24"/>
        <v>1576.8</v>
      </c>
      <c r="AC12" s="73">
        <f t="shared" si="25"/>
        <v>11.262857142857143</v>
      </c>
      <c r="AD12" s="290"/>
      <c r="AE12" s="35">
        <v>300</v>
      </c>
      <c r="AF12" s="142">
        <v>27500</v>
      </c>
      <c r="AG12" s="142">
        <f>ROUNDUP($R$20, 0)</f>
        <v>21207</v>
      </c>
      <c r="AH12" s="142">
        <f t="shared" si="27"/>
        <v>629.29999999999973</v>
      </c>
      <c r="AI12" s="142">
        <f t="shared" si="28"/>
        <v>5663.7000000000007</v>
      </c>
      <c r="AJ12" s="143">
        <f t="shared" si="29"/>
        <v>20.595272727272729</v>
      </c>
      <c r="AK12" s="38"/>
      <c r="AL12" s="2"/>
      <c r="AM12" s="2"/>
      <c r="AN12" s="2"/>
      <c r="AO12" s="2"/>
    </row>
    <row r="13" spans="2:41" ht="16.5" customHeight="1" x14ac:dyDescent="0.3">
      <c r="B13" s="292"/>
      <c r="C13" s="36" t="s">
        <v>278</v>
      </c>
      <c r="D13" s="36" t="s">
        <v>274</v>
      </c>
      <c r="E13" s="37">
        <f>232*1.1</f>
        <v>255.20000000000002</v>
      </c>
      <c r="G13" s="35">
        <f t="shared" si="7"/>
        <v>10</v>
      </c>
      <c r="H13" s="285"/>
      <c r="I13" s="43" t="s">
        <v>277</v>
      </c>
      <c r="J13" s="39">
        <v>4</v>
      </c>
      <c r="K13" s="39">
        <v>3.7</v>
      </c>
      <c r="L13" s="39">
        <f>$E$4*K13</f>
        <v>4773</v>
      </c>
      <c r="M13" s="39">
        <f t="shared" si="15"/>
        <v>253.84615384615384</v>
      </c>
      <c r="N13" s="40">
        <f t="shared" si="16"/>
        <v>253.00000000000003</v>
      </c>
      <c r="O13" s="40">
        <v>100</v>
      </c>
      <c r="P13" s="40">
        <f>$E$13</f>
        <v>255.20000000000002</v>
      </c>
      <c r="Q13" s="39">
        <f t="shared" si="3"/>
        <v>5635.0461538461541</v>
      </c>
      <c r="R13" s="39">
        <f t="shared" si="17"/>
        <v>16905.138461538463</v>
      </c>
      <c r="S13" s="61">
        <f t="shared" si="4"/>
        <v>16906</v>
      </c>
      <c r="T13" s="39">
        <f t="shared" si="5"/>
        <v>21001.242236024846</v>
      </c>
      <c r="U13" s="141">
        <v>19.5</v>
      </c>
      <c r="W13" s="284"/>
      <c r="X13" s="284"/>
      <c r="Y13" s="40">
        <v>14300</v>
      </c>
      <c r="Z13" s="40">
        <f t="shared" si="26"/>
        <v>12248</v>
      </c>
      <c r="AA13" s="40">
        <f t="shared" si="23"/>
        <v>205.20000000000005</v>
      </c>
      <c r="AB13" s="40">
        <f t="shared" si="24"/>
        <v>1846.8</v>
      </c>
      <c r="AC13" s="39">
        <f t="shared" si="25"/>
        <v>12.914685314685315</v>
      </c>
      <c r="AD13" s="290" t="s">
        <v>227</v>
      </c>
      <c r="AE13" s="286">
        <v>160</v>
      </c>
      <c r="AF13" s="40">
        <v>15000</v>
      </c>
      <c r="AG13" s="40">
        <f>ROUNDUP($R$21, 0)</f>
        <v>12568</v>
      </c>
      <c r="AH13" s="40">
        <f t="shared" ref="AH13:AH15" si="30">(AF13*0.1) - (AG13*0.1)</f>
        <v>243.19999999999982</v>
      </c>
      <c r="AI13" s="40">
        <f t="shared" ref="AI13:AI15" si="31">AF13-AG13-AH13</f>
        <v>2188.8000000000002</v>
      </c>
      <c r="AJ13" s="39">
        <f t="shared" ref="AJ13:AJ15" si="32">AI13/AF13*100</f>
        <v>14.592000000000002</v>
      </c>
      <c r="AK13" s="38"/>
      <c r="AL13" s="2"/>
      <c r="AM13" s="2"/>
      <c r="AN13" s="2"/>
      <c r="AO13" s="2"/>
    </row>
    <row r="14" spans="2:41" x14ac:dyDescent="0.3">
      <c r="B14" s="289" t="s">
        <v>276</v>
      </c>
      <c r="C14" s="35" t="s">
        <v>275</v>
      </c>
      <c r="D14" s="36" t="s">
        <v>274</v>
      </c>
      <c r="E14" s="37">
        <f>1015*1.1</f>
        <v>1116.5</v>
      </c>
      <c r="G14" s="35">
        <f t="shared" si="7"/>
        <v>11</v>
      </c>
      <c r="H14" s="283" t="s">
        <v>273</v>
      </c>
      <c r="I14" s="43" t="s">
        <v>272</v>
      </c>
      <c r="J14" s="39">
        <v>0</v>
      </c>
      <c r="K14" s="39">
        <v>0</v>
      </c>
      <c r="L14" s="39">
        <f t="shared" ref="L14:L15" si="33">ROUNDUP($E$4*K14, -1)</f>
        <v>0</v>
      </c>
      <c r="M14" s="39">
        <v>0</v>
      </c>
      <c r="N14" s="40">
        <v>0</v>
      </c>
      <c r="O14" s="40">
        <v>0</v>
      </c>
      <c r="P14" s="40">
        <v>0</v>
      </c>
      <c r="Q14" s="39">
        <v>9000</v>
      </c>
      <c r="R14" s="39">
        <f>Q14</f>
        <v>9000</v>
      </c>
      <c r="S14" s="61">
        <f t="shared" si="4"/>
        <v>9000</v>
      </c>
      <c r="T14" s="39">
        <f t="shared" si="5"/>
        <v>11250</v>
      </c>
      <c r="U14" s="141">
        <v>20</v>
      </c>
      <c r="W14" s="284"/>
      <c r="X14" s="285"/>
      <c r="Y14" s="72">
        <v>14500</v>
      </c>
      <c r="Z14" s="72">
        <f t="shared" si="26"/>
        <v>12248</v>
      </c>
      <c r="AA14" s="72">
        <f t="shared" si="23"/>
        <v>225.20000000000005</v>
      </c>
      <c r="AB14" s="72">
        <f t="shared" si="24"/>
        <v>2026.8</v>
      </c>
      <c r="AC14" s="73">
        <f t="shared" si="25"/>
        <v>13.977931034482758</v>
      </c>
      <c r="AD14" s="290"/>
      <c r="AE14" s="286"/>
      <c r="AF14" s="142">
        <v>15500</v>
      </c>
      <c r="AG14" s="142">
        <f t="shared" ref="AG14:AG15" si="34">ROUNDUP($R$21, 0)</f>
        <v>12568</v>
      </c>
      <c r="AH14" s="142">
        <f t="shared" si="30"/>
        <v>293.19999999999982</v>
      </c>
      <c r="AI14" s="142">
        <f t="shared" si="31"/>
        <v>2638.8</v>
      </c>
      <c r="AJ14" s="143">
        <f t="shared" si="32"/>
        <v>17.024516129032261</v>
      </c>
      <c r="AK14" s="38"/>
      <c r="AL14" s="2"/>
      <c r="AM14" s="2"/>
      <c r="AN14" s="2"/>
      <c r="AO14" s="2"/>
    </row>
    <row r="15" spans="2:41" ht="16.5" customHeight="1" x14ac:dyDescent="0.3">
      <c r="B15" s="292"/>
      <c r="C15" s="35" t="s">
        <v>271</v>
      </c>
      <c r="D15" s="36" t="s">
        <v>259</v>
      </c>
      <c r="E15" s="37">
        <f>1060*1.1</f>
        <v>1166</v>
      </c>
      <c r="G15" s="35">
        <f t="shared" si="7"/>
        <v>12</v>
      </c>
      <c r="H15" s="285"/>
      <c r="I15" s="43" t="s">
        <v>270</v>
      </c>
      <c r="J15" s="39">
        <v>0</v>
      </c>
      <c r="K15" s="39">
        <v>0</v>
      </c>
      <c r="L15" s="39">
        <f t="shared" si="33"/>
        <v>0</v>
      </c>
      <c r="M15" s="39">
        <v>0</v>
      </c>
      <c r="N15" s="40">
        <v>0</v>
      </c>
      <c r="O15" s="40">
        <v>0</v>
      </c>
      <c r="P15" s="40">
        <v>0</v>
      </c>
      <c r="Q15" s="39">
        <v>16000</v>
      </c>
      <c r="R15" s="39">
        <f>Q15</f>
        <v>16000</v>
      </c>
      <c r="S15" s="61">
        <f t="shared" si="4"/>
        <v>16000</v>
      </c>
      <c r="T15" s="39">
        <f t="shared" si="5"/>
        <v>20000</v>
      </c>
      <c r="U15" s="141">
        <v>20</v>
      </c>
      <c r="W15" s="284"/>
      <c r="X15" s="287" t="s">
        <v>207</v>
      </c>
      <c r="Y15" s="40">
        <v>16000</v>
      </c>
      <c r="Z15" s="40">
        <f>ROUNDUP($R$9, 0)</f>
        <v>14190</v>
      </c>
      <c r="AA15" s="40">
        <f t="shared" ref="AA15:AA19" si="35">(Y15*0.1) - (Z15*0.1)</f>
        <v>181</v>
      </c>
      <c r="AB15" s="40">
        <f t="shared" ref="AB15:AB19" si="36">Y15-Z15-AA15</f>
        <v>1629</v>
      </c>
      <c r="AC15" s="39">
        <f t="shared" ref="AC15:AC19" si="37">AB15/Y15*100</f>
        <v>10.18125</v>
      </c>
      <c r="AD15" s="290"/>
      <c r="AE15" s="286"/>
      <c r="AF15" s="40">
        <v>16000</v>
      </c>
      <c r="AG15" s="40">
        <f t="shared" si="34"/>
        <v>12568</v>
      </c>
      <c r="AH15" s="40">
        <f t="shared" si="30"/>
        <v>343.19999999999982</v>
      </c>
      <c r="AI15" s="40">
        <f t="shared" si="31"/>
        <v>3088.8</v>
      </c>
      <c r="AJ15" s="39">
        <f t="shared" si="32"/>
        <v>19.305</v>
      </c>
      <c r="AK15" s="38"/>
      <c r="AL15" s="2"/>
      <c r="AM15" s="2"/>
      <c r="AN15" s="2"/>
      <c r="AO15" s="2"/>
    </row>
    <row r="16" spans="2:41" x14ac:dyDescent="0.3">
      <c r="B16" s="35" t="s">
        <v>269</v>
      </c>
      <c r="C16" s="35" t="s">
        <v>268</v>
      </c>
      <c r="D16" s="36" t="s">
        <v>246</v>
      </c>
      <c r="E16" s="37">
        <f>45*1.1</f>
        <v>49.500000000000007</v>
      </c>
      <c r="G16" s="35">
        <f t="shared" si="7"/>
        <v>13</v>
      </c>
      <c r="H16" s="287" t="s">
        <v>267</v>
      </c>
      <c r="I16" s="57">
        <v>150</v>
      </c>
      <c r="J16" s="39">
        <v>7.65</v>
      </c>
      <c r="K16" s="39">
        <v>7.65</v>
      </c>
      <c r="L16" s="39">
        <f>$E$4*K16</f>
        <v>9868.5</v>
      </c>
      <c r="M16" s="39">
        <f>$E$8*16</f>
        <v>800</v>
      </c>
      <c r="N16" s="40">
        <f>$E$16*4</f>
        <v>198.00000000000003</v>
      </c>
      <c r="O16" s="40">
        <v>0</v>
      </c>
      <c r="P16" s="40">
        <f>$E$14</f>
        <v>1116.5</v>
      </c>
      <c r="Q16" s="39">
        <f t="shared" si="3"/>
        <v>11983</v>
      </c>
      <c r="R16" s="39">
        <f>Q16</f>
        <v>11983</v>
      </c>
      <c r="S16" s="61">
        <f t="shared" si="4"/>
        <v>11983</v>
      </c>
      <c r="T16" s="39">
        <f t="shared" si="5"/>
        <v>14507.263922518159</v>
      </c>
      <c r="U16" s="141">
        <v>17.399999999999999</v>
      </c>
      <c r="W16" s="284"/>
      <c r="X16" s="284"/>
      <c r="Y16" s="72">
        <v>17000</v>
      </c>
      <c r="Z16" s="72">
        <f t="shared" ref="Z16:Z19" si="38">ROUNDUP($R$9, 0)</f>
        <v>14190</v>
      </c>
      <c r="AA16" s="72">
        <f t="shared" si="35"/>
        <v>281</v>
      </c>
      <c r="AB16" s="72">
        <f t="shared" si="36"/>
        <v>2529</v>
      </c>
      <c r="AC16" s="73">
        <f t="shared" si="37"/>
        <v>14.876470588235295</v>
      </c>
      <c r="AD16" s="290"/>
      <c r="AE16" s="286">
        <v>180</v>
      </c>
      <c r="AF16" s="40">
        <v>17000</v>
      </c>
      <c r="AG16" s="40">
        <f>ROUNDUP($R$22, 0)</f>
        <v>14459</v>
      </c>
      <c r="AH16" s="40">
        <f t="shared" ref="AH16:AH18" si="39">(AF16*0.1) - (AG16*0.1)</f>
        <v>254.09999999999991</v>
      </c>
      <c r="AI16" s="40">
        <f t="shared" ref="AI16:AI18" si="40">AF16-AG16-AH16</f>
        <v>2286.9</v>
      </c>
      <c r="AJ16" s="39">
        <f t="shared" ref="AJ16:AJ18" si="41">AI16/AF16*100</f>
        <v>13.452352941176471</v>
      </c>
      <c r="AK16" s="38"/>
      <c r="AL16" s="2"/>
      <c r="AM16" s="2"/>
      <c r="AN16" s="2"/>
      <c r="AO16" s="2"/>
    </row>
    <row r="17" spans="2:41" x14ac:dyDescent="0.3">
      <c r="B17" s="35" t="s">
        <v>266</v>
      </c>
      <c r="C17" s="35" t="s">
        <v>265</v>
      </c>
      <c r="D17" s="36" t="s">
        <v>264</v>
      </c>
      <c r="E17" s="37">
        <f>45*1.1</f>
        <v>49.500000000000007</v>
      </c>
      <c r="G17" s="35">
        <f t="shared" si="7"/>
        <v>14</v>
      </c>
      <c r="H17" s="284"/>
      <c r="I17" s="57">
        <v>160</v>
      </c>
      <c r="J17" s="39">
        <v>8.1199999999999992</v>
      </c>
      <c r="K17" s="39">
        <v>8.1199999999999992</v>
      </c>
      <c r="L17" s="39">
        <f t="shared" ref="L17:L20" si="42">$E$4*K17</f>
        <v>10474.799999999999</v>
      </c>
      <c r="M17" s="39">
        <f t="shared" ref="M17:M24" si="43">$E$8*16</f>
        <v>800</v>
      </c>
      <c r="N17" s="40">
        <f t="shared" ref="N17:N24" si="44">$E$16*4</f>
        <v>198.00000000000003</v>
      </c>
      <c r="O17" s="40">
        <v>0</v>
      </c>
      <c r="P17" s="40">
        <f t="shared" ref="P17:P20" si="45">$E$14</f>
        <v>1116.5</v>
      </c>
      <c r="Q17" s="39">
        <f t="shared" si="3"/>
        <v>12589.3</v>
      </c>
      <c r="R17" s="39">
        <f t="shared" ref="R17:R24" si="46">Q17</f>
        <v>12589.3</v>
      </c>
      <c r="S17" s="61">
        <f t="shared" si="4"/>
        <v>12590</v>
      </c>
      <c r="T17" s="39">
        <f t="shared" si="5"/>
        <v>15504.926108374384</v>
      </c>
      <c r="U17" s="141">
        <v>18.8</v>
      </c>
      <c r="W17" s="284"/>
      <c r="X17" s="284"/>
      <c r="Y17" s="72">
        <v>17500</v>
      </c>
      <c r="Z17" s="72">
        <f t="shared" si="38"/>
        <v>14190</v>
      </c>
      <c r="AA17" s="72">
        <f t="shared" si="35"/>
        <v>331</v>
      </c>
      <c r="AB17" s="72">
        <f t="shared" si="36"/>
        <v>2979</v>
      </c>
      <c r="AC17" s="73">
        <f t="shared" si="37"/>
        <v>17.022857142857141</v>
      </c>
      <c r="AD17" s="290"/>
      <c r="AE17" s="286"/>
      <c r="AF17" s="142">
        <v>17500</v>
      </c>
      <c r="AG17" s="142">
        <f t="shared" ref="AG17:AG18" si="47">ROUNDUP($R$22, 0)</f>
        <v>14459</v>
      </c>
      <c r="AH17" s="142">
        <f t="shared" si="39"/>
        <v>304.09999999999991</v>
      </c>
      <c r="AI17" s="142">
        <f t="shared" si="40"/>
        <v>2736.9</v>
      </c>
      <c r="AJ17" s="143">
        <f t="shared" si="41"/>
        <v>15.639428571428571</v>
      </c>
      <c r="AK17" s="38"/>
      <c r="AL17" s="2"/>
      <c r="AM17" s="2"/>
      <c r="AN17" s="2"/>
      <c r="AO17" s="2"/>
    </row>
    <row r="18" spans="2:41" x14ac:dyDescent="0.3">
      <c r="B18" s="35" t="s">
        <v>263</v>
      </c>
      <c r="C18" s="37" t="s">
        <v>243</v>
      </c>
      <c r="D18" s="37" t="s">
        <v>262</v>
      </c>
      <c r="E18" s="37">
        <v>70000</v>
      </c>
      <c r="G18" s="35">
        <f t="shared" si="7"/>
        <v>15</v>
      </c>
      <c r="H18" s="284"/>
      <c r="I18" s="57">
        <v>180</v>
      </c>
      <c r="J18" s="39">
        <v>9.0399999999999991</v>
      </c>
      <c r="K18" s="39">
        <v>9.0399999999999991</v>
      </c>
      <c r="L18" s="39">
        <f t="shared" si="42"/>
        <v>11661.599999999999</v>
      </c>
      <c r="M18" s="39">
        <f t="shared" si="43"/>
        <v>800</v>
      </c>
      <c r="N18" s="40">
        <f t="shared" si="44"/>
        <v>198.00000000000003</v>
      </c>
      <c r="O18" s="40">
        <v>0</v>
      </c>
      <c r="P18" s="40">
        <f t="shared" si="45"/>
        <v>1116.5</v>
      </c>
      <c r="Q18" s="39">
        <f t="shared" si="3"/>
        <v>13776.099999999999</v>
      </c>
      <c r="R18" s="39">
        <f t="shared" si="46"/>
        <v>13776.099999999999</v>
      </c>
      <c r="S18" s="61">
        <f t="shared" si="4"/>
        <v>13777</v>
      </c>
      <c r="T18" s="39">
        <f t="shared" si="5"/>
        <v>17505.71791613723</v>
      </c>
      <c r="U18" s="141">
        <v>21.3</v>
      </c>
      <c r="W18" s="284"/>
      <c r="X18" s="284"/>
      <c r="Y18" s="40">
        <v>18000</v>
      </c>
      <c r="Z18" s="40">
        <f t="shared" si="38"/>
        <v>14190</v>
      </c>
      <c r="AA18" s="40">
        <f t="shared" si="35"/>
        <v>381</v>
      </c>
      <c r="AB18" s="40">
        <f t="shared" si="36"/>
        <v>3429</v>
      </c>
      <c r="AC18" s="39">
        <f t="shared" si="37"/>
        <v>19.05</v>
      </c>
      <c r="AD18" s="290"/>
      <c r="AE18" s="286"/>
      <c r="AF18" s="40">
        <v>18000</v>
      </c>
      <c r="AG18" s="40">
        <f t="shared" si="47"/>
        <v>14459</v>
      </c>
      <c r="AH18" s="40">
        <f t="shared" si="39"/>
        <v>354.09999999999991</v>
      </c>
      <c r="AI18" s="40">
        <f t="shared" si="40"/>
        <v>3186.9</v>
      </c>
      <c r="AJ18" s="39">
        <f t="shared" si="41"/>
        <v>17.705000000000002</v>
      </c>
      <c r="AK18" s="38"/>
      <c r="AL18" s="2"/>
      <c r="AM18" s="2"/>
      <c r="AN18" s="2"/>
      <c r="AO18" s="2"/>
    </row>
    <row r="19" spans="2:41" x14ac:dyDescent="0.3">
      <c r="B19" s="35" t="s">
        <v>261</v>
      </c>
      <c r="C19" s="37" t="s">
        <v>260</v>
      </c>
      <c r="D19" s="37" t="s">
        <v>259</v>
      </c>
      <c r="E19" s="37">
        <f>95*1.1</f>
        <v>104.50000000000001</v>
      </c>
      <c r="F19" s="2"/>
      <c r="G19" s="35">
        <f t="shared" si="7"/>
        <v>16</v>
      </c>
      <c r="H19" s="284"/>
      <c r="I19" s="57">
        <v>200</v>
      </c>
      <c r="J19" s="39">
        <v>9.9600000000000009</v>
      </c>
      <c r="K19" s="39">
        <v>9.9600000000000009</v>
      </c>
      <c r="L19" s="39">
        <f t="shared" si="42"/>
        <v>12848.400000000001</v>
      </c>
      <c r="M19" s="39">
        <f t="shared" si="43"/>
        <v>800</v>
      </c>
      <c r="N19" s="40">
        <f t="shared" si="44"/>
        <v>198.00000000000003</v>
      </c>
      <c r="O19" s="40">
        <v>0</v>
      </c>
      <c r="P19" s="40">
        <f t="shared" si="45"/>
        <v>1116.5</v>
      </c>
      <c r="Q19" s="39">
        <f t="shared" si="3"/>
        <v>14962.900000000001</v>
      </c>
      <c r="R19" s="39">
        <f t="shared" si="46"/>
        <v>14962.900000000001</v>
      </c>
      <c r="S19" s="61">
        <f t="shared" si="4"/>
        <v>14963</v>
      </c>
      <c r="T19" s="39">
        <f t="shared" si="5"/>
        <v>19012.706480304954</v>
      </c>
      <c r="U19" s="141">
        <v>21.3</v>
      </c>
      <c r="V19" s="2"/>
      <c r="W19" s="284"/>
      <c r="X19" s="285"/>
      <c r="Y19" s="40">
        <v>18400</v>
      </c>
      <c r="Z19" s="40">
        <f t="shared" si="38"/>
        <v>14190</v>
      </c>
      <c r="AA19" s="40">
        <f t="shared" si="35"/>
        <v>421</v>
      </c>
      <c r="AB19" s="40">
        <f t="shared" si="36"/>
        <v>3789</v>
      </c>
      <c r="AC19" s="39">
        <f t="shared" si="37"/>
        <v>20.592391304347828</v>
      </c>
      <c r="AD19" s="290"/>
      <c r="AE19" s="35">
        <v>200</v>
      </c>
      <c r="AF19" s="142">
        <v>20000</v>
      </c>
      <c r="AG19" s="142">
        <f>ROUNDUP($R23, 0)</f>
        <v>15710</v>
      </c>
      <c r="AH19" s="142">
        <f t="shared" ref="AH19:AH20" si="48">(AF19*0.1) - (AG19*0.1)</f>
        <v>429</v>
      </c>
      <c r="AI19" s="142">
        <f t="shared" ref="AI19:AI20" si="49">AF19-AG19-AH19</f>
        <v>3861</v>
      </c>
      <c r="AJ19" s="143">
        <f t="shared" ref="AJ19:AJ20" si="50">AI19/AF19*100</f>
        <v>19.305</v>
      </c>
      <c r="AK19" s="38"/>
      <c r="AL19" s="2"/>
      <c r="AM19" s="2"/>
      <c r="AN19" s="2"/>
      <c r="AO19" s="2"/>
    </row>
    <row r="20" spans="2:41" ht="16.5" customHeight="1" x14ac:dyDescent="0.3">
      <c r="B20" s="35" t="s">
        <v>258</v>
      </c>
      <c r="C20" s="37" t="s">
        <v>243</v>
      </c>
      <c r="D20" s="37" t="s">
        <v>246</v>
      </c>
      <c r="E20" s="37">
        <f>200*1.1</f>
        <v>220.00000000000003</v>
      </c>
      <c r="F20" s="2"/>
      <c r="G20" s="35">
        <f t="shared" si="7"/>
        <v>17</v>
      </c>
      <c r="H20" s="285"/>
      <c r="I20" s="57">
        <v>300</v>
      </c>
      <c r="J20" s="39">
        <v>14.58</v>
      </c>
      <c r="K20" s="39">
        <v>14.8</v>
      </c>
      <c r="L20" s="39">
        <f t="shared" si="42"/>
        <v>19092</v>
      </c>
      <c r="M20" s="39">
        <f t="shared" si="43"/>
        <v>800</v>
      </c>
      <c r="N20" s="40">
        <f t="shared" si="44"/>
        <v>198.00000000000003</v>
      </c>
      <c r="O20" s="40">
        <v>0</v>
      </c>
      <c r="P20" s="40">
        <f t="shared" si="45"/>
        <v>1116.5</v>
      </c>
      <c r="Q20" s="39">
        <f t="shared" si="3"/>
        <v>21206.5</v>
      </c>
      <c r="R20" s="39">
        <f t="shared" si="46"/>
        <v>21206.5</v>
      </c>
      <c r="S20" s="61">
        <f t="shared" si="4"/>
        <v>21207</v>
      </c>
      <c r="T20" s="39">
        <f t="shared" si="5"/>
        <v>26508.75</v>
      </c>
      <c r="U20" s="141">
        <v>20</v>
      </c>
      <c r="V20" s="2"/>
      <c r="W20" s="284"/>
      <c r="X20" s="287" t="s">
        <v>208</v>
      </c>
      <c r="Y20" s="40">
        <v>18500</v>
      </c>
      <c r="Z20" s="40">
        <f>ROUNDUP($R$11, 0)</f>
        <v>16044</v>
      </c>
      <c r="AA20" s="40">
        <f t="shared" ref="AA20:AA22" si="51">(Y20*0.1) - (Z20*0.1)</f>
        <v>245.59999999999991</v>
      </c>
      <c r="AB20" s="40">
        <f t="shared" ref="AB20:AB22" si="52">Y20-Z20-AA20</f>
        <v>2210.4</v>
      </c>
      <c r="AC20" s="39">
        <f t="shared" ref="AC20:AC22" si="53">AB20/Y20*100</f>
        <v>11.948108108108109</v>
      </c>
      <c r="AD20" s="290"/>
      <c r="AE20" s="35">
        <v>300</v>
      </c>
      <c r="AF20" s="142">
        <v>28500</v>
      </c>
      <c r="AG20" s="142">
        <f>ROUNDUP($R24, 0)</f>
        <v>21993</v>
      </c>
      <c r="AH20" s="142">
        <f t="shared" si="48"/>
        <v>650.69999999999982</v>
      </c>
      <c r="AI20" s="142">
        <f t="shared" si="49"/>
        <v>5856.3</v>
      </c>
      <c r="AJ20" s="143">
        <f t="shared" si="50"/>
        <v>20.548421052631578</v>
      </c>
      <c r="AK20" s="38"/>
      <c r="AL20" s="2"/>
      <c r="AM20" s="2"/>
      <c r="AN20" s="2"/>
      <c r="AO20" s="2"/>
    </row>
    <row r="21" spans="2:41" x14ac:dyDescent="0.3">
      <c r="B21" s="35" t="s">
        <v>257</v>
      </c>
      <c r="C21" s="37" t="s">
        <v>256</v>
      </c>
      <c r="D21" s="37" t="s">
        <v>255</v>
      </c>
      <c r="E21" s="37">
        <f>2550/120</f>
        <v>21.25</v>
      </c>
      <c r="F21" s="2"/>
      <c r="G21" s="35">
        <f t="shared" si="7"/>
        <v>18</v>
      </c>
      <c r="H21" s="287" t="s">
        <v>254</v>
      </c>
      <c r="I21" s="57">
        <v>150</v>
      </c>
      <c r="J21" s="39">
        <v>7.65</v>
      </c>
      <c r="K21" s="39">
        <v>7.65</v>
      </c>
      <c r="L21" s="39">
        <f>$E$5*K21</f>
        <v>10404</v>
      </c>
      <c r="M21" s="39">
        <f t="shared" si="43"/>
        <v>800</v>
      </c>
      <c r="N21" s="40">
        <f t="shared" si="44"/>
        <v>198.00000000000003</v>
      </c>
      <c r="O21" s="40">
        <v>0</v>
      </c>
      <c r="P21" s="40">
        <f>$E$15</f>
        <v>1166</v>
      </c>
      <c r="Q21" s="39">
        <f t="shared" si="3"/>
        <v>12568</v>
      </c>
      <c r="R21" s="39">
        <f t="shared" si="46"/>
        <v>12568</v>
      </c>
      <c r="S21" s="61">
        <f t="shared" si="4"/>
        <v>12568</v>
      </c>
      <c r="T21" s="39">
        <f t="shared" si="5"/>
        <v>15477.83251231527</v>
      </c>
      <c r="U21" s="141">
        <v>18.8</v>
      </c>
      <c r="V21" s="2"/>
      <c r="W21" s="284"/>
      <c r="X21" s="284"/>
      <c r="Y21" s="40">
        <v>19000</v>
      </c>
      <c r="Z21" s="40">
        <f t="shared" ref="Z21" si="54">ROUNDUP($R$11, 0)</f>
        <v>16044</v>
      </c>
      <c r="AA21" s="40">
        <f t="shared" si="51"/>
        <v>295.59999999999991</v>
      </c>
      <c r="AB21" s="40">
        <f t="shared" si="52"/>
        <v>2660.4</v>
      </c>
      <c r="AC21" s="39">
        <f t="shared" si="53"/>
        <v>14.002105263157896</v>
      </c>
      <c r="AD21" s="290" t="s">
        <v>228</v>
      </c>
      <c r="AE21" s="286" t="s">
        <v>222</v>
      </c>
      <c r="AF21" s="40">
        <v>11000</v>
      </c>
      <c r="AG21" s="40">
        <f>ROUNDUP($R14, 0)</f>
        <v>9000</v>
      </c>
      <c r="AH21" s="40">
        <f t="shared" ref="AH21:AH27" si="55">(AF21*0.1) - (AG21*0.1)</f>
        <v>200</v>
      </c>
      <c r="AI21" s="40">
        <f t="shared" ref="AI21:AI27" si="56">AF21-AG21-AH21</f>
        <v>1800</v>
      </c>
      <c r="AJ21" s="39">
        <f t="shared" ref="AJ21:AJ27" si="57">AI21/AF21*100</f>
        <v>16.363636363636363</v>
      </c>
    </row>
    <row r="22" spans="2:41" x14ac:dyDescent="0.3">
      <c r="G22" s="35">
        <f t="shared" si="7"/>
        <v>19</v>
      </c>
      <c r="H22" s="284"/>
      <c r="I22" s="57">
        <v>180</v>
      </c>
      <c r="J22" s="39">
        <v>9.0399999999999991</v>
      </c>
      <c r="K22" s="39">
        <v>9.0399999999999991</v>
      </c>
      <c r="L22" s="39">
        <f t="shared" ref="L22:L24" si="58">$E$5*K22</f>
        <v>12294.4</v>
      </c>
      <c r="M22" s="39">
        <f t="shared" si="43"/>
        <v>800</v>
      </c>
      <c r="N22" s="40">
        <f t="shared" si="44"/>
        <v>198.00000000000003</v>
      </c>
      <c r="O22" s="40">
        <v>0</v>
      </c>
      <c r="P22" s="40">
        <f t="shared" ref="P22:P24" si="59">$E$15</f>
        <v>1166</v>
      </c>
      <c r="Q22" s="39">
        <f t="shared" si="3"/>
        <v>14458.4</v>
      </c>
      <c r="R22" s="39">
        <f t="shared" si="46"/>
        <v>14458.4</v>
      </c>
      <c r="S22" s="61">
        <f t="shared" si="4"/>
        <v>14459</v>
      </c>
      <c r="T22" s="39">
        <f t="shared" si="5"/>
        <v>18372.299872935197</v>
      </c>
      <c r="U22" s="141">
        <v>21.3</v>
      </c>
      <c r="W22" s="284"/>
      <c r="X22" s="285"/>
      <c r="Y22" s="40">
        <v>19500</v>
      </c>
      <c r="Z22" s="40">
        <f>ROUNDUP($R$11, 0)</f>
        <v>16044</v>
      </c>
      <c r="AA22" s="40">
        <f t="shared" si="51"/>
        <v>345.59999999999991</v>
      </c>
      <c r="AB22" s="40">
        <f t="shared" si="52"/>
        <v>3110.4</v>
      </c>
      <c r="AC22" s="39">
        <f t="shared" si="53"/>
        <v>15.950769230769232</v>
      </c>
      <c r="AD22" s="290"/>
      <c r="AE22" s="286"/>
      <c r="AF22" s="142">
        <v>11500</v>
      </c>
      <c r="AG22" s="142">
        <f>ROUNDUP($R14, 0)</f>
        <v>9000</v>
      </c>
      <c r="AH22" s="142">
        <f t="shared" si="55"/>
        <v>250</v>
      </c>
      <c r="AI22" s="142">
        <f t="shared" si="56"/>
        <v>2250</v>
      </c>
      <c r="AJ22" s="143">
        <f t="shared" si="57"/>
        <v>19.565217391304348</v>
      </c>
    </row>
    <row r="23" spans="2:41" x14ac:dyDescent="0.3">
      <c r="B23" s="283" t="s">
        <v>253</v>
      </c>
      <c r="C23" s="35" t="s">
        <v>245</v>
      </c>
      <c r="D23" s="296" t="s">
        <v>252</v>
      </c>
      <c r="E23" s="297"/>
      <c r="G23" s="35">
        <f t="shared" si="7"/>
        <v>20</v>
      </c>
      <c r="H23" s="284"/>
      <c r="I23" s="57">
        <v>200</v>
      </c>
      <c r="J23" s="39">
        <v>9.9600000000000009</v>
      </c>
      <c r="K23" s="39">
        <v>9.9600000000000009</v>
      </c>
      <c r="L23" s="39">
        <f t="shared" si="58"/>
        <v>13545.6</v>
      </c>
      <c r="M23" s="39">
        <f t="shared" si="43"/>
        <v>800</v>
      </c>
      <c r="N23" s="40">
        <f t="shared" si="44"/>
        <v>198.00000000000003</v>
      </c>
      <c r="O23" s="40">
        <v>0</v>
      </c>
      <c r="P23" s="40">
        <f t="shared" si="59"/>
        <v>1166</v>
      </c>
      <c r="Q23" s="39">
        <f t="shared" si="3"/>
        <v>15709.6</v>
      </c>
      <c r="R23" s="39">
        <f t="shared" si="46"/>
        <v>15709.6</v>
      </c>
      <c r="S23" s="61">
        <f t="shared" si="4"/>
        <v>15710</v>
      </c>
      <c r="T23" s="39">
        <f t="shared" si="5"/>
        <v>19961.880559085133</v>
      </c>
      <c r="U23" s="141">
        <v>21.3</v>
      </c>
      <c r="W23" s="284"/>
      <c r="X23" s="283" t="s">
        <v>206</v>
      </c>
      <c r="Y23" s="142">
        <v>19500</v>
      </c>
      <c r="Z23" s="142">
        <f>ROUNDUP($R$12, 0)</f>
        <v>16519</v>
      </c>
      <c r="AA23" s="142">
        <f t="shared" ref="AA23:AA25" si="60">(Y23*0.1) - (Z23*0.1)</f>
        <v>298.09999999999991</v>
      </c>
      <c r="AB23" s="142">
        <f t="shared" ref="AB23:AB25" si="61">Y23-Z23-AA23</f>
        <v>2682.9</v>
      </c>
      <c r="AC23" s="143">
        <f t="shared" ref="AC23:AC25" si="62">AB23/Y23*100</f>
        <v>13.758461538461539</v>
      </c>
      <c r="AD23" s="290"/>
      <c r="AE23" s="286"/>
      <c r="AF23" s="40">
        <v>12000</v>
      </c>
      <c r="AG23" s="40">
        <f>ROUNDUP($R14, 0)</f>
        <v>9000</v>
      </c>
      <c r="AH23" s="40">
        <f t="shared" si="55"/>
        <v>300</v>
      </c>
      <c r="AI23" s="40">
        <f t="shared" si="56"/>
        <v>2700</v>
      </c>
      <c r="AJ23" s="39">
        <f t="shared" si="57"/>
        <v>22.5</v>
      </c>
    </row>
    <row r="24" spans="2:41" ht="16.5" customHeight="1" x14ac:dyDescent="0.3">
      <c r="B24" s="284"/>
      <c r="C24" s="35" t="s">
        <v>251</v>
      </c>
      <c r="D24" s="296" t="s">
        <v>242</v>
      </c>
      <c r="E24" s="297"/>
      <c r="G24" s="35">
        <f t="shared" si="7"/>
        <v>21</v>
      </c>
      <c r="H24" s="285"/>
      <c r="I24" s="57">
        <v>300</v>
      </c>
      <c r="J24" s="39">
        <v>14.58</v>
      </c>
      <c r="K24" s="39">
        <v>14.58</v>
      </c>
      <c r="L24" s="39">
        <f t="shared" si="58"/>
        <v>19828.8</v>
      </c>
      <c r="M24" s="39">
        <f t="shared" si="43"/>
        <v>800</v>
      </c>
      <c r="N24" s="40">
        <f t="shared" si="44"/>
        <v>198.00000000000003</v>
      </c>
      <c r="O24" s="40">
        <v>0</v>
      </c>
      <c r="P24" s="40">
        <f t="shared" si="59"/>
        <v>1166</v>
      </c>
      <c r="Q24" s="39">
        <f t="shared" si="3"/>
        <v>21992.799999999999</v>
      </c>
      <c r="R24" s="39">
        <f t="shared" si="46"/>
        <v>21992.799999999999</v>
      </c>
      <c r="S24" s="61">
        <f t="shared" si="4"/>
        <v>21993</v>
      </c>
      <c r="T24" s="39">
        <f t="shared" si="5"/>
        <v>27491.25</v>
      </c>
      <c r="U24" s="141">
        <v>20</v>
      </c>
      <c r="W24" s="284"/>
      <c r="X24" s="284"/>
      <c r="Y24" s="40">
        <v>20000</v>
      </c>
      <c r="Z24" s="40">
        <f t="shared" ref="Z24:Z25" si="63">ROUNDUP($R$12, 0)</f>
        <v>16519</v>
      </c>
      <c r="AA24" s="40">
        <f t="shared" si="60"/>
        <v>348.09999999999991</v>
      </c>
      <c r="AB24" s="40">
        <f t="shared" si="61"/>
        <v>3132.9</v>
      </c>
      <c r="AC24" s="39">
        <f t="shared" si="62"/>
        <v>15.6645</v>
      </c>
      <c r="AD24" s="290"/>
      <c r="AE24" s="289" t="s">
        <v>223</v>
      </c>
      <c r="AF24" s="40">
        <v>18500</v>
      </c>
      <c r="AG24" s="40">
        <f>ROUNDUP($R$15, 0)</f>
        <v>16000</v>
      </c>
      <c r="AH24" s="40">
        <f t="shared" si="55"/>
        <v>250</v>
      </c>
      <c r="AI24" s="40">
        <f t="shared" si="56"/>
        <v>2250</v>
      </c>
      <c r="AJ24" s="39">
        <f t="shared" si="57"/>
        <v>12.162162162162163</v>
      </c>
    </row>
    <row r="25" spans="2:41" x14ac:dyDescent="0.3">
      <c r="B25" s="285"/>
      <c r="C25" s="35" t="s">
        <v>250</v>
      </c>
      <c r="D25" s="296" t="s">
        <v>249</v>
      </c>
      <c r="E25" s="297"/>
      <c r="G25" s="35">
        <v>22</v>
      </c>
      <c r="H25" s="35">
        <v>30</v>
      </c>
      <c r="I25" s="57" t="s">
        <v>248</v>
      </c>
      <c r="J25" s="39">
        <v>2.92</v>
      </c>
      <c r="K25" s="39">
        <v>3</v>
      </c>
      <c r="L25" s="39">
        <f>K25*E4</f>
        <v>3870</v>
      </c>
      <c r="M25" s="39">
        <f>E7*H25</f>
        <v>253.84615384615384</v>
      </c>
      <c r="N25" s="40">
        <f>E9</f>
        <v>253.00000000000003</v>
      </c>
      <c r="O25" s="40">
        <v>100</v>
      </c>
      <c r="P25" s="40">
        <f>E12</f>
        <v>253.00000000000003</v>
      </c>
      <c r="Q25" s="39">
        <f t="shared" si="3"/>
        <v>4729.8461538461543</v>
      </c>
      <c r="R25" s="39">
        <f>Q25*3</f>
        <v>14189.538461538463</v>
      </c>
      <c r="S25" s="61">
        <f t="shared" si="4"/>
        <v>14190</v>
      </c>
      <c r="T25" s="39">
        <f t="shared" si="5"/>
        <v>16500</v>
      </c>
      <c r="U25" s="141">
        <v>14</v>
      </c>
      <c r="W25" s="284"/>
      <c r="X25" s="285"/>
      <c r="Y25" s="40">
        <v>21000</v>
      </c>
      <c r="Z25" s="40">
        <f t="shared" si="63"/>
        <v>16519</v>
      </c>
      <c r="AA25" s="40">
        <f t="shared" si="60"/>
        <v>448.09999999999991</v>
      </c>
      <c r="AB25" s="40">
        <f t="shared" si="61"/>
        <v>4032.9</v>
      </c>
      <c r="AC25" s="39">
        <f t="shared" si="62"/>
        <v>19.204285714285714</v>
      </c>
      <c r="AD25" s="290"/>
      <c r="AE25" s="286"/>
      <c r="AF25" s="40">
        <v>19000</v>
      </c>
      <c r="AG25" s="40">
        <f t="shared" ref="AG25:AG27" si="64">ROUNDUP($R$15, 0)</f>
        <v>16000</v>
      </c>
      <c r="AH25" s="40">
        <f t="shared" si="55"/>
        <v>300</v>
      </c>
      <c r="AI25" s="40">
        <f t="shared" si="56"/>
        <v>2700</v>
      </c>
      <c r="AJ25" s="39">
        <f t="shared" si="57"/>
        <v>14.210526315789473</v>
      </c>
    </row>
    <row r="26" spans="2:41" ht="27" x14ac:dyDescent="0.3">
      <c r="B26" s="6" t="s">
        <v>247</v>
      </c>
      <c r="C26" s="6" t="s">
        <v>315</v>
      </c>
      <c r="D26" s="90" t="s">
        <v>316</v>
      </c>
      <c r="E26" s="91">
        <v>0.18</v>
      </c>
      <c r="H26" s="48" t="s">
        <v>434</v>
      </c>
      <c r="I26" s="48">
        <v>160</v>
      </c>
      <c r="J26" s="60">
        <v>8.1199999999999992</v>
      </c>
      <c r="K26" s="48">
        <v>8.1199999999999992</v>
      </c>
      <c r="L26" s="39">
        <f>K26*E5</f>
        <v>11043.199999999999</v>
      </c>
      <c r="W26" s="284"/>
      <c r="X26" s="62" t="s">
        <v>226</v>
      </c>
      <c r="Y26" s="142">
        <v>16500</v>
      </c>
      <c r="Z26" s="142">
        <f>R25</f>
        <v>14189.538461538463</v>
      </c>
      <c r="AA26" s="142">
        <f t="shared" ref="AA26" si="65">(Y26*0.1) - (Z26*0.1)</f>
        <v>231.04615384615363</v>
      </c>
      <c r="AB26" s="142">
        <f t="shared" ref="AB26" si="66">Y26-Z26-AA26</f>
        <v>2079.4153846153836</v>
      </c>
      <c r="AC26" s="143">
        <f t="shared" ref="AC26" si="67">AB26/Y26*100</f>
        <v>12.602517482517476</v>
      </c>
      <c r="AD26" s="290"/>
      <c r="AE26" s="286"/>
      <c r="AF26" s="142">
        <v>19500</v>
      </c>
      <c r="AG26" s="142">
        <f t="shared" si="64"/>
        <v>16000</v>
      </c>
      <c r="AH26" s="142">
        <f t="shared" si="55"/>
        <v>350</v>
      </c>
      <c r="AI26" s="142">
        <f t="shared" si="56"/>
        <v>3150</v>
      </c>
      <c r="AJ26" s="143">
        <f t="shared" si="57"/>
        <v>16.153846153846153</v>
      </c>
    </row>
    <row r="27" spans="2:41" ht="16.5" customHeight="1" x14ac:dyDescent="0.3">
      <c r="W27" s="284"/>
      <c r="X27" s="287" t="s">
        <v>209</v>
      </c>
      <c r="Y27" s="40">
        <v>20000</v>
      </c>
      <c r="Z27" s="40">
        <f>ROUNDUP($R$13, 0)</f>
        <v>16906</v>
      </c>
      <c r="AA27" s="40">
        <f>(Y27*0.1) - (Z27*0.1)</f>
        <v>309.39999999999986</v>
      </c>
      <c r="AB27" s="40">
        <f>Y27-Z27-AA27</f>
        <v>2784.6000000000004</v>
      </c>
      <c r="AC27" s="39">
        <f>AB27/Y27*100</f>
        <v>13.923000000000002</v>
      </c>
      <c r="AD27" s="290"/>
      <c r="AE27" s="286"/>
      <c r="AF27" s="40">
        <v>20000</v>
      </c>
      <c r="AG27" s="40">
        <f t="shared" si="64"/>
        <v>16000</v>
      </c>
      <c r="AH27" s="40">
        <f t="shared" si="55"/>
        <v>400</v>
      </c>
      <c r="AI27" s="40">
        <f t="shared" si="56"/>
        <v>3600</v>
      </c>
      <c r="AJ27" s="39">
        <f t="shared" si="57"/>
        <v>18</v>
      </c>
    </row>
    <row r="28" spans="2:41" ht="16.5" customHeight="1" x14ac:dyDescent="0.3">
      <c r="W28" s="285"/>
      <c r="X28" s="288"/>
      <c r="Y28" s="142">
        <v>21000</v>
      </c>
      <c r="Z28" s="142">
        <f>ROUNDUP($R$13, 0)</f>
        <v>16906</v>
      </c>
      <c r="AA28" s="142">
        <f>(Y28*0.1) - (Z28*0.1)</f>
        <v>409.39999999999986</v>
      </c>
      <c r="AB28" s="142">
        <f>Y28-Z28-AA28</f>
        <v>3684.6000000000004</v>
      </c>
      <c r="AC28" s="143">
        <f>AB28/Y28*100</f>
        <v>17.545714285714286</v>
      </c>
    </row>
    <row r="29" spans="2:41" x14ac:dyDescent="0.3">
      <c r="K29" s="38"/>
      <c r="M29" s="86"/>
      <c r="N29" s="86"/>
      <c r="O29" s="86"/>
      <c r="V29" s="22"/>
      <c r="W29" s="22"/>
      <c r="X29" s="22"/>
    </row>
    <row r="30" spans="2:41" x14ac:dyDescent="0.3">
      <c r="M30" s="86"/>
      <c r="N30" s="86"/>
      <c r="O30" s="86"/>
      <c r="V30" s="22"/>
      <c r="W30" s="22"/>
      <c r="X30" s="22"/>
    </row>
    <row r="31" spans="2:41" x14ac:dyDescent="0.3">
      <c r="L31" s="38"/>
      <c r="N31" s="38"/>
      <c r="O31" s="38"/>
      <c r="V31" s="22"/>
      <c r="W31" s="22"/>
      <c r="X31" s="22"/>
    </row>
    <row r="32" spans="2:41" x14ac:dyDescent="0.3">
      <c r="M32" s="86"/>
      <c r="N32" s="86"/>
      <c r="O32" s="86"/>
      <c r="V32" s="22"/>
      <c r="W32" s="22"/>
      <c r="X32" s="22"/>
    </row>
    <row r="33" spans="22:24" x14ac:dyDescent="0.3">
      <c r="V33" s="22"/>
      <c r="W33" s="22"/>
      <c r="X33" s="22"/>
    </row>
    <row r="34" spans="22:24" x14ac:dyDescent="0.3">
      <c r="V34" s="22"/>
      <c r="W34" s="22"/>
      <c r="X34" s="22"/>
    </row>
    <row r="35" spans="22:24" ht="16.5" customHeight="1" x14ac:dyDescent="0.3">
      <c r="V35" s="22"/>
      <c r="W35" s="22"/>
      <c r="X35" s="22"/>
    </row>
    <row r="36" spans="22:24" x14ac:dyDescent="0.3">
      <c r="V36" s="22"/>
      <c r="W36" s="22"/>
      <c r="X36" s="22"/>
    </row>
    <row r="37" spans="22:24" x14ac:dyDescent="0.3">
      <c r="V37" s="22"/>
      <c r="W37" s="22"/>
      <c r="X37" s="22"/>
    </row>
    <row r="38" spans="22:24" x14ac:dyDescent="0.3">
      <c r="V38" s="22"/>
      <c r="W38" s="22"/>
      <c r="X38" s="22"/>
    </row>
    <row r="39" spans="22:24" x14ac:dyDescent="0.3">
      <c r="V39" s="22"/>
      <c r="W39" s="22"/>
      <c r="X39" s="22"/>
    </row>
    <row r="40" spans="22:24" x14ac:dyDescent="0.3">
      <c r="V40" s="22"/>
      <c r="W40" s="22"/>
      <c r="X40" s="22"/>
    </row>
    <row r="41" spans="22:24" x14ac:dyDescent="0.3">
      <c r="V41" s="22"/>
      <c r="W41" s="22"/>
      <c r="X41" s="22"/>
    </row>
  </sheetData>
  <mergeCells count="36">
    <mergeCell ref="X23:X25"/>
    <mergeCell ref="X15:X19"/>
    <mergeCell ref="B14:B15"/>
    <mergeCell ref="B23:B25"/>
    <mergeCell ref="H16:H20"/>
    <mergeCell ref="H21:H24"/>
    <mergeCell ref="D23:E23"/>
    <mergeCell ref="D24:E24"/>
    <mergeCell ref="D25:E25"/>
    <mergeCell ref="H14:H15"/>
    <mergeCell ref="B2:E2"/>
    <mergeCell ref="C6:C7"/>
    <mergeCell ref="B4:B5"/>
    <mergeCell ref="B6:B8"/>
    <mergeCell ref="G2:U2"/>
    <mergeCell ref="H3:I3"/>
    <mergeCell ref="H4:H5"/>
    <mergeCell ref="H7:H13"/>
    <mergeCell ref="B9:B10"/>
    <mergeCell ref="B11:B13"/>
    <mergeCell ref="W2:AJ2"/>
    <mergeCell ref="W10:W28"/>
    <mergeCell ref="AE13:AE15"/>
    <mergeCell ref="AE16:AE18"/>
    <mergeCell ref="AE4:AE6"/>
    <mergeCell ref="X27:X28"/>
    <mergeCell ref="W4:W7"/>
    <mergeCell ref="W8:W9"/>
    <mergeCell ref="X10:X14"/>
    <mergeCell ref="AE21:AE23"/>
    <mergeCell ref="AE24:AE27"/>
    <mergeCell ref="AD4:AD12"/>
    <mergeCell ref="AD13:AD20"/>
    <mergeCell ref="AD21:AD27"/>
    <mergeCell ref="AE8:AE10"/>
    <mergeCell ref="X20:X22"/>
  </mergeCells>
  <phoneticPr fontId="1" type="noConversion"/>
  <pageMargins left="0.25" right="0.25" top="0.75" bottom="0.75" header="0.3" footer="0.3"/>
  <pageSetup paperSize="256" scale="51" orientation="landscape" horizontalDpi="203" verticalDpi="20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24"/>
  <sheetViews>
    <sheetView workbookViewId="0">
      <selection activeCell="B4" sqref="B4:D24"/>
    </sheetView>
  </sheetViews>
  <sheetFormatPr defaultRowHeight="16.5" x14ac:dyDescent="0.3"/>
  <cols>
    <col min="1" max="1" width="4.125" customWidth="1"/>
    <col min="2" max="2" width="3.5" bestFit="1" customWidth="1"/>
    <col min="3" max="3" width="13.875" bestFit="1" customWidth="1"/>
    <col min="4" max="4" width="5.25" bestFit="1" customWidth="1"/>
    <col min="5" max="5" width="7.5" bestFit="1" customWidth="1"/>
    <col min="6" max="6" width="11" bestFit="1" customWidth="1"/>
    <col min="7" max="7" width="7.125" bestFit="1" customWidth="1"/>
  </cols>
  <sheetData>
    <row r="2" spans="2:14" x14ac:dyDescent="0.3">
      <c r="B2" s="335" t="s">
        <v>76</v>
      </c>
      <c r="C2" s="335"/>
      <c r="D2" s="335"/>
      <c r="E2" s="335"/>
      <c r="F2" s="335"/>
      <c r="G2" s="335"/>
      <c r="I2" s="335" t="s">
        <v>77</v>
      </c>
      <c r="J2" s="335"/>
      <c r="K2" s="335"/>
      <c r="L2" s="335"/>
      <c r="M2" s="335"/>
      <c r="N2" s="335"/>
    </row>
    <row r="3" spans="2:14" x14ac:dyDescent="0.3">
      <c r="B3" t="s">
        <v>62</v>
      </c>
      <c r="C3" t="s">
        <v>63</v>
      </c>
      <c r="D3" t="s">
        <v>64</v>
      </c>
      <c r="E3" t="s">
        <v>65</v>
      </c>
      <c r="F3" t="s">
        <v>67</v>
      </c>
      <c r="G3" t="s">
        <v>66</v>
      </c>
      <c r="I3" t="s">
        <v>62</v>
      </c>
      <c r="J3" t="s">
        <v>63</v>
      </c>
      <c r="K3" t="s">
        <v>64</v>
      </c>
      <c r="L3" t="s">
        <v>65</v>
      </c>
      <c r="M3" t="s">
        <v>67</v>
      </c>
      <c r="N3" t="s">
        <v>66</v>
      </c>
    </row>
    <row r="4" spans="2:14" x14ac:dyDescent="0.3">
      <c r="B4">
        <v>1</v>
      </c>
      <c r="C4" t="s">
        <v>68</v>
      </c>
      <c r="D4">
        <v>10</v>
      </c>
      <c r="E4" t="e">
        <f>기본정보!G4*(1+기본정보!#REF!/100)+기본정보!L6</f>
        <v>#REF!</v>
      </c>
      <c r="G4">
        <v>1.07</v>
      </c>
      <c r="I4">
        <v>1</v>
      </c>
      <c r="J4" t="s">
        <v>68</v>
      </c>
      <c r="K4">
        <v>10</v>
      </c>
      <c r="L4" t="e">
        <f>기본정보!J4*(1+기본정보!#REF!/100)</f>
        <v>#VALUE!</v>
      </c>
      <c r="N4">
        <v>1.07</v>
      </c>
    </row>
    <row r="5" spans="2:14" x14ac:dyDescent="0.3">
      <c r="B5">
        <f>B4+1</f>
        <v>2</v>
      </c>
      <c r="C5" t="s">
        <v>69</v>
      </c>
      <c r="D5">
        <v>4</v>
      </c>
      <c r="G5">
        <v>7.8</v>
      </c>
      <c r="I5">
        <f>I4+1</f>
        <v>2</v>
      </c>
      <c r="J5" t="s">
        <v>69</v>
      </c>
      <c r="K5">
        <v>4</v>
      </c>
      <c r="N5">
        <v>7.8</v>
      </c>
    </row>
    <row r="6" spans="2:14" x14ac:dyDescent="0.3">
      <c r="B6">
        <f t="shared" ref="B6:B24" si="0">B5+1</f>
        <v>3</v>
      </c>
      <c r="C6" t="s">
        <v>70</v>
      </c>
      <c r="D6">
        <v>3</v>
      </c>
      <c r="I6">
        <f t="shared" ref="I6:I24" si="1">I5+1</f>
        <v>3</v>
      </c>
      <c r="J6" t="s">
        <v>70</v>
      </c>
      <c r="K6">
        <v>3</v>
      </c>
    </row>
    <row r="7" spans="2:14" x14ac:dyDescent="0.3">
      <c r="B7">
        <f t="shared" si="0"/>
        <v>4</v>
      </c>
      <c r="C7" t="s">
        <v>71</v>
      </c>
      <c r="D7">
        <v>3</v>
      </c>
      <c r="I7">
        <f t="shared" si="1"/>
        <v>4</v>
      </c>
      <c r="J7" t="s">
        <v>71</v>
      </c>
      <c r="K7">
        <v>3</v>
      </c>
    </row>
    <row r="8" spans="2:14" x14ac:dyDescent="0.3">
      <c r="B8">
        <f t="shared" si="0"/>
        <v>5</v>
      </c>
      <c r="C8" t="s">
        <v>72</v>
      </c>
      <c r="D8">
        <v>3</v>
      </c>
      <c r="I8">
        <f t="shared" si="1"/>
        <v>5</v>
      </c>
      <c r="J8" t="s">
        <v>72</v>
      </c>
      <c r="K8">
        <v>3</v>
      </c>
    </row>
    <row r="9" spans="2:14" x14ac:dyDescent="0.3">
      <c r="B9">
        <f t="shared" si="0"/>
        <v>6</v>
      </c>
      <c r="C9" t="s">
        <v>73</v>
      </c>
      <c r="D9">
        <v>2</v>
      </c>
      <c r="I9">
        <f t="shared" si="1"/>
        <v>6</v>
      </c>
      <c r="J9" t="s">
        <v>73</v>
      </c>
      <c r="K9">
        <v>2</v>
      </c>
    </row>
    <row r="10" spans="2:14" x14ac:dyDescent="0.3">
      <c r="B10">
        <f t="shared" si="0"/>
        <v>7</v>
      </c>
      <c r="C10" t="s">
        <v>73</v>
      </c>
      <c r="D10">
        <v>3</v>
      </c>
      <c r="I10">
        <f t="shared" si="1"/>
        <v>7</v>
      </c>
      <c r="J10" t="s">
        <v>73</v>
      </c>
      <c r="K10">
        <v>3</v>
      </c>
    </row>
    <row r="11" spans="2:14" x14ac:dyDescent="0.3">
      <c r="B11">
        <f t="shared" si="0"/>
        <v>8</v>
      </c>
      <c r="C11" t="s">
        <v>74</v>
      </c>
      <c r="D11">
        <v>2</v>
      </c>
      <c r="I11">
        <f t="shared" si="1"/>
        <v>8</v>
      </c>
      <c r="J11" t="s">
        <v>74</v>
      </c>
      <c r="K11">
        <v>2</v>
      </c>
    </row>
    <row r="12" spans="2:14" x14ac:dyDescent="0.3">
      <c r="B12">
        <f t="shared" si="0"/>
        <v>9</v>
      </c>
      <c r="C12" t="s">
        <v>74</v>
      </c>
      <c r="D12">
        <v>3</v>
      </c>
      <c r="I12">
        <f t="shared" si="1"/>
        <v>9</v>
      </c>
      <c r="J12" t="s">
        <v>74</v>
      </c>
      <c r="K12">
        <v>3</v>
      </c>
    </row>
    <row r="13" spans="2:14" x14ac:dyDescent="0.3">
      <c r="B13">
        <f t="shared" si="0"/>
        <v>10</v>
      </c>
      <c r="C13" t="s">
        <v>75</v>
      </c>
      <c r="D13">
        <v>2</v>
      </c>
      <c r="I13">
        <f t="shared" si="1"/>
        <v>10</v>
      </c>
      <c r="J13" t="s">
        <v>75</v>
      </c>
      <c r="K13">
        <v>2</v>
      </c>
    </row>
    <row r="14" spans="2:14" x14ac:dyDescent="0.3">
      <c r="B14">
        <f t="shared" si="0"/>
        <v>11</v>
      </c>
      <c r="C14" t="s">
        <v>75</v>
      </c>
      <c r="D14">
        <v>3</v>
      </c>
      <c r="I14">
        <f t="shared" si="1"/>
        <v>11</v>
      </c>
      <c r="J14" t="s">
        <v>75</v>
      </c>
      <c r="K14">
        <v>3</v>
      </c>
    </row>
    <row r="15" spans="2:14" x14ac:dyDescent="0.3">
      <c r="B15">
        <f t="shared" si="0"/>
        <v>12</v>
      </c>
      <c r="C15" t="s">
        <v>48</v>
      </c>
      <c r="D15">
        <v>150</v>
      </c>
      <c r="I15">
        <f t="shared" si="1"/>
        <v>12</v>
      </c>
      <c r="J15" t="s">
        <v>48</v>
      </c>
      <c r="K15">
        <v>150</v>
      </c>
    </row>
    <row r="16" spans="2:14" x14ac:dyDescent="0.3">
      <c r="B16">
        <f t="shared" si="0"/>
        <v>13</v>
      </c>
      <c r="C16" t="s">
        <v>48</v>
      </c>
      <c r="D16">
        <v>160</v>
      </c>
      <c r="I16">
        <f t="shared" si="1"/>
        <v>13</v>
      </c>
      <c r="J16" t="s">
        <v>48</v>
      </c>
      <c r="K16">
        <v>160</v>
      </c>
    </row>
    <row r="17" spans="2:11" x14ac:dyDescent="0.3">
      <c r="B17">
        <f t="shared" si="0"/>
        <v>14</v>
      </c>
      <c r="C17" t="s">
        <v>48</v>
      </c>
      <c r="D17">
        <v>180</v>
      </c>
      <c r="I17">
        <f t="shared" si="1"/>
        <v>14</v>
      </c>
      <c r="J17" t="s">
        <v>48</v>
      </c>
      <c r="K17">
        <v>180</v>
      </c>
    </row>
    <row r="18" spans="2:11" x14ac:dyDescent="0.3">
      <c r="B18">
        <f t="shared" si="0"/>
        <v>15</v>
      </c>
      <c r="C18" t="s">
        <v>48</v>
      </c>
      <c r="D18">
        <v>200</v>
      </c>
      <c r="I18">
        <f t="shared" si="1"/>
        <v>15</v>
      </c>
      <c r="J18" t="s">
        <v>48</v>
      </c>
      <c r="K18">
        <v>200</v>
      </c>
    </row>
    <row r="19" spans="2:11" x14ac:dyDescent="0.3">
      <c r="B19">
        <f t="shared" si="0"/>
        <v>16</v>
      </c>
      <c r="C19" t="s">
        <v>48</v>
      </c>
      <c r="D19">
        <v>300</v>
      </c>
      <c r="I19">
        <f t="shared" si="1"/>
        <v>16</v>
      </c>
      <c r="J19" t="s">
        <v>48</v>
      </c>
      <c r="K19">
        <v>300</v>
      </c>
    </row>
    <row r="20" spans="2:11" x14ac:dyDescent="0.3">
      <c r="B20">
        <f t="shared" si="0"/>
        <v>17</v>
      </c>
      <c r="C20" t="s">
        <v>2</v>
      </c>
      <c r="D20">
        <v>150</v>
      </c>
      <c r="I20">
        <f t="shared" si="1"/>
        <v>17</v>
      </c>
      <c r="J20" t="s">
        <v>2</v>
      </c>
      <c r="K20">
        <v>150</v>
      </c>
    </row>
    <row r="21" spans="2:11" x14ac:dyDescent="0.3">
      <c r="B21">
        <f t="shared" si="0"/>
        <v>18</v>
      </c>
      <c r="C21" t="s">
        <v>2</v>
      </c>
      <c r="D21">
        <v>160</v>
      </c>
      <c r="I21">
        <f t="shared" si="1"/>
        <v>18</v>
      </c>
      <c r="J21" t="s">
        <v>2</v>
      </c>
      <c r="K21">
        <v>160</v>
      </c>
    </row>
    <row r="22" spans="2:11" x14ac:dyDescent="0.3">
      <c r="B22">
        <f t="shared" si="0"/>
        <v>19</v>
      </c>
      <c r="C22" t="s">
        <v>2</v>
      </c>
      <c r="D22">
        <v>180</v>
      </c>
      <c r="I22">
        <f t="shared" si="1"/>
        <v>19</v>
      </c>
      <c r="J22" t="s">
        <v>2</v>
      </c>
      <c r="K22">
        <v>180</v>
      </c>
    </row>
    <row r="23" spans="2:11" x14ac:dyDescent="0.3">
      <c r="B23">
        <f t="shared" si="0"/>
        <v>20</v>
      </c>
      <c r="C23" t="s">
        <v>2</v>
      </c>
      <c r="D23">
        <v>200</v>
      </c>
      <c r="I23">
        <f t="shared" si="1"/>
        <v>20</v>
      </c>
      <c r="J23" t="s">
        <v>2</v>
      </c>
      <c r="K23">
        <v>200</v>
      </c>
    </row>
    <row r="24" spans="2:11" x14ac:dyDescent="0.3">
      <c r="B24">
        <f t="shared" si="0"/>
        <v>21</v>
      </c>
      <c r="C24" t="s">
        <v>2</v>
      </c>
      <c r="D24">
        <v>300</v>
      </c>
      <c r="I24">
        <f t="shared" si="1"/>
        <v>21</v>
      </c>
      <c r="J24" t="s">
        <v>2</v>
      </c>
      <c r="K24">
        <v>300</v>
      </c>
    </row>
  </sheetData>
  <mergeCells count="2">
    <mergeCell ref="B2:G2"/>
    <mergeCell ref="I2:N2"/>
  </mergeCells>
  <phoneticPr fontId="1" type="noConversion"/>
  <pageMargins left="0.7" right="0.7" top="0.75" bottom="0.75" header="0.3" footer="0.3"/>
  <pageSetup paperSize="256" orientation="portrait" horizontalDpi="203" verticalDpi="20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K28"/>
  <sheetViews>
    <sheetView workbookViewId="0">
      <selection activeCell="G9" sqref="G9"/>
    </sheetView>
  </sheetViews>
  <sheetFormatPr defaultColWidth="9" defaultRowHeight="16.5" x14ac:dyDescent="0.3"/>
  <cols>
    <col min="1" max="1" width="4.375" style="1" customWidth="1"/>
    <col min="2" max="2" width="2.625" style="1" bestFit="1" customWidth="1"/>
    <col min="3" max="3" width="18.875" style="13" bestFit="1" customWidth="1"/>
    <col min="4" max="4" width="7.5" style="3" bestFit="1" customWidth="1"/>
    <col min="5" max="5" width="9" style="2"/>
    <col min="6" max="6" width="11" style="2" bestFit="1" customWidth="1"/>
    <col min="7" max="7" width="11" style="2" customWidth="1"/>
    <col min="8" max="8" width="9" style="2"/>
    <col min="9" max="16384" width="9" style="1"/>
  </cols>
  <sheetData>
    <row r="3" spans="2:11" ht="19.5" x14ac:dyDescent="0.3">
      <c r="B3" s="350" t="s">
        <v>36</v>
      </c>
      <c r="C3" s="351"/>
      <c r="D3" s="14">
        <v>7.8</v>
      </c>
    </row>
    <row r="4" spans="2:11" ht="17.25" x14ac:dyDescent="0.3">
      <c r="B4" s="4" t="s">
        <v>9</v>
      </c>
      <c r="C4" s="4" t="s">
        <v>10</v>
      </c>
      <c r="D4" s="5" t="s">
        <v>11</v>
      </c>
      <c r="E4" s="2" t="s">
        <v>37</v>
      </c>
      <c r="F4" s="2" t="s">
        <v>38</v>
      </c>
      <c r="G4" s="2" t="s">
        <v>40</v>
      </c>
      <c r="H4" s="2" t="s">
        <v>39</v>
      </c>
    </row>
    <row r="5" spans="2:11" x14ac:dyDescent="0.3">
      <c r="B5" s="6">
        <v>1</v>
      </c>
      <c r="C5" s="10" t="s">
        <v>14</v>
      </c>
      <c r="D5" s="7">
        <v>19900</v>
      </c>
      <c r="E5" s="2">
        <v>3000</v>
      </c>
      <c r="F5" s="2">
        <f>D5*$D$3/100</f>
        <v>1552.2</v>
      </c>
      <c r="G5" s="2">
        <v>13500</v>
      </c>
      <c r="H5" s="2">
        <f>D5-E5-F5-G5</f>
        <v>1847.7999999999993</v>
      </c>
    </row>
    <row r="6" spans="2:11" x14ac:dyDescent="0.3">
      <c r="B6" s="6">
        <v>2</v>
      </c>
      <c r="C6" s="10" t="s">
        <v>12</v>
      </c>
      <c r="D6" s="7">
        <v>24200</v>
      </c>
      <c r="E6" s="2">
        <v>3500</v>
      </c>
      <c r="F6" s="2">
        <f t="shared" ref="F6:F28" si="0">D6*$D$3/100</f>
        <v>1887.6</v>
      </c>
      <c r="G6" s="2">
        <v>17100</v>
      </c>
      <c r="H6" s="2">
        <f t="shared" ref="H6:H28" si="1">D6-E6-F6-G6</f>
        <v>1712.4000000000015</v>
      </c>
    </row>
    <row r="7" spans="2:11" x14ac:dyDescent="0.3">
      <c r="B7" s="6">
        <v>3</v>
      </c>
      <c r="C7" s="10" t="s">
        <v>13</v>
      </c>
      <c r="D7" s="7">
        <v>24200</v>
      </c>
      <c r="E7" s="2">
        <v>3500</v>
      </c>
      <c r="F7" s="2">
        <f t="shared" si="0"/>
        <v>1887.6</v>
      </c>
      <c r="G7" s="2">
        <v>17100</v>
      </c>
      <c r="H7" s="2">
        <f t="shared" si="1"/>
        <v>1712.4000000000015</v>
      </c>
    </row>
    <row r="8" spans="2:11" x14ac:dyDescent="0.3">
      <c r="B8" s="6">
        <v>4</v>
      </c>
      <c r="C8" s="10" t="s">
        <v>20</v>
      </c>
      <c r="D8" s="7">
        <v>18400</v>
      </c>
      <c r="E8" s="2">
        <v>3000</v>
      </c>
      <c r="F8" s="2">
        <f t="shared" si="0"/>
        <v>1435.2</v>
      </c>
      <c r="G8" s="2">
        <v>12400</v>
      </c>
      <c r="H8" s="2">
        <f t="shared" si="1"/>
        <v>1564.7999999999993</v>
      </c>
      <c r="J8" s="1">
        <v>18600</v>
      </c>
    </row>
    <row r="9" spans="2:11" x14ac:dyDescent="0.3">
      <c r="B9" s="6">
        <v>5</v>
      </c>
      <c r="C9" s="10" t="s">
        <v>15</v>
      </c>
      <c r="D9" s="7">
        <v>25800</v>
      </c>
      <c r="E9" s="2">
        <v>3500</v>
      </c>
      <c r="F9" s="2">
        <f t="shared" si="0"/>
        <v>2012.4</v>
      </c>
      <c r="G9" s="2">
        <v>18600</v>
      </c>
      <c r="H9" s="2">
        <f t="shared" si="1"/>
        <v>1687.5999999999985</v>
      </c>
      <c r="J9" s="1">
        <f>J8/3</f>
        <v>6200</v>
      </c>
    </row>
    <row r="10" spans="2:11" x14ac:dyDescent="0.3">
      <c r="B10" s="6">
        <v>6</v>
      </c>
      <c r="C10" s="10" t="s">
        <v>18</v>
      </c>
      <c r="D10" s="7">
        <v>19100</v>
      </c>
      <c r="E10" s="2">
        <v>3000</v>
      </c>
      <c r="F10" s="2">
        <f t="shared" si="0"/>
        <v>1489.8</v>
      </c>
      <c r="G10" s="2">
        <v>13000</v>
      </c>
      <c r="H10" s="2">
        <f t="shared" si="1"/>
        <v>1610.2000000000007</v>
      </c>
    </row>
    <row r="11" spans="2:11" x14ac:dyDescent="0.3">
      <c r="B11" s="6">
        <v>7</v>
      </c>
      <c r="C11" s="10" t="s">
        <v>16</v>
      </c>
      <c r="D11" s="7">
        <v>26900</v>
      </c>
      <c r="E11" s="2">
        <v>3500</v>
      </c>
      <c r="F11" s="2">
        <f t="shared" si="0"/>
        <v>2098.1999999999998</v>
      </c>
      <c r="G11" s="2">
        <v>19500</v>
      </c>
      <c r="H11" s="2">
        <f t="shared" si="1"/>
        <v>1801.7999999999993</v>
      </c>
      <c r="J11" s="1">
        <v>19500</v>
      </c>
      <c r="K11" s="1">
        <v>20400</v>
      </c>
    </row>
    <row r="12" spans="2:11" x14ac:dyDescent="0.3">
      <c r="B12" s="6">
        <v>8</v>
      </c>
      <c r="C12" s="10" t="s">
        <v>19</v>
      </c>
      <c r="D12" s="7">
        <v>19500</v>
      </c>
      <c r="E12" s="2">
        <v>3000</v>
      </c>
      <c r="F12" s="2">
        <f t="shared" si="0"/>
        <v>1521</v>
      </c>
      <c r="G12" s="2">
        <v>13600</v>
      </c>
      <c r="H12" s="2">
        <f t="shared" si="1"/>
        <v>1379</v>
      </c>
      <c r="J12" s="1">
        <f>J11/3</f>
        <v>6500</v>
      </c>
      <c r="K12" s="1">
        <f>K11/3</f>
        <v>6800</v>
      </c>
    </row>
    <row r="13" spans="2:11" x14ac:dyDescent="0.3">
      <c r="B13" s="6">
        <v>9</v>
      </c>
      <c r="C13" s="10" t="s">
        <v>17</v>
      </c>
      <c r="D13" s="7">
        <v>27500</v>
      </c>
      <c r="E13" s="2">
        <v>3500</v>
      </c>
      <c r="F13" s="2">
        <f t="shared" si="0"/>
        <v>2145</v>
      </c>
      <c r="G13" s="2">
        <v>20400</v>
      </c>
      <c r="H13" s="2">
        <f t="shared" si="1"/>
        <v>1455</v>
      </c>
    </row>
    <row r="14" spans="2:11" x14ac:dyDescent="0.3">
      <c r="B14" s="6">
        <v>10</v>
      </c>
      <c r="C14" s="11" t="s">
        <v>21</v>
      </c>
      <c r="D14" s="8">
        <v>19200</v>
      </c>
      <c r="E14" s="2">
        <v>3000</v>
      </c>
      <c r="F14" s="2">
        <f t="shared" si="0"/>
        <v>1497.6</v>
      </c>
      <c r="G14" s="2">
        <v>13800</v>
      </c>
      <c r="H14" s="2">
        <f t="shared" si="1"/>
        <v>902.39999999999964</v>
      </c>
    </row>
    <row r="15" spans="2:11" x14ac:dyDescent="0.3">
      <c r="B15" s="6">
        <v>11</v>
      </c>
      <c r="C15" s="11" t="s">
        <v>22</v>
      </c>
      <c r="D15" s="8">
        <v>21900</v>
      </c>
      <c r="E15" s="2">
        <v>3000</v>
      </c>
      <c r="F15" s="2">
        <f t="shared" si="0"/>
        <v>1708.2</v>
      </c>
      <c r="G15" s="2">
        <v>16100</v>
      </c>
      <c r="H15" s="2">
        <f t="shared" si="1"/>
        <v>1091.7999999999993</v>
      </c>
    </row>
    <row r="16" spans="2:11" x14ac:dyDescent="0.3">
      <c r="B16" s="6">
        <v>12</v>
      </c>
      <c r="C16" s="11" t="s">
        <v>23</v>
      </c>
      <c r="D16" s="8">
        <v>24600</v>
      </c>
      <c r="E16" s="2">
        <v>3500</v>
      </c>
      <c r="F16" s="2">
        <f t="shared" si="0"/>
        <v>1918.8</v>
      </c>
      <c r="G16" s="2">
        <v>18400</v>
      </c>
      <c r="H16" s="2">
        <f t="shared" si="1"/>
        <v>781.20000000000073</v>
      </c>
    </row>
    <row r="17" spans="2:8" x14ac:dyDescent="0.3">
      <c r="B17" s="6">
        <v>13</v>
      </c>
      <c r="C17" s="11" t="s">
        <v>24</v>
      </c>
      <c r="D17" s="8">
        <v>27300</v>
      </c>
      <c r="E17" s="2">
        <v>3500</v>
      </c>
      <c r="F17" s="2">
        <f t="shared" si="0"/>
        <v>2129.4</v>
      </c>
      <c r="G17" s="2">
        <v>20700</v>
      </c>
      <c r="H17" s="2">
        <f t="shared" si="1"/>
        <v>970.59999999999854</v>
      </c>
    </row>
    <row r="18" spans="2:8" x14ac:dyDescent="0.3">
      <c r="B18" s="6">
        <v>14</v>
      </c>
      <c r="C18" s="11" t="s">
        <v>25</v>
      </c>
      <c r="D18" s="8">
        <v>30000</v>
      </c>
      <c r="E18" s="2">
        <v>3500</v>
      </c>
      <c r="F18" s="2">
        <f t="shared" si="0"/>
        <v>2340</v>
      </c>
      <c r="G18" s="2">
        <v>23000</v>
      </c>
      <c r="H18" s="2">
        <f t="shared" si="1"/>
        <v>1160</v>
      </c>
    </row>
    <row r="19" spans="2:8" x14ac:dyDescent="0.3">
      <c r="B19" s="6">
        <v>15</v>
      </c>
      <c r="C19" s="11" t="s">
        <v>26</v>
      </c>
      <c r="D19" s="8">
        <v>20500</v>
      </c>
      <c r="E19" s="2">
        <v>3000</v>
      </c>
      <c r="F19" s="2">
        <f t="shared" si="0"/>
        <v>1599</v>
      </c>
      <c r="G19" s="2">
        <v>14760</v>
      </c>
      <c r="H19" s="2">
        <f t="shared" si="1"/>
        <v>1141</v>
      </c>
    </row>
    <row r="20" spans="2:8" x14ac:dyDescent="0.3">
      <c r="B20" s="6">
        <v>16</v>
      </c>
      <c r="C20" s="11" t="s">
        <v>27</v>
      </c>
      <c r="D20" s="8">
        <v>26620</v>
      </c>
      <c r="E20" s="2">
        <v>3500</v>
      </c>
      <c r="F20" s="2">
        <f t="shared" si="0"/>
        <v>2076.36</v>
      </c>
      <c r="G20" s="2">
        <v>19700</v>
      </c>
      <c r="H20" s="2">
        <f t="shared" si="1"/>
        <v>1343.6399999999994</v>
      </c>
    </row>
    <row r="21" spans="2:8" x14ac:dyDescent="0.3">
      <c r="B21" s="6">
        <v>17</v>
      </c>
      <c r="C21" s="12" t="s">
        <v>28</v>
      </c>
      <c r="D21" s="9">
        <v>20990</v>
      </c>
      <c r="E21" s="2">
        <v>3000</v>
      </c>
      <c r="F21" s="2">
        <f t="shared" si="0"/>
        <v>1637.22</v>
      </c>
      <c r="G21" s="2">
        <v>15000</v>
      </c>
      <c r="H21" s="2">
        <f t="shared" si="1"/>
        <v>1352.7800000000007</v>
      </c>
    </row>
    <row r="22" spans="2:8" x14ac:dyDescent="0.3">
      <c r="B22" s="6">
        <v>18</v>
      </c>
      <c r="C22" s="12" t="s">
        <v>29</v>
      </c>
      <c r="D22" s="9">
        <v>23490</v>
      </c>
      <c r="E22" s="2">
        <v>3000</v>
      </c>
      <c r="F22" s="2">
        <f t="shared" si="0"/>
        <v>1832.22</v>
      </c>
      <c r="G22" s="2">
        <v>17000</v>
      </c>
      <c r="H22" s="2">
        <f t="shared" si="1"/>
        <v>1657.7799999999988</v>
      </c>
    </row>
    <row r="23" spans="2:8" x14ac:dyDescent="0.3">
      <c r="B23" s="6">
        <v>19</v>
      </c>
      <c r="C23" s="12" t="s">
        <v>30</v>
      </c>
      <c r="D23" s="9">
        <v>25490</v>
      </c>
      <c r="E23" s="2">
        <v>3000</v>
      </c>
      <c r="F23" s="2">
        <f t="shared" si="0"/>
        <v>1988.22</v>
      </c>
      <c r="G23" s="2">
        <v>19000</v>
      </c>
      <c r="H23" s="2">
        <f t="shared" si="1"/>
        <v>1501.7799999999988</v>
      </c>
    </row>
    <row r="24" spans="2:8" x14ac:dyDescent="0.3">
      <c r="B24" s="6">
        <v>20</v>
      </c>
      <c r="C24" s="12" t="s">
        <v>31</v>
      </c>
      <c r="D24" s="9">
        <v>32990</v>
      </c>
      <c r="E24" s="2">
        <v>3000</v>
      </c>
      <c r="F24" s="2">
        <f t="shared" si="0"/>
        <v>2573.2199999999998</v>
      </c>
      <c r="G24" s="2">
        <v>27000</v>
      </c>
      <c r="H24" s="2">
        <f t="shared" si="1"/>
        <v>416.77999999999884</v>
      </c>
    </row>
    <row r="25" spans="2:8" x14ac:dyDescent="0.3">
      <c r="B25" s="6">
        <v>21</v>
      </c>
      <c r="C25" s="12" t="s">
        <v>32</v>
      </c>
      <c r="D25" s="9">
        <v>21990</v>
      </c>
      <c r="E25" s="2">
        <v>3000</v>
      </c>
      <c r="F25" s="2">
        <f t="shared" si="0"/>
        <v>1715.22</v>
      </c>
      <c r="G25" s="2">
        <v>16000</v>
      </c>
      <c r="H25" s="2">
        <f t="shared" si="1"/>
        <v>1274.7799999999988</v>
      </c>
    </row>
    <row r="26" spans="2:8" x14ac:dyDescent="0.3">
      <c r="B26" s="6">
        <v>22</v>
      </c>
      <c r="C26" s="12" t="s">
        <v>33</v>
      </c>
      <c r="D26" s="9">
        <v>24490</v>
      </c>
      <c r="E26" s="2">
        <v>3000</v>
      </c>
      <c r="F26" s="2">
        <f t="shared" si="0"/>
        <v>1910.22</v>
      </c>
      <c r="G26" s="2">
        <v>18000</v>
      </c>
      <c r="H26" s="2">
        <f t="shared" si="1"/>
        <v>1579.7799999999988</v>
      </c>
    </row>
    <row r="27" spans="2:8" x14ac:dyDescent="0.3">
      <c r="B27" s="6">
        <v>23</v>
      </c>
      <c r="C27" s="12" t="s">
        <v>34</v>
      </c>
      <c r="D27" s="9">
        <v>26490</v>
      </c>
      <c r="E27" s="2">
        <v>3000</v>
      </c>
      <c r="F27" s="2">
        <f t="shared" si="0"/>
        <v>2066.2199999999998</v>
      </c>
      <c r="G27" s="2">
        <v>20000</v>
      </c>
      <c r="H27" s="2">
        <f t="shared" si="1"/>
        <v>1423.7799999999988</v>
      </c>
    </row>
    <row r="28" spans="2:8" x14ac:dyDescent="0.3">
      <c r="B28" s="6">
        <v>24</v>
      </c>
      <c r="C28" s="12" t="s">
        <v>35</v>
      </c>
      <c r="D28" s="9">
        <v>33990</v>
      </c>
      <c r="E28" s="2">
        <v>3000</v>
      </c>
      <c r="F28" s="2">
        <f t="shared" si="0"/>
        <v>2651.22</v>
      </c>
      <c r="G28" s="2">
        <v>28000</v>
      </c>
      <c r="H28" s="2">
        <f t="shared" si="1"/>
        <v>338.77999999999884</v>
      </c>
    </row>
  </sheetData>
  <mergeCells count="1">
    <mergeCell ref="B3:C3"/>
  </mergeCells>
  <phoneticPr fontId="1" type="noConversion"/>
  <pageMargins left="0.7" right="0.7" top="0.75" bottom="0.75" header="0.3" footer="0.3"/>
  <pageSetup paperSize="256" orientation="portrait" horizontalDpi="203" verticalDpi="20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E17"/>
  <sheetViews>
    <sheetView workbookViewId="0">
      <selection activeCell="D18" sqref="D18"/>
    </sheetView>
  </sheetViews>
  <sheetFormatPr defaultColWidth="9" defaultRowHeight="12" x14ac:dyDescent="0.3"/>
  <cols>
    <col min="1" max="1" width="3.625" style="49" customWidth="1"/>
    <col min="2" max="2" width="2.375" style="49" bestFit="1" customWidth="1"/>
    <col min="3" max="3" width="18.375" style="49" bestFit="1" customWidth="1"/>
    <col min="4" max="4" width="62.375" style="49" bestFit="1" customWidth="1"/>
    <col min="5" max="5" width="67.375" style="49" bestFit="1" customWidth="1"/>
    <col min="6" max="16384" width="9" style="49"/>
  </cols>
  <sheetData>
    <row r="2" spans="2:5" x14ac:dyDescent="0.3">
      <c r="B2" s="49" t="s">
        <v>154</v>
      </c>
    </row>
    <row r="3" spans="2:5" x14ac:dyDescent="0.3">
      <c r="B3" s="49">
        <v>1</v>
      </c>
      <c r="C3" s="49" t="s">
        <v>153</v>
      </c>
      <c r="D3" s="49" t="s">
        <v>152</v>
      </c>
      <c r="E3" s="49" t="s">
        <v>151</v>
      </c>
    </row>
    <row r="4" spans="2:5" x14ac:dyDescent="0.3">
      <c r="B4" s="49">
        <f>B3+1</f>
        <v>2</v>
      </c>
      <c r="C4" s="49" t="s">
        <v>150</v>
      </c>
      <c r="D4" s="49" t="s">
        <v>149</v>
      </c>
      <c r="E4" s="49" t="s">
        <v>148</v>
      </c>
    </row>
    <row r="5" spans="2:5" ht="24" x14ac:dyDescent="0.3">
      <c r="C5" s="49" t="s">
        <v>147</v>
      </c>
      <c r="D5" s="51" t="s">
        <v>146</v>
      </c>
    </row>
    <row r="6" spans="2:5" x14ac:dyDescent="0.3">
      <c r="C6" s="49" t="s">
        <v>145</v>
      </c>
      <c r="D6" s="49" t="s">
        <v>144</v>
      </c>
      <c r="E6" s="49" t="s">
        <v>143</v>
      </c>
    </row>
    <row r="7" spans="2:5" x14ac:dyDescent="0.3">
      <c r="C7" s="49" t="s">
        <v>142</v>
      </c>
      <c r="D7" s="49" t="s">
        <v>141</v>
      </c>
    </row>
    <row r="8" spans="2:5" x14ac:dyDescent="0.3">
      <c r="C8" s="49" t="s">
        <v>140</v>
      </c>
      <c r="D8" s="49" t="s">
        <v>139</v>
      </c>
    </row>
    <row r="9" spans="2:5" x14ac:dyDescent="0.3">
      <c r="C9" s="49" t="s">
        <v>138</v>
      </c>
      <c r="D9" s="49" t="s">
        <v>137</v>
      </c>
    </row>
    <row r="10" spans="2:5" ht="24" x14ac:dyDescent="0.3">
      <c r="C10" s="49" t="s">
        <v>136</v>
      </c>
      <c r="D10" s="50" t="s">
        <v>135</v>
      </c>
    </row>
    <row r="11" spans="2:5" ht="24" x14ac:dyDescent="0.3">
      <c r="C11" s="49" t="s">
        <v>134</v>
      </c>
      <c r="D11" s="49" t="s">
        <v>133</v>
      </c>
      <c r="E11" s="50" t="s">
        <v>176</v>
      </c>
    </row>
    <row r="12" spans="2:5" x14ac:dyDescent="0.3">
      <c r="C12" s="49" t="s">
        <v>132</v>
      </c>
      <c r="D12" s="49" t="s">
        <v>131</v>
      </c>
      <c r="E12" s="49" t="s">
        <v>130</v>
      </c>
    </row>
    <row r="13" spans="2:5" x14ac:dyDescent="0.3">
      <c r="C13" s="49" t="s">
        <v>129</v>
      </c>
      <c r="D13" s="49" t="s">
        <v>128</v>
      </c>
      <c r="E13" s="49" t="s">
        <v>127</v>
      </c>
    </row>
    <row r="14" spans="2:5" x14ac:dyDescent="0.3">
      <c r="C14" s="49" t="s">
        <v>126</v>
      </c>
      <c r="D14" s="49" t="s">
        <v>125</v>
      </c>
    </row>
    <row r="15" spans="2:5" x14ac:dyDescent="0.3">
      <c r="C15" s="49" t="s">
        <v>124</v>
      </c>
      <c r="D15" s="49" t="s">
        <v>123</v>
      </c>
      <c r="E15" s="352" t="s">
        <v>122</v>
      </c>
    </row>
    <row r="16" spans="2:5" x14ac:dyDescent="0.3">
      <c r="C16" s="49" t="s">
        <v>121</v>
      </c>
      <c r="D16" s="49" t="s">
        <v>120</v>
      </c>
      <c r="E16" s="352"/>
    </row>
    <row r="17" spans="3:5" ht="24" x14ac:dyDescent="0.3">
      <c r="C17" s="49" t="s">
        <v>194</v>
      </c>
      <c r="D17" s="50" t="s">
        <v>195</v>
      </c>
      <c r="E17" s="50" t="s">
        <v>196</v>
      </c>
    </row>
  </sheetData>
  <mergeCells count="1">
    <mergeCell ref="E15:E16"/>
  </mergeCells>
  <phoneticPr fontId="1" type="noConversion"/>
  <hyperlinks>
    <hyperlink ref="C10" location="종합소득세!A1" display="종합소득세" xr:uid="{00000000-0004-0000-0B00-000000000000}"/>
  </hyperlinks>
  <pageMargins left="0.7" right="0.7" top="0.75" bottom="0.75" header="0.3" footer="0.3"/>
  <pageSetup paperSize="256" orientation="portrait" horizontalDpi="203" verticalDpi="20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G11"/>
  <sheetViews>
    <sheetView workbookViewId="0">
      <selection activeCell="H20" sqref="H20"/>
    </sheetView>
  </sheetViews>
  <sheetFormatPr defaultRowHeight="16.5" x14ac:dyDescent="0.3"/>
  <sheetData>
    <row r="2" spans="2:7" x14ac:dyDescent="0.3">
      <c r="B2" t="s">
        <v>352</v>
      </c>
      <c r="C2">
        <v>240</v>
      </c>
      <c r="E2" t="s">
        <v>362</v>
      </c>
      <c r="F2" t="s">
        <v>106</v>
      </c>
      <c r="G2" t="s">
        <v>363</v>
      </c>
    </row>
    <row r="3" spans="2:7" x14ac:dyDescent="0.3">
      <c r="B3" t="s">
        <v>353</v>
      </c>
      <c r="C3">
        <v>40</v>
      </c>
    </row>
    <row r="4" spans="2:7" x14ac:dyDescent="0.3">
      <c r="B4" t="s">
        <v>354</v>
      </c>
      <c r="C4">
        <v>9</v>
      </c>
    </row>
    <row r="5" spans="2:7" x14ac:dyDescent="0.3">
      <c r="B5" t="s">
        <v>355</v>
      </c>
      <c r="C5">
        <v>700</v>
      </c>
    </row>
    <row r="6" spans="2:7" x14ac:dyDescent="0.3">
      <c r="B6" t="s">
        <v>356</v>
      </c>
      <c r="C6">
        <v>4</v>
      </c>
    </row>
    <row r="7" spans="2:7" x14ac:dyDescent="0.3">
      <c r="B7" t="s">
        <v>357</v>
      </c>
      <c r="C7">
        <v>30</v>
      </c>
    </row>
    <row r="8" spans="2:7" x14ac:dyDescent="0.3">
      <c r="B8" t="s">
        <v>358</v>
      </c>
      <c r="C8">
        <f>120/12</f>
        <v>10</v>
      </c>
    </row>
    <row r="9" spans="2:7" x14ac:dyDescent="0.3">
      <c r="B9" t="s">
        <v>359</v>
      </c>
      <c r="C9">
        <v>4</v>
      </c>
    </row>
    <row r="10" spans="2:7" x14ac:dyDescent="0.3">
      <c r="B10" t="s">
        <v>360</v>
      </c>
      <c r="C10">
        <v>50</v>
      </c>
    </row>
    <row r="11" spans="2:7" x14ac:dyDescent="0.3">
      <c r="B11" t="s">
        <v>361</v>
      </c>
      <c r="C11">
        <f>SUM(C2:C10)</f>
        <v>1087</v>
      </c>
    </row>
  </sheetData>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I12"/>
  <sheetViews>
    <sheetView workbookViewId="0">
      <selection activeCell="F4" sqref="F4:I12"/>
    </sheetView>
  </sheetViews>
  <sheetFormatPr defaultRowHeight="16.5" x14ac:dyDescent="0.3"/>
  <cols>
    <col min="1" max="1" width="3.5" customWidth="1"/>
    <col min="2" max="2" width="17.375" bestFit="1" customWidth="1"/>
    <col min="3" max="3" width="5.75" bestFit="1" customWidth="1"/>
    <col min="4" max="4" width="32.75" bestFit="1" customWidth="1"/>
    <col min="9" max="9" width="35.375" customWidth="1"/>
  </cols>
  <sheetData>
    <row r="2" spans="2:9" ht="20.25" x14ac:dyDescent="0.3">
      <c r="B2" s="353" t="s">
        <v>175</v>
      </c>
      <c r="C2" s="353"/>
      <c r="D2" s="353"/>
    </row>
    <row r="3" spans="2:9" ht="17.25" x14ac:dyDescent="0.3">
      <c r="B3" s="56" t="s">
        <v>174</v>
      </c>
      <c r="C3" s="56" t="s">
        <v>173</v>
      </c>
      <c r="D3" s="56" t="s">
        <v>172</v>
      </c>
      <c r="F3" s="356" t="s">
        <v>171</v>
      </c>
      <c r="G3" s="356"/>
      <c r="H3" s="356"/>
      <c r="I3" s="356"/>
    </row>
    <row r="4" spans="2:9" ht="16.5" customHeight="1" x14ac:dyDescent="0.3">
      <c r="B4" s="55" t="s">
        <v>170</v>
      </c>
      <c r="C4" s="53">
        <v>0.06</v>
      </c>
      <c r="D4" s="52" t="s">
        <v>169</v>
      </c>
      <c r="F4" s="354" t="s">
        <v>168</v>
      </c>
      <c r="G4" s="354"/>
      <c r="H4" s="354"/>
      <c r="I4" s="354"/>
    </row>
    <row r="5" spans="2:9" ht="27" x14ac:dyDescent="0.3">
      <c r="B5" s="54" t="s">
        <v>167</v>
      </c>
      <c r="C5" s="53">
        <v>0.15</v>
      </c>
      <c r="D5" s="52" t="s">
        <v>166</v>
      </c>
      <c r="F5" s="354"/>
      <c r="G5" s="354"/>
      <c r="H5" s="354"/>
      <c r="I5" s="354"/>
    </row>
    <row r="6" spans="2:9" ht="27" x14ac:dyDescent="0.3">
      <c r="B6" s="54" t="s">
        <v>165</v>
      </c>
      <c r="C6" s="53">
        <v>0.24</v>
      </c>
      <c r="D6" s="52" t="s">
        <v>164</v>
      </c>
      <c r="F6" s="354"/>
      <c r="G6" s="354"/>
      <c r="H6" s="354"/>
      <c r="I6" s="354"/>
    </row>
    <row r="7" spans="2:9" ht="27" x14ac:dyDescent="0.3">
      <c r="B7" s="54" t="s">
        <v>163</v>
      </c>
      <c r="C7" s="53">
        <v>0.35</v>
      </c>
      <c r="D7" s="52" t="s">
        <v>162</v>
      </c>
      <c r="F7" s="354"/>
      <c r="G7" s="354"/>
      <c r="H7" s="354"/>
      <c r="I7" s="354"/>
    </row>
    <row r="8" spans="2:9" ht="27" x14ac:dyDescent="0.3">
      <c r="B8" s="54" t="s">
        <v>161</v>
      </c>
      <c r="C8" s="53">
        <v>0.38</v>
      </c>
      <c r="D8" s="52" t="s">
        <v>160</v>
      </c>
      <c r="F8" s="354"/>
      <c r="G8" s="354"/>
      <c r="H8" s="354"/>
      <c r="I8" s="354"/>
    </row>
    <row r="9" spans="2:9" ht="27" x14ac:dyDescent="0.3">
      <c r="B9" s="54" t="s">
        <v>159</v>
      </c>
      <c r="C9" s="53">
        <v>0.4</v>
      </c>
      <c r="D9" s="52" t="s">
        <v>158</v>
      </c>
      <c r="F9" s="354"/>
      <c r="G9" s="354"/>
      <c r="H9" s="354"/>
      <c r="I9" s="354"/>
    </row>
    <row r="10" spans="2:9" x14ac:dyDescent="0.3">
      <c r="B10" s="54" t="s">
        <v>157</v>
      </c>
      <c r="C10" s="53">
        <v>0.42</v>
      </c>
      <c r="D10" s="52" t="s">
        <v>156</v>
      </c>
      <c r="F10" s="354"/>
      <c r="G10" s="354"/>
      <c r="H10" s="354"/>
      <c r="I10" s="354"/>
    </row>
    <row r="11" spans="2:9" x14ac:dyDescent="0.3">
      <c r="B11" s="335"/>
      <c r="C11" s="335"/>
      <c r="D11" s="335"/>
      <c r="F11" s="354"/>
      <c r="G11" s="354"/>
      <c r="H11" s="354"/>
      <c r="I11" s="354"/>
    </row>
    <row r="12" spans="2:9" ht="173.25" customHeight="1" x14ac:dyDescent="0.3">
      <c r="B12" s="354" t="s">
        <v>155</v>
      </c>
      <c r="C12" s="355"/>
      <c r="D12" s="355"/>
      <c r="F12" s="354"/>
      <c r="G12" s="354"/>
      <c r="H12" s="354"/>
      <c r="I12" s="354"/>
    </row>
  </sheetData>
  <mergeCells count="5">
    <mergeCell ref="B2:D2"/>
    <mergeCell ref="B11:D11"/>
    <mergeCell ref="B12:D12"/>
    <mergeCell ref="F3:I3"/>
    <mergeCell ref="F4:I12"/>
  </mergeCells>
  <phoneticPr fontId="1" type="noConversion"/>
  <pageMargins left="0.7" right="0.7" top="0.75" bottom="0.75" header="0.3" footer="0.3"/>
  <pageSetup paperSize="9"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64"/>
  <sheetViews>
    <sheetView topLeftCell="I1" workbookViewId="0">
      <pane ySplit="4" topLeftCell="A5" activePane="bottomLeft" state="frozen"/>
      <selection pane="bottomLeft" activeCell="Q15" sqref="Q15"/>
    </sheetView>
  </sheetViews>
  <sheetFormatPr defaultRowHeight="16.5" x14ac:dyDescent="0.3"/>
  <sheetData>
    <row r="1" spans="1:21" ht="17.25" x14ac:dyDescent="0.3">
      <c r="B1" s="71" t="s">
        <v>192</v>
      </c>
      <c r="C1" s="71" t="s">
        <v>191</v>
      </c>
      <c r="D1" s="71" t="s">
        <v>190</v>
      </c>
      <c r="E1" s="71" t="s">
        <v>189</v>
      </c>
      <c r="F1" s="71" t="s">
        <v>188</v>
      </c>
      <c r="G1" s="71" t="s">
        <v>187</v>
      </c>
      <c r="H1" s="71" t="s">
        <v>186</v>
      </c>
      <c r="I1" s="71" t="s">
        <v>185</v>
      </c>
      <c r="J1" s="71" t="s">
        <v>184</v>
      </c>
      <c r="K1" s="71" t="s">
        <v>183</v>
      </c>
      <c r="L1" s="71" t="s">
        <v>182</v>
      </c>
      <c r="M1" s="71" t="s">
        <v>181</v>
      </c>
      <c r="N1" s="71" t="s">
        <v>181</v>
      </c>
      <c r="O1" s="71" t="s">
        <v>180</v>
      </c>
      <c r="P1" s="71" t="s">
        <v>180</v>
      </c>
      <c r="Q1" s="71" t="s">
        <v>179</v>
      </c>
      <c r="R1" s="71" t="s">
        <v>178</v>
      </c>
      <c r="S1" s="71" t="s">
        <v>177</v>
      </c>
    </row>
    <row r="2" spans="1:21" x14ac:dyDescent="0.3">
      <c r="A2" s="63" t="s">
        <v>221</v>
      </c>
      <c r="B2" s="63">
        <f>SUM(B3:B4)</f>
        <v>2892</v>
      </c>
      <c r="C2" s="63">
        <f t="shared" ref="C2:S2" si="0">SUM(C3:C4)</f>
        <v>260</v>
      </c>
      <c r="D2" s="63">
        <f t="shared" si="0"/>
        <v>2</v>
      </c>
      <c r="E2" s="63">
        <f t="shared" si="0"/>
        <v>183</v>
      </c>
      <c r="F2" s="63">
        <f t="shared" si="0"/>
        <v>480.33333329999999</v>
      </c>
      <c r="G2" s="63">
        <f t="shared" si="0"/>
        <v>112.66666667</v>
      </c>
      <c r="H2" s="63">
        <f t="shared" si="0"/>
        <v>99.666666669999998</v>
      </c>
      <c r="I2" s="63">
        <f t="shared" si="0"/>
        <v>17</v>
      </c>
      <c r="J2" s="63">
        <f t="shared" si="0"/>
        <v>255.66666666699999</v>
      </c>
      <c r="K2" s="63">
        <f t="shared" si="0"/>
        <v>18</v>
      </c>
      <c r="L2" s="63">
        <f t="shared" si="0"/>
        <v>0</v>
      </c>
      <c r="M2" s="63">
        <f t="shared" si="0"/>
        <v>10</v>
      </c>
      <c r="N2" s="63">
        <f t="shared" si="0"/>
        <v>0</v>
      </c>
      <c r="O2" s="63">
        <f t="shared" si="0"/>
        <v>507</v>
      </c>
      <c r="P2" s="63">
        <f t="shared" si="0"/>
        <v>45</v>
      </c>
      <c r="Q2" s="63">
        <f t="shared" si="0"/>
        <v>100</v>
      </c>
      <c r="R2" s="63">
        <f t="shared" si="0"/>
        <v>23</v>
      </c>
      <c r="S2" s="63">
        <f t="shared" si="0"/>
        <v>16</v>
      </c>
      <c r="T2" s="63">
        <f>SUM(D2:S2)</f>
        <v>1869.3333333070002</v>
      </c>
      <c r="U2">
        <v>29</v>
      </c>
    </row>
    <row r="3" spans="1:21" x14ac:dyDescent="0.3">
      <c r="A3" s="63" t="s">
        <v>220</v>
      </c>
      <c r="B3" s="63">
        <v>342</v>
      </c>
      <c r="C3" s="63"/>
      <c r="D3" s="63">
        <v>0</v>
      </c>
      <c r="E3" s="63"/>
      <c r="F3" s="63">
        <v>237.33333329999999</v>
      </c>
      <c r="G3" s="63">
        <v>22.666666670000001</v>
      </c>
      <c r="H3" s="63">
        <v>28.666666670000001</v>
      </c>
      <c r="I3" s="63">
        <v>12</v>
      </c>
      <c r="J3" s="63">
        <v>3.6666666669999999</v>
      </c>
      <c r="K3" s="63">
        <v>6</v>
      </c>
      <c r="L3" s="63">
        <v>0</v>
      </c>
      <c r="M3" s="63">
        <v>0</v>
      </c>
      <c r="N3" s="63">
        <v>0</v>
      </c>
      <c r="O3" s="63">
        <v>242</v>
      </c>
      <c r="P3" s="63">
        <v>0</v>
      </c>
      <c r="Q3" s="63">
        <v>48</v>
      </c>
      <c r="R3" s="63">
        <v>1</v>
      </c>
      <c r="S3" s="63">
        <v>1</v>
      </c>
    </row>
    <row r="4" spans="1:21" x14ac:dyDescent="0.3">
      <c r="A4" s="63" t="s">
        <v>219</v>
      </c>
      <c r="B4" s="63">
        <f>SUM(B5:B64)</f>
        <v>2550</v>
      </c>
      <c r="C4" s="63">
        <f t="shared" ref="C4:S4" si="1">SUM(C5:C64)</f>
        <v>260</v>
      </c>
      <c r="D4" s="63">
        <f t="shared" si="1"/>
        <v>2</v>
      </c>
      <c r="E4" s="63">
        <f t="shared" si="1"/>
        <v>183</v>
      </c>
      <c r="F4" s="63">
        <f t="shared" si="1"/>
        <v>243</v>
      </c>
      <c r="G4" s="63">
        <f t="shared" si="1"/>
        <v>90</v>
      </c>
      <c r="H4" s="63">
        <f t="shared" si="1"/>
        <v>71</v>
      </c>
      <c r="I4" s="63">
        <f t="shared" si="1"/>
        <v>5</v>
      </c>
      <c r="J4" s="63">
        <f t="shared" si="1"/>
        <v>252</v>
      </c>
      <c r="K4" s="63">
        <f t="shared" si="1"/>
        <v>12</v>
      </c>
      <c r="L4" s="63">
        <f t="shared" si="1"/>
        <v>0</v>
      </c>
      <c r="M4" s="63">
        <f t="shared" si="1"/>
        <v>10</v>
      </c>
      <c r="N4" s="63">
        <f t="shared" si="1"/>
        <v>0</v>
      </c>
      <c r="O4" s="63">
        <f t="shared" si="1"/>
        <v>265</v>
      </c>
      <c r="P4" s="63">
        <f t="shared" si="1"/>
        <v>45</v>
      </c>
      <c r="Q4" s="63">
        <f t="shared" si="1"/>
        <v>52</v>
      </c>
      <c r="R4" s="63">
        <f t="shared" si="1"/>
        <v>22</v>
      </c>
      <c r="S4" s="63">
        <f t="shared" si="1"/>
        <v>15</v>
      </c>
    </row>
    <row r="5" spans="1:21" x14ac:dyDescent="0.3">
      <c r="B5">
        <v>0</v>
      </c>
      <c r="C5">
        <v>0</v>
      </c>
      <c r="D5">
        <v>0</v>
      </c>
      <c r="E5">
        <v>0</v>
      </c>
      <c r="F5">
        <v>0</v>
      </c>
      <c r="G5">
        <v>0</v>
      </c>
      <c r="H5">
        <v>0</v>
      </c>
      <c r="I5">
        <v>0</v>
      </c>
      <c r="J5">
        <v>0</v>
      </c>
      <c r="K5">
        <v>0</v>
      </c>
      <c r="L5">
        <v>0</v>
      </c>
      <c r="M5">
        <v>0</v>
      </c>
      <c r="N5">
        <v>0</v>
      </c>
      <c r="O5">
        <v>0</v>
      </c>
      <c r="P5">
        <v>0</v>
      </c>
      <c r="Q5">
        <v>0</v>
      </c>
      <c r="R5">
        <v>1</v>
      </c>
      <c r="S5">
        <v>0</v>
      </c>
    </row>
    <row r="6" spans="1:21" x14ac:dyDescent="0.3">
      <c r="B6">
        <v>0</v>
      </c>
      <c r="C6">
        <v>0</v>
      </c>
      <c r="D6">
        <v>0</v>
      </c>
      <c r="E6">
        <v>0</v>
      </c>
      <c r="F6">
        <v>0</v>
      </c>
      <c r="G6">
        <v>0</v>
      </c>
      <c r="H6">
        <v>0</v>
      </c>
      <c r="I6">
        <v>0</v>
      </c>
      <c r="J6">
        <v>0</v>
      </c>
      <c r="K6">
        <v>0</v>
      </c>
      <c r="L6">
        <v>0</v>
      </c>
      <c r="M6">
        <v>0</v>
      </c>
      <c r="N6">
        <v>0</v>
      </c>
      <c r="O6">
        <v>0</v>
      </c>
      <c r="P6">
        <v>1</v>
      </c>
      <c r="Q6">
        <v>0</v>
      </c>
      <c r="R6">
        <v>0</v>
      </c>
      <c r="S6">
        <v>1</v>
      </c>
    </row>
    <row r="7" spans="1:21" x14ac:dyDescent="0.3">
      <c r="B7">
        <v>0</v>
      </c>
      <c r="C7">
        <v>0</v>
      </c>
      <c r="D7">
        <v>0</v>
      </c>
      <c r="E7">
        <v>0</v>
      </c>
      <c r="F7">
        <v>0</v>
      </c>
      <c r="G7">
        <v>0</v>
      </c>
      <c r="H7">
        <v>0</v>
      </c>
      <c r="I7">
        <v>0</v>
      </c>
      <c r="J7">
        <v>0</v>
      </c>
      <c r="K7">
        <v>0</v>
      </c>
      <c r="L7">
        <v>0</v>
      </c>
      <c r="M7">
        <v>0</v>
      </c>
      <c r="N7">
        <v>0</v>
      </c>
      <c r="O7">
        <v>0</v>
      </c>
      <c r="P7">
        <v>0</v>
      </c>
      <c r="Q7">
        <v>0</v>
      </c>
      <c r="R7">
        <v>10</v>
      </c>
      <c r="S7">
        <v>10</v>
      </c>
    </row>
    <row r="8" spans="1:21" x14ac:dyDescent="0.3">
      <c r="B8">
        <v>0</v>
      </c>
      <c r="C8">
        <v>0</v>
      </c>
      <c r="D8">
        <v>0</v>
      </c>
      <c r="E8">
        <v>0</v>
      </c>
      <c r="F8">
        <v>0</v>
      </c>
      <c r="G8">
        <v>0</v>
      </c>
      <c r="H8">
        <v>0</v>
      </c>
      <c r="I8">
        <v>0</v>
      </c>
      <c r="J8">
        <v>0</v>
      </c>
      <c r="K8">
        <v>0</v>
      </c>
      <c r="L8">
        <v>0</v>
      </c>
      <c r="M8">
        <v>0</v>
      </c>
      <c r="N8">
        <v>0</v>
      </c>
      <c r="O8">
        <v>0</v>
      </c>
      <c r="P8">
        <v>1</v>
      </c>
      <c r="Q8">
        <v>0</v>
      </c>
      <c r="R8">
        <v>1</v>
      </c>
      <c r="S8">
        <v>1</v>
      </c>
    </row>
    <row r="9" spans="1:21" x14ac:dyDescent="0.3">
      <c r="B9">
        <v>0</v>
      </c>
      <c r="C9">
        <v>0</v>
      </c>
      <c r="D9">
        <v>0</v>
      </c>
      <c r="E9">
        <v>0</v>
      </c>
      <c r="F9">
        <v>0</v>
      </c>
      <c r="G9">
        <v>0</v>
      </c>
      <c r="H9">
        <v>0</v>
      </c>
      <c r="I9">
        <v>0</v>
      </c>
      <c r="J9">
        <v>0</v>
      </c>
      <c r="K9">
        <v>0</v>
      </c>
      <c r="L9">
        <v>0</v>
      </c>
      <c r="M9">
        <v>0</v>
      </c>
      <c r="N9">
        <v>0</v>
      </c>
      <c r="O9">
        <v>50</v>
      </c>
      <c r="P9">
        <v>0</v>
      </c>
      <c r="Q9">
        <v>0</v>
      </c>
      <c r="R9">
        <v>0</v>
      </c>
      <c r="S9">
        <v>0</v>
      </c>
    </row>
    <row r="10" spans="1:21" x14ac:dyDescent="0.3">
      <c r="B10">
        <v>0</v>
      </c>
      <c r="C10">
        <v>0</v>
      </c>
      <c r="D10">
        <v>0</v>
      </c>
      <c r="E10">
        <v>0</v>
      </c>
      <c r="F10">
        <v>0</v>
      </c>
      <c r="G10">
        <v>0</v>
      </c>
      <c r="H10">
        <v>0</v>
      </c>
      <c r="I10">
        <v>0</v>
      </c>
      <c r="J10">
        <v>0</v>
      </c>
      <c r="K10">
        <v>0</v>
      </c>
      <c r="L10">
        <v>0</v>
      </c>
      <c r="M10">
        <v>0</v>
      </c>
      <c r="N10">
        <v>0</v>
      </c>
      <c r="O10">
        <v>50</v>
      </c>
      <c r="P10">
        <v>0</v>
      </c>
      <c r="Q10">
        <v>0</v>
      </c>
      <c r="R10">
        <v>0</v>
      </c>
      <c r="S10">
        <v>0</v>
      </c>
    </row>
    <row r="11" spans="1:21" x14ac:dyDescent="0.3">
      <c r="B11">
        <v>0</v>
      </c>
      <c r="C11">
        <v>0</v>
      </c>
      <c r="D11">
        <v>0</v>
      </c>
      <c r="E11">
        <v>0</v>
      </c>
      <c r="F11">
        <v>0</v>
      </c>
      <c r="G11">
        <v>0</v>
      </c>
      <c r="H11">
        <v>0</v>
      </c>
      <c r="I11">
        <v>0</v>
      </c>
      <c r="J11">
        <v>0</v>
      </c>
      <c r="K11">
        <v>0</v>
      </c>
      <c r="L11">
        <v>0</v>
      </c>
      <c r="M11">
        <v>0</v>
      </c>
      <c r="N11">
        <v>0</v>
      </c>
      <c r="O11">
        <v>50</v>
      </c>
      <c r="P11">
        <v>0</v>
      </c>
      <c r="Q11">
        <v>0</v>
      </c>
      <c r="R11">
        <v>0</v>
      </c>
      <c r="S11">
        <v>0</v>
      </c>
    </row>
    <row r="12" spans="1:21" x14ac:dyDescent="0.3">
      <c r="B12">
        <v>0</v>
      </c>
      <c r="C12">
        <v>0</v>
      </c>
      <c r="D12">
        <v>0</v>
      </c>
      <c r="E12">
        <v>0</v>
      </c>
      <c r="F12">
        <v>0</v>
      </c>
      <c r="G12">
        <v>0</v>
      </c>
      <c r="H12">
        <v>0</v>
      </c>
      <c r="I12">
        <v>0</v>
      </c>
      <c r="J12">
        <v>0</v>
      </c>
      <c r="K12">
        <v>0</v>
      </c>
      <c r="L12">
        <v>0</v>
      </c>
      <c r="M12">
        <v>10</v>
      </c>
      <c r="N12">
        <v>0</v>
      </c>
      <c r="O12">
        <v>0</v>
      </c>
      <c r="P12">
        <v>10</v>
      </c>
      <c r="Q12">
        <v>0</v>
      </c>
      <c r="R12">
        <v>5</v>
      </c>
      <c r="S12">
        <v>0</v>
      </c>
    </row>
    <row r="13" spans="1:21" x14ac:dyDescent="0.3">
      <c r="B13">
        <v>0</v>
      </c>
      <c r="C13">
        <v>0</v>
      </c>
      <c r="D13">
        <v>0</v>
      </c>
      <c r="E13">
        <v>0</v>
      </c>
      <c r="F13">
        <v>0</v>
      </c>
      <c r="G13">
        <v>0</v>
      </c>
      <c r="H13">
        <v>0</v>
      </c>
      <c r="I13">
        <v>0</v>
      </c>
      <c r="J13">
        <v>0</v>
      </c>
      <c r="K13">
        <v>2</v>
      </c>
      <c r="L13">
        <v>0</v>
      </c>
      <c r="M13">
        <v>0</v>
      </c>
      <c r="N13">
        <v>0</v>
      </c>
      <c r="O13">
        <v>0</v>
      </c>
      <c r="P13">
        <v>0</v>
      </c>
      <c r="Q13">
        <v>0</v>
      </c>
      <c r="R13">
        <v>0</v>
      </c>
      <c r="S13">
        <v>1</v>
      </c>
    </row>
    <row r="14" spans="1:21" x14ac:dyDescent="0.3">
      <c r="B14">
        <v>0</v>
      </c>
      <c r="C14">
        <v>0</v>
      </c>
      <c r="D14">
        <v>0</v>
      </c>
      <c r="E14">
        <v>0</v>
      </c>
      <c r="F14">
        <v>0</v>
      </c>
      <c r="G14">
        <v>0</v>
      </c>
      <c r="H14">
        <v>0</v>
      </c>
      <c r="I14">
        <v>0</v>
      </c>
      <c r="J14">
        <v>2</v>
      </c>
      <c r="K14">
        <v>0</v>
      </c>
      <c r="L14">
        <v>0</v>
      </c>
      <c r="M14">
        <v>0</v>
      </c>
      <c r="N14">
        <v>0</v>
      </c>
      <c r="O14">
        <v>0</v>
      </c>
      <c r="P14">
        <v>0</v>
      </c>
      <c r="Q14">
        <v>0</v>
      </c>
      <c r="R14">
        <v>0</v>
      </c>
      <c r="S14">
        <v>0</v>
      </c>
    </row>
    <row r="15" spans="1:21" x14ac:dyDescent="0.3">
      <c r="B15">
        <v>0</v>
      </c>
      <c r="C15">
        <v>0</v>
      </c>
      <c r="D15">
        <v>0</v>
      </c>
      <c r="E15">
        <v>0</v>
      </c>
      <c r="F15">
        <v>0</v>
      </c>
      <c r="G15">
        <v>0</v>
      </c>
      <c r="H15">
        <v>0</v>
      </c>
      <c r="I15">
        <v>0</v>
      </c>
      <c r="J15">
        <v>3</v>
      </c>
      <c r="K15">
        <v>0</v>
      </c>
      <c r="L15">
        <v>0</v>
      </c>
      <c r="M15">
        <v>0</v>
      </c>
      <c r="N15">
        <v>0</v>
      </c>
      <c r="O15">
        <v>0</v>
      </c>
      <c r="P15">
        <v>0</v>
      </c>
      <c r="Q15">
        <v>0</v>
      </c>
      <c r="R15">
        <v>0</v>
      </c>
      <c r="S15">
        <v>0</v>
      </c>
    </row>
    <row r="16" spans="1:21" x14ac:dyDescent="0.3">
      <c r="B16">
        <v>0</v>
      </c>
      <c r="C16">
        <v>0</v>
      </c>
      <c r="D16">
        <v>0</v>
      </c>
      <c r="E16">
        <v>0</v>
      </c>
      <c r="F16">
        <v>0</v>
      </c>
      <c r="G16">
        <v>0</v>
      </c>
      <c r="H16">
        <v>0</v>
      </c>
      <c r="I16">
        <v>0</v>
      </c>
      <c r="J16">
        <v>4</v>
      </c>
      <c r="K16">
        <v>0</v>
      </c>
      <c r="L16">
        <v>0</v>
      </c>
      <c r="M16">
        <v>0</v>
      </c>
      <c r="N16">
        <v>0</v>
      </c>
      <c r="O16">
        <v>0</v>
      </c>
      <c r="P16">
        <v>0</v>
      </c>
      <c r="Q16">
        <v>0</v>
      </c>
      <c r="R16">
        <v>0</v>
      </c>
      <c r="S16">
        <v>0</v>
      </c>
    </row>
    <row r="17" spans="2:19" x14ac:dyDescent="0.3">
      <c r="B17">
        <v>0</v>
      </c>
      <c r="C17">
        <v>0</v>
      </c>
      <c r="D17">
        <v>0</v>
      </c>
      <c r="E17">
        <v>0</v>
      </c>
      <c r="F17">
        <v>0</v>
      </c>
      <c r="G17">
        <v>0</v>
      </c>
      <c r="H17">
        <v>0</v>
      </c>
      <c r="I17">
        <v>0</v>
      </c>
      <c r="J17">
        <v>5</v>
      </c>
      <c r="K17">
        <v>0</v>
      </c>
      <c r="L17">
        <v>0</v>
      </c>
      <c r="M17">
        <v>0</v>
      </c>
      <c r="N17">
        <v>0</v>
      </c>
      <c r="O17">
        <v>0</v>
      </c>
      <c r="P17">
        <v>1</v>
      </c>
      <c r="Q17">
        <v>0</v>
      </c>
      <c r="R17">
        <v>0</v>
      </c>
      <c r="S17">
        <v>0</v>
      </c>
    </row>
    <row r="18" spans="2:19" x14ac:dyDescent="0.3">
      <c r="B18">
        <v>0</v>
      </c>
      <c r="C18">
        <v>0</v>
      </c>
      <c r="D18">
        <v>0</v>
      </c>
      <c r="E18">
        <v>0</v>
      </c>
      <c r="F18">
        <v>0</v>
      </c>
      <c r="G18">
        <v>0</v>
      </c>
      <c r="H18">
        <v>0</v>
      </c>
      <c r="I18">
        <v>0</v>
      </c>
      <c r="J18">
        <v>6</v>
      </c>
      <c r="K18">
        <v>0</v>
      </c>
      <c r="L18">
        <v>0</v>
      </c>
      <c r="M18">
        <v>0</v>
      </c>
      <c r="N18">
        <v>0</v>
      </c>
      <c r="O18">
        <v>0</v>
      </c>
      <c r="P18">
        <v>0</v>
      </c>
      <c r="Q18">
        <v>0</v>
      </c>
      <c r="R18">
        <v>0</v>
      </c>
      <c r="S18">
        <v>0</v>
      </c>
    </row>
    <row r="19" spans="2:19" x14ac:dyDescent="0.3">
      <c r="B19">
        <v>0</v>
      </c>
      <c r="C19">
        <v>0</v>
      </c>
      <c r="D19">
        <v>0</v>
      </c>
      <c r="E19">
        <v>0</v>
      </c>
      <c r="F19">
        <v>0</v>
      </c>
      <c r="G19">
        <v>0</v>
      </c>
      <c r="H19">
        <v>0</v>
      </c>
      <c r="I19">
        <v>0</v>
      </c>
      <c r="J19">
        <v>8</v>
      </c>
      <c r="K19">
        <v>0</v>
      </c>
      <c r="L19">
        <v>0</v>
      </c>
      <c r="M19">
        <v>0</v>
      </c>
      <c r="N19">
        <v>0</v>
      </c>
      <c r="O19">
        <v>0</v>
      </c>
      <c r="P19">
        <v>0</v>
      </c>
      <c r="Q19">
        <v>0</v>
      </c>
      <c r="R19">
        <v>0</v>
      </c>
      <c r="S19">
        <v>0</v>
      </c>
    </row>
    <row r="20" spans="2:19" x14ac:dyDescent="0.3">
      <c r="B20">
        <v>0</v>
      </c>
      <c r="C20">
        <v>0</v>
      </c>
      <c r="D20">
        <v>0</v>
      </c>
      <c r="E20">
        <v>0</v>
      </c>
      <c r="F20">
        <v>0</v>
      </c>
      <c r="G20">
        <v>0</v>
      </c>
      <c r="H20">
        <v>0</v>
      </c>
      <c r="I20">
        <v>0</v>
      </c>
      <c r="J20">
        <v>13</v>
      </c>
      <c r="K20">
        <v>0</v>
      </c>
      <c r="L20">
        <v>0</v>
      </c>
      <c r="M20">
        <v>0</v>
      </c>
      <c r="N20">
        <v>0</v>
      </c>
      <c r="O20">
        <v>0</v>
      </c>
      <c r="P20">
        <v>0</v>
      </c>
      <c r="Q20">
        <v>0</v>
      </c>
      <c r="R20">
        <v>0</v>
      </c>
      <c r="S20">
        <v>0</v>
      </c>
    </row>
    <row r="21" spans="2:19" x14ac:dyDescent="0.3">
      <c r="B21">
        <v>0</v>
      </c>
      <c r="C21">
        <v>0</v>
      </c>
      <c r="D21">
        <v>0</v>
      </c>
      <c r="E21">
        <v>0</v>
      </c>
      <c r="F21">
        <v>0</v>
      </c>
      <c r="G21">
        <v>0</v>
      </c>
      <c r="H21">
        <v>0</v>
      </c>
      <c r="I21">
        <v>0</v>
      </c>
      <c r="J21">
        <v>13</v>
      </c>
      <c r="K21">
        <v>0</v>
      </c>
      <c r="L21">
        <v>0</v>
      </c>
      <c r="M21">
        <v>0</v>
      </c>
      <c r="N21">
        <v>0</v>
      </c>
      <c r="O21">
        <v>0</v>
      </c>
      <c r="P21">
        <v>0</v>
      </c>
      <c r="Q21">
        <v>0</v>
      </c>
      <c r="R21">
        <v>0</v>
      </c>
      <c r="S21">
        <v>0</v>
      </c>
    </row>
    <row r="22" spans="2:19" x14ac:dyDescent="0.3">
      <c r="B22">
        <v>0</v>
      </c>
      <c r="C22">
        <v>0</v>
      </c>
      <c r="D22">
        <v>0</v>
      </c>
      <c r="E22">
        <v>0</v>
      </c>
      <c r="F22">
        <v>0</v>
      </c>
      <c r="G22">
        <v>0</v>
      </c>
      <c r="H22">
        <v>0</v>
      </c>
      <c r="I22">
        <v>0</v>
      </c>
      <c r="J22">
        <v>4</v>
      </c>
      <c r="K22">
        <v>10</v>
      </c>
      <c r="L22">
        <v>0</v>
      </c>
      <c r="M22">
        <v>0</v>
      </c>
      <c r="N22">
        <v>0</v>
      </c>
      <c r="O22">
        <v>0</v>
      </c>
      <c r="P22">
        <v>0</v>
      </c>
      <c r="Q22">
        <v>0</v>
      </c>
      <c r="R22">
        <v>0</v>
      </c>
      <c r="S22">
        <v>0</v>
      </c>
    </row>
    <row r="23" spans="2:19" x14ac:dyDescent="0.3">
      <c r="B23">
        <v>0</v>
      </c>
      <c r="C23">
        <v>0</v>
      </c>
      <c r="D23">
        <v>0</v>
      </c>
      <c r="E23">
        <v>0</v>
      </c>
      <c r="F23">
        <v>0</v>
      </c>
      <c r="G23">
        <v>0</v>
      </c>
      <c r="H23">
        <v>0</v>
      </c>
      <c r="I23">
        <v>0</v>
      </c>
      <c r="J23">
        <v>85</v>
      </c>
      <c r="K23">
        <v>0</v>
      </c>
      <c r="L23">
        <v>0</v>
      </c>
      <c r="M23">
        <v>0</v>
      </c>
      <c r="N23">
        <v>0</v>
      </c>
      <c r="O23">
        <v>0</v>
      </c>
      <c r="P23">
        <v>0</v>
      </c>
      <c r="Q23">
        <v>0</v>
      </c>
      <c r="R23">
        <v>0</v>
      </c>
      <c r="S23">
        <v>0</v>
      </c>
    </row>
    <row r="24" spans="2:19" x14ac:dyDescent="0.3">
      <c r="B24">
        <v>0</v>
      </c>
      <c r="C24">
        <v>0</v>
      </c>
      <c r="D24">
        <v>0</v>
      </c>
      <c r="E24">
        <v>0</v>
      </c>
      <c r="F24">
        <v>0</v>
      </c>
      <c r="G24">
        <v>0</v>
      </c>
      <c r="H24">
        <v>1</v>
      </c>
      <c r="I24">
        <v>0</v>
      </c>
      <c r="J24">
        <v>0</v>
      </c>
      <c r="K24">
        <v>0</v>
      </c>
      <c r="L24">
        <v>0</v>
      </c>
      <c r="M24">
        <v>0</v>
      </c>
      <c r="N24">
        <v>0</v>
      </c>
      <c r="O24">
        <v>0</v>
      </c>
      <c r="P24">
        <v>0</v>
      </c>
      <c r="Q24">
        <v>0</v>
      </c>
      <c r="R24">
        <v>0</v>
      </c>
      <c r="S24">
        <v>0</v>
      </c>
    </row>
    <row r="25" spans="2:19" x14ac:dyDescent="0.3">
      <c r="B25">
        <v>0</v>
      </c>
      <c r="C25">
        <v>0</v>
      </c>
      <c r="D25">
        <v>0</v>
      </c>
      <c r="E25">
        <v>0</v>
      </c>
      <c r="F25">
        <v>0</v>
      </c>
      <c r="G25">
        <v>0</v>
      </c>
      <c r="H25">
        <v>1</v>
      </c>
      <c r="I25">
        <v>0</v>
      </c>
      <c r="J25">
        <v>0</v>
      </c>
      <c r="K25">
        <v>0</v>
      </c>
      <c r="L25">
        <v>0</v>
      </c>
      <c r="M25">
        <v>0</v>
      </c>
      <c r="N25">
        <v>0</v>
      </c>
      <c r="O25">
        <v>0</v>
      </c>
      <c r="P25">
        <v>0</v>
      </c>
      <c r="Q25">
        <v>0</v>
      </c>
      <c r="R25">
        <v>0</v>
      </c>
      <c r="S25">
        <v>0</v>
      </c>
    </row>
    <row r="26" spans="2:19" x14ac:dyDescent="0.3">
      <c r="B26">
        <v>0</v>
      </c>
      <c r="C26">
        <v>0</v>
      </c>
      <c r="D26">
        <v>0</v>
      </c>
      <c r="E26">
        <v>0</v>
      </c>
      <c r="F26">
        <v>0</v>
      </c>
      <c r="G26">
        <v>0</v>
      </c>
      <c r="H26">
        <v>4</v>
      </c>
      <c r="I26">
        <v>0</v>
      </c>
      <c r="J26">
        <v>0</v>
      </c>
      <c r="K26">
        <v>0</v>
      </c>
      <c r="L26">
        <v>0</v>
      </c>
      <c r="M26">
        <v>0</v>
      </c>
      <c r="N26">
        <v>0</v>
      </c>
      <c r="O26">
        <v>0</v>
      </c>
      <c r="P26">
        <v>0</v>
      </c>
      <c r="Q26">
        <v>0</v>
      </c>
      <c r="R26">
        <v>0</v>
      </c>
      <c r="S26">
        <v>0</v>
      </c>
    </row>
    <row r="27" spans="2:19" x14ac:dyDescent="0.3">
      <c r="B27">
        <v>0</v>
      </c>
      <c r="C27">
        <v>0</v>
      </c>
      <c r="D27">
        <v>0</v>
      </c>
      <c r="E27">
        <v>0</v>
      </c>
      <c r="F27">
        <v>1</v>
      </c>
      <c r="G27">
        <v>0</v>
      </c>
      <c r="H27">
        <v>5</v>
      </c>
      <c r="I27">
        <v>0</v>
      </c>
      <c r="J27">
        <v>0</v>
      </c>
      <c r="K27">
        <v>0</v>
      </c>
      <c r="L27">
        <v>0</v>
      </c>
      <c r="M27">
        <v>0</v>
      </c>
      <c r="N27">
        <v>0</v>
      </c>
      <c r="O27">
        <v>3</v>
      </c>
      <c r="P27">
        <v>0</v>
      </c>
      <c r="Q27">
        <v>0</v>
      </c>
      <c r="R27">
        <v>0</v>
      </c>
      <c r="S27">
        <v>0</v>
      </c>
    </row>
    <row r="28" spans="2:19" x14ac:dyDescent="0.3">
      <c r="B28">
        <v>0</v>
      </c>
      <c r="C28">
        <v>0</v>
      </c>
      <c r="D28">
        <v>0</v>
      </c>
      <c r="E28">
        <v>0</v>
      </c>
      <c r="F28">
        <v>3</v>
      </c>
      <c r="G28">
        <v>0</v>
      </c>
      <c r="H28">
        <v>0</v>
      </c>
      <c r="I28">
        <v>0</v>
      </c>
      <c r="J28">
        <v>0</v>
      </c>
      <c r="K28">
        <v>0</v>
      </c>
      <c r="L28">
        <v>0</v>
      </c>
      <c r="M28">
        <v>0</v>
      </c>
      <c r="N28">
        <v>0</v>
      </c>
      <c r="O28">
        <v>0</v>
      </c>
      <c r="P28">
        <v>0</v>
      </c>
      <c r="Q28">
        <v>0</v>
      </c>
      <c r="R28">
        <v>0</v>
      </c>
      <c r="S28">
        <v>0</v>
      </c>
    </row>
    <row r="29" spans="2:19" x14ac:dyDescent="0.3">
      <c r="B29">
        <v>0</v>
      </c>
      <c r="C29">
        <v>0</v>
      </c>
      <c r="D29">
        <v>0</v>
      </c>
      <c r="E29">
        <v>0</v>
      </c>
      <c r="F29">
        <v>5</v>
      </c>
      <c r="G29">
        <v>0</v>
      </c>
      <c r="H29">
        <v>0</v>
      </c>
      <c r="I29">
        <v>0</v>
      </c>
      <c r="J29">
        <v>0</v>
      </c>
      <c r="K29">
        <v>0</v>
      </c>
      <c r="L29">
        <v>0</v>
      </c>
      <c r="M29">
        <v>0</v>
      </c>
      <c r="N29">
        <v>0</v>
      </c>
      <c r="O29">
        <v>0</v>
      </c>
      <c r="P29">
        <v>0</v>
      </c>
      <c r="Q29">
        <v>0</v>
      </c>
      <c r="R29">
        <v>0</v>
      </c>
      <c r="S29">
        <v>0</v>
      </c>
    </row>
    <row r="30" spans="2:19" x14ac:dyDescent="0.3">
      <c r="B30">
        <v>0</v>
      </c>
      <c r="C30">
        <v>0</v>
      </c>
      <c r="D30">
        <v>0</v>
      </c>
      <c r="E30">
        <v>0</v>
      </c>
      <c r="F30">
        <v>7</v>
      </c>
      <c r="G30">
        <v>0</v>
      </c>
      <c r="H30">
        <v>0</v>
      </c>
      <c r="I30">
        <v>0</v>
      </c>
      <c r="J30">
        <v>5</v>
      </c>
      <c r="K30">
        <v>0</v>
      </c>
      <c r="L30">
        <v>0</v>
      </c>
      <c r="M30">
        <v>0</v>
      </c>
      <c r="N30">
        <v>0</v>
      </c>
      <c r="O30">
        <v>0</v>
      </c>
      <c r="P30">
        <v>2</v>
      </c>
      <c r="Q30">
        <v>0</v>
      </c>
      <c r="R30">
        <v>0</v>
      </c>
      <c r="S30">
        <v>0</v>
      </c>
    </row>
    <row r="31" spans="2:19" x14ac:dyDescent="0.3">
      <c r="B31">
        <v>0</v>
      </c>
      <c r="C31">
        <v>0</v>
      </c>
      <c r="D31">
        <v>0</v>
      </c>
      <c r="E31">
        <v>0</v>
      </c>
      <c r="F31">
        <v>10</v>
      </c>
      <c r="G31">
        <v>0</v>
      </c>
      <c r="H31">
        <v>0</v>
      </c>
      <c r="I31">
        <v>0</v>
      </c>
      <c r="J31">
        <v>0</v>
      </c>
      <c r="K31">
        <v>0</v>
      </c>
      <c r="L31">
        <v>0</v>
      </c>
      <c r="M31">
        <v>0</v>
      </c>
      <c r="N31">
        <v>0</v>
      </c>
      <c r="O31">
        <v>0</v>
      </c>
      <c r="P31">
        <v>0</v>
      </c>
      <c r="Q31">
        <v>0</v>
      </c>
      <c r="R31">
        <v>0</v>
      </c>
      <c r="S31">
        <v>0</v>
      </c>
    </row>
    <row r="32" spans="2:19" x14ac:dyDescent="0.3">
      <c r="B32">
        <v>0</v>
      </c>
      <c r="C32">
        <v>0</v>
      </c>
      <c r="D32">
        <v>0</v>
      </c>
      <c r="E32">
        <v>0</v>
      </c>
      <c r="F32">
        <v>10</v>
      </c>
      <c r="G32">
        <v>0</v>
      </c>
      <c r="H32">
        <v>5</v>
      </c>
      <c r="I32">
        <v>0</v>
      </c>
      <c r="J32">
        <v>0</v>
      </c>
      <c r="K32">
        <v>0</v>
      </c>
      <c r="L32">
        <v>0</v>
      </c>
      <c r="M32">
        <v>0</v>
      </c>
      <c r="N32">
        <v>0</v>
      </c>
      <c r="O32">
        <v>1</v>
      </c>
      <c r="P32">
        <v>0</v>
      </c>
      <c r="Q32">
        <v>0</v>
      </c>
      <c r="R32">
        <v>0</v>
      </c>
      <c r="S32">
        <v>1</v>
      </c>
    </row>
    <row r="33" spans="2:19" x14ac:dyDescent="0.3">
      <c r="B33">
        <v>0</v>
      </c>
      <c r="C33">
        <v>0</v>
      </c>
      <c r="D33">
        <v>0</v>
      </c>
      <c r="E33">
        <v>0</v>
      </c>
      <c r="F33">
        <v>17</v>
      </c>
      <c r="G33">
        <v>0</v>
      </c>
      <c r="H33">
        <v>0</v>
      </c>
      <c r="I33">
        <v>0</v>
      </c>
      <c r="J33">
        <v>0</v>
      </c>
      <c r="K33">
        <v>0</v>
      </c>
      <c r="L33">
        <v>0</v>
      </c>
      <c r="M33">
        <v>0</v>
      </c>
      <c r="N33">
        <v>0</v>
      </c>
      <c r="O33">
        <v>0</v>
      </c>
      <c r="P33">
        <v>0</v>
      </c>
      <c r="Q33">
        <v>7</v>
      </c>
      <c r="R33">
        <v>0</v>
      </c>
      <c r="S33">
        <v>0</v>
      </c>
    </row>
    <row r="34" spans="2:19" x14ac:dyDescent="0.3">
      <c r="B34">
        <v>0</v>
      </c>
      <c r="C34">
        <v>0</v>
      </c>
      <c r="D34">
        <v>0</v>
      </c>
      <c r="E34">
        <v>0</v>
      </c>
      <c r="F34">
        <v>25</v>
      </c>
      <c r="G34">
        <v>0</v>
      </c>
      <c r="H34">
        <v>0</v>
      </c>
      <c r="I34">
        <v>0</v>
      </c>
      <c r="J34">
        <v>0</v>
      </c>
      <c r="K34">
        <v>0</v>
      </c>
      <c r="L34">
        <v>0</v>
      </c>
      <c r="M34">
        <v>0</v>
      </c>
      <c r="N34">
        <v>0</v>
      </c>
      <c r="O34">
        <v>0</v>
      </c>
      <c r="P34">
        <v>0</v>
      </c>
      <c r="Q34">
        <v>0</v>
      </c>
      <c r="R34">
        <v>0</v>
      </c>
      <c r="S34">
        <v>0</v>
      </c>
    </row>
    <row r="35" spans="2:19" x14ac:dyDescent="0.3">
      <c r="B35">
        <v>0</v>
      </c>
      <c r="C35">
        <v>0</v>
      </c>
      <c r="D35">
        <v>0</v>
      </c>
      <c r="E35">
        <v>0</v>
      </c>
      <c r="F35">
        <v>5</v>
      </c>
      <c r="G35">
        <v>0</v>
      </c>
      <c r="H35">
        <v>10</v>
      </c>
      <c r="I35">
        <v>0</v>
      </c>
      <c r="J35">
        <v>3</v>
      </c>
      <c r="K35">
        <v>0</v>
      </c>
      <c r="L35">
        <v>0</v>
      </c>
      <c r="M35">
        <v>0</v>
      </c>
      <c r="N35">
        <v>0</v>
      </c>
      <c r="O35">
        <v>0</v>
      </c>
      <c r="P35">
        <v>0</v>
      </c>
      <c r="Q35">
        <v>0</v>
      </c>
      <c r="R35">
        <v>0</v>
      </c>
      <c r="S35">
        <v>0</v>
      </c>
    </row>
    <row r="36" spans="2:19" x14ac:dyDescent="0.3">
      <c r="B36">
        <v>0</v>
      </c>
      <c r="C36">
        <v>0</v>
      </c>
      <c r="D36">
        <v>0</v>
      </c>
      <c r="E36">
        <v>0</v>
      </c>
      <c r="F36">
        <v>0</v>
      </c>
      <c r="G36">
        <v>65</v>
      </c>
      <c r="H36">
        <v>0</v>
      </c>
      <c r="I36">
        <v>0</v>
      </c>
      <c r="J36">
        <v>0</v>
      </c>
      <c r="K36">
        <v>0</v>
      </c>
      <c r="L36">
        <v>0</v>
      </c>
      <c r="M36">
        <v>0</v>
      </c>
      <c r="N36">
        <v>0</v>
      </c>
      <c r="O36">
        <v>24</v>
      </c>
      <c r="P36">
        <v>0</v>
      </c>
      <c r="Q36">
        <v>0</v>
      </c>
      <c r="R36">
        <v>0</v>
      </c>
      <c r="S36">
        <v>0</v>
      </c>
    </row>
    <row r="37" spans="2:19" x14ac:dyDescent="0.3">
      <c r="B37">
        <v>0</v>
      </c>
      <c r="C37">
        <v>0</v>
      </c>
      <c r="D37">
        <v>0</v>
      </c>
      <c r="E37">
        <v>10</v>
      </c>
      <c r="F37">
        <v>0</v>
      </c>
      <c r="G37">
        <v>0</v>
      </c>
      <c r="H37">
        <v>0</v>
      </c>
      <c r="I37">
        <v>0</v>
      </c>
      <c r="J37">
        <v>0</v>
      </c>
      <c r="K37">
        <v>0</v>
      </c>
      <c r="L37">
        <v>0</v>
      </c>
      <c r="M37">
        <v>0</v>
      </c>
      <c r="N37">
        <v>0</v>
      </c>
      <c r="O37">
        <v>2</v>
      </c>
      <c r="P37">
        <v>0</v>
      </c>
      <c r="Q37">
        <v>5</v>
      </c>
      <c r="R37">
        <v>0</v>
      </c>
      <c r="S37">
        <v>0</v>
      </c>
    </row>
    <row r="38" spans="2:19" x14ac:dyDescent="0.3">
      <c r="B38">
        <v>0</v>
      </c>
      <c r="C38">
        <v>0</v>
      </c>
      <c r="D38">
        <v>0</v>
      </c>
      <c r="E38">
        <v>0</v>
      </c>
      <c r="F38">
        <v>10</v>
      </c>
      <c r="G38">
        <v>0</v>
      </c>
      <c r="H38">
        <v>0</v>
      </c>
      <c r="I38">
        <v>0</v>
      </c>
      <c r="J38">
        <v>0</v>
      </c>
      <c r="K38">
        <v>0</v>
      </c>
      <c r="L38">
        <v>0</v>
      </c>
      <c r="M38">
        <v>0</v>
      </c>
      <c r="N38">
        <v>0</v>
      </c>
      <c r="O38">
        <v>20</v>
      </c>
      <c r="P38">
        <v>0</v>
      </c>
      <c r="Q38">
        <v>0</v>
      </c>
      <c r="R38">
        <v>0</v>
      </c>
      <c r="S38">
        <v>0</v>
      </c>
    </row>
    <row r="39" spans="2:19" x14ac:dyDescent="0.3">
      <c r="B39">
        <v>0</v>
      </c>
      <c r="C39">
        <v>0</v>
      </c>
      <c r="D39">
        <v>0</v>
      </c>
      <c r="E39">
        <v>0</v>
      </c>
      <c r="F39">
        <v>20</v>
      </c>
      <c r="G39">
        <v>0</v>
      </c>
      <c r="H39">
        <v>0</v>
      </c>
      <c r="I39">
        <v>0</v>
      </c>
      <c r="J39">
        <v>0</v>
      </c>
      <c r="K39">
        <v>0</v>
      </c>
      <c r="L39">
        <v>0</v>
      </c>
      <c r="M39">
        <v>0</v>
      </c>
      <c r="N39">
        <v>0</v>
      </c>
      <c r="O39">
        <v>2</v>
      </c>
      <c r="P39">
        <v>0</v>
      </c>
      <c r="Q39">
        <v>10</v>
      </c>
      <c r="R39">
        <v>0</v>
      </c>
      <c r="S39">
        <v>0</v>
      </c>
    </row>
    <row r="40" spans="2:19" x14ac:dyDescent="0.3">
      <c r="B40">
        <v>0</v>
      </c>
      <c r="C40">
        <v>0</v>
      </c>
      <c r="D40">
        <v>0</v>
      </c>
      <c r="E40">
        <v>3</v>
      </c>
      <c r="F40">
        <v>10</v>
      </c>
      <c r="G40">
        <v>0</v>
      </c>
      <c r="H40">
        <v>0</v>
      </c>
      <c r="I40">
        <v>0</v>
      </c>
      <c r="J40">
        <v>7</v>
      </c>
      <c r="K40">
        <v>0</v>
      </c>
      <c r="L40">
        <v>0</v>
      </c>
      <c r="M40">
        <v>0</v>
      </c>
      <c r="N40">
        <v>0</v>
      </c>
      <c r="O40">
        <v>0</v>
      </c>
      <c r="P40">
        <v>0</v>
      </c>
      <c r="Q40">
        <v>0</v>
      </c>
      <c r="R40">
        <v>0</v>
      </c>
      <c r="S40">
        <v>0</v>
      </c>
    </row>
    <row r="41" spans="2:19" x14ac:dyDescent="0.3">
      <c r="B41">
        <v>0</v>
      </c>
      <c r="C41">
        <v>0</v>
      </c>
      <c r="D41">
        <v>0</v>
      </c>
      <c r="E41">
        <v>3</v>
      </c>
      <c r="F41">
        <v>3</v>
      </c>
      <c r="G41">
        <v>0</v>
      </c>
      <c r="H41">
        <v>0</v>
      </c>
      <c r="I41">
        <v>0</v>
      </c>
      <c r="J41">
        <v>10</v>
      </c>
      <c r="K41">
        <v>0</v>
      </c>
      <c r="L41">
        <v>0</v>
      </c>
      <c r="M41">
        <v>0</v>
      </c>
      <c r="N41">
        <v>0</v>
      </c>
      <c r="O41">
        <v>1</v>
      </c>
      <c r="P41">
        <v>0</v>
      </c>
      <c r="Q41">
        <v>0</v>
      </c>
      <c r="R41">
        <v>5</v>
      </c>
      <c r="S41">
        <v>0</v>
      </c>
    </row>
    <row r="42" spans="2:19" x14ac:dyDescent="0.3">
      <c r="B42">
        <v>0</v>
      </c>
      <c r="C42">
        <v>0</v>
      </c>
      <c r="D42">
        <v>0</v>
      </c>
      <c r="E42">
        <v>4</v>
      </c>
      <c r="F42">
        <v>0</v>
      </c>
      <c r="G42">
        <v>0</v>
      </c>
      <c r="H42">
        <v>3</v>
      </c>
      <c r="I42">
        <v>5</v>
      </c>
      <c r="J42">
        <v>2</v>
      </c>
      <c r="K42">
        <v>0</v>
      </c>
      <c r="L42">
        <v>0</v>
      </c>
      <c r="M42">
        <v>0</v>
      </c>
      <c r="N42">
        <v>0</v>
      </c>
      <c r="O42">
        <v>10</v>
      </c>
      <c r="P42">
        <v>0</v>
      </c>
      <c r="Q42">
        <v>0</v>
      </c>
      <c r="R42">
        <v>0</v>
      </c>
      <c r="S42">
        <v>0</v>
      </c>
    </row>
    <row r="43" spans="2:19" x14ac:dyDescent="0.3">
      <c r="B43">
        <v>0</v>
      </c>
      <c r="C43">
        <v>0</v>
      </c>
      <c r="D43">
        <v>0</v>
      </c>
      <c r="E43">
        <v>50</v>
      </c>
      <c r="F43">
        <v>0</v>
      </c>
      <c r="G43">
        <v>0</v>
      </c>
      <c r="H43">
        <v>0</v>
      </c>
      <c r="I43">
        <v>0</v>
      </c>
      <c r="J43">
        <v>0</v>
      </c>
      <c r="K43">
        <v>0</v>
      </c>
      <c r="L43">
        <v>0</v>
      </c>
      <c r="M43">
        <v>0</v>
      </c>
      <c r="N43">
        <v>0</v>
      </c>
      <c r="O43">
        <v>0</v>
      </c>
      <c r="P43">
        <v>0</v>
      </c>
      <c r="Q43">
        <v>0</v>
      </c>
      <c r="R43">
        <v>0</v>
      </c>
      <c r="S43">
        <v>0</v>
      </c>
    </row>
    <row r="44" spans="2:19" x14ac:dyDescent="0.3">
      <c r="B44">
        <v>0</v>
      </c>
      <c r="C44">
        <v>0</v>
      </c>
      <c r="D44">
        <v>0</v>
      </c>
      <c r="E44">
        <v>5</v>
      </c>
      <c r="F44">
        <v>4</v>
      </c>
      <c r="G44">
        <v>0</v>
      </c>
      <c r="H44">
        <v>0</v>
      </c>
      <c r="I44">
        <v>0</v>
      </c>
      <c r="J44">
        <v>16</v>
      </c>
      <c r="K44">
        <v>0</v>
      </c>
      <c r="L44">
        <v>0</v>
      </c>
      <c r="M44">
        <v>0</v>
      </c>
      <c r="N44">
        <v>0</v>
      </c>
      <c r="O44">
        <v>0</v>
      </c>
      <c r="P44">
        <v>0</v>
      </c>
      <c r="Q44">
        <v>0</v>
      </c>
      <c r="R44">
        <v>0</v>
      </c>
      <c r="S44">
        <v>0</v>
      </c>
    </row>
    <row r="45" spans="2:19" x14ac:dyDescent="0.3">
      <c r="B45">
        <v>0</v>
      </c>
      <c r="C45">
        <v>0</v>
      </c>
      <c r="D45">
        <v>0</v>
      </c>
      <c r="E45">
        <v>10</v>
      </c>
      <c r="F45">
        <v>0</v>
      </c>
      <c r="G45">
        <v>10</v>
      </c>
      <c r="H45">
        <v>0</v>
      </c>
      <c r="I45">
        <v>0</v>
      </c>
      <c r="J45">
        <v>0</v>
      </c>
      <c r="K45">
        <v>0</v>
      </c>
      <c r="L45">
        <v>0</v>
      </c>
      <c r="M45">
        <v>0</v>
      </c>
      <c r="N45">
        <v>0</v>
      </c>
      <c r="O45">
        <v>25</v>
      </c>
      <c r="P45">
        <v>0</v>
      </c>
      <c r="Q45">
        <v>0</v>
      </c>
      <c r="R45">
        <v>0</v>
      </c>
      <c r="S45">
        <v>0</v>
      </c>
    </row>
    <row r="46" spans="2:19" x14ac:dyDescent="0.3">
      <c r="B46">
        <v>0</v>
      </c>
      <c r="C46">
        <v>0</v>
      </c>
      <c r="D46">
        <v>0</v>
      </c>
      <c r="E46">
        <v>25</v>
      </c>
      <c r="F46">
        <v>15</v>
      </c>
      <c r="G46">
        <v>5</v>
      </c>
      <c r="H46">
        <v>0</v>
      </c>
      <c r="I46">
        <v>0</v>
      </c>
      <c r="J46">
        <v>0</v>
      </c>
      <c r="K46">
        <v>0</v>
      </c>
      <c r="L46">
        <v>0</v>
      </c>
      <c r="M46">
        <v>0</v>
      </c>
      <c r="N46">
        <v>0</v>
      </c>
      <c r="O46">
        <v>15</v>
      </c>
      <c r="P46">
        <v>0</v>
      </c>
      <c r="Q46">
        <v>0</v>
      </c>
      <c r="R46">
        <v>0</v>
      </c>
      <c r="S46">
        <v>0</v>
      </c>
    </row>
    <row r="47" spans="2:19" x14ac:dyDescent="0.3">
      <c r="B47">
        <v>10</v>
      </c>
      <c r="C47">
        <v>0</v>
      </c>
      <c r="D47">
        <v>0</v>
      </c>
      <c r="E47">
        <v>0</v>
      </c>
      <c r="F47">
        <v>0</v>
      </c>
      <c r="G47">
        <v>0</v>
      </c>
      <c r="H47">
        <v>0</v>
      </c>
      <c r="I47">
        <v>0</v>
      </c>
      <c r="J47">
        <v>0</v>
      </c>
      <c r="K47">
        <v>0</v>
      </c>
      <c r="L47">
        <v>0</v>
      </c>
      <c r="M47">
        <v>0</v>
      </c>
      <c r="N47">
        <v>0</v>
      </c>
      <c r="O47">
        <v>0</v>
      </c>
      <c r="P47">
        <v>0</v>
      </c>
      <c r="Q47">
        <v>7</v>
      </c>
      <c r="R47">
        <v>0</v>
      </c>
      <c r="S47">
        <v>0</v>
      </c>
    </row>
    <row r="48" spans="2:19" x14ac:dyDescent="0.3">
      <c r="B48">
        <v>0</v>
      </c>
      <c r="C48">
        <v>60</v>
      </c>
      <c r="D48">
        <v>0</v>
      </c>
      <c r="E48">
        <v>30</v>
      </c>
      <c r="F48">
        <v>0</v>
      </c>
      <c r="G48">
        <v>0</v>
      </c>
      <c r="H48">
        <v>0</v>
      </c>
      <c r="I48">
        <v>0</v>
      </c>
      <c r="J48">
        <v>0</v>
      </c>
      <c r="K48">
        <v>0</v>
      </c>
      <c r="L48">
        <v>0</v>
      </c>
      <c r="M48">
        <v>0</v>
      </c>
      <c r="N48">
        <v>0</v>
      </c>
      <c r="O48">
        <v>0</v>
      </c>
      <c r="P48">
        <v>0</v>
      </c>
      <c r="Q48">
        <v>0</v>
      </c>
      <c r="R48">
        <v>0</v>
      </c>
      <c r="S48">
        <v>0</v>
      </c>
    </row>
    <row r="49" spans="2:19" x14ac:dyDescent="0.3">
      <c r="B49">
        <v>100</v>
      </c>
      <c r="C49">
        <v>0</v>
      </c>
      <c r="D49">
        <v>0</v>
      </c>
      <c r="E49">
        <v>0</v>
      </c>
      <c r="F49">
        <v>0</v>
      </c>
      <c r="G49">
        <v>0</v>
      </c>
      <c r="H49">
        <v>0</v>
      </c>
      <c r="I49">
        <v>0</v>
      </c>
      <c r="J49">
        <v>0</v>
      </c>
      <c r="K49">
        <v>0</v>
      </c>
      <c r="L49">
        <v>0</v>
      </c>
      <c r="M49">
        <v>0</v>
      </c>
      <c r="N49">
        <v>0</v>
      </c>
      <c r="O49">
        <v>0</v>
      </c>
      <c r="P49">
        <v>0</v>
      </c>
      <c r="Q49">
        <v>5</v>
      </c>
      <c r="R49">
        <v>0</v>
      </c>
      <c r="S49">
        <v>0</v>
      </c>
    </row>
    <row r="50" spans="2:19" x14ac:dyDescent="0.3">
      <c r="B50">
        <v>100</v>
      </c>
      <c r="C50">
        <v>0</v>
      </c>
      <c r="D50">
        <v>0</v>
      </c>
      <c r="E50">
        <v>0</v>
      </c>
      <c r="F50">
        <v>0</v>
      </c>
      <c r="G50">
        <v>0</v>
      </c>
      <c r="H50">
        <v>0</v>
      </c>
      <c r="I50">
        <v>0</v>
      </c>
      <c r="J50">
        <v>0</v>
      </c>
      <c r="K50">
        <v>0</v>
      </c>
      <c r="L50">
        <v>0</v>
      </c>
      <c r="M50">
        <v>0</v>
      </c>
      <c r="N50">
        <v>0</v>
      </c>
      <c r="O50">
        <v>0</v>
      </c>
      <c r="P50">
        <v>0</v>
      </c>
      <c r="Q50">
        <v>7</v>
      </c>
      <c r="R50">
        <v>0</v>
      </c>
      <c r="S50">
        <v>0</v>
      </c>
    </row>
    <row r="51" spans="2:19" x14ac:dyDescent="0.3">
      <c r="B51">
        <v>160</v>
      </c>
      <c r="C51">
        <v>0</v>
      </c>
      <c r="D51">
        <v>0</v>
      </c>
      <c r="E51">
        <v>0</v>
      </c>
      <c r="F51">
        <v>3</v>
      </c>
      <c r="G51">
        <v>0</v>
      </c>
      <c r="H51">
        <v>0</v>
      </c>
      <c r="I51">
        <v>0</v>
      </c>
      <c r="J51">
        <v>0</v>
      </c>
      <c r="K51">
        <v>0</v>
      </c>
      <c r="L51">
        <v>0</v>
      </c>
      <c r="M51">
        <v>0</v>
      </c>
      <c r="N51">
        <v>0</v>
      </c>
      <c r="O51">
        <v>0</v>
      </c>
      <c r="P51">
        <v>0</v>
      </c>
      <c r="Q51">
        <v>0</v>
      </c>
      <c r="R51">
        <v>0</v>
      </c>
      <c r="S51">
        <v>0</v>
      </c>
    </row>
    <row r="52" spans="2:19" x14ac:dyDescent="0.3">
      <c r="B52">
        <v>0</v>
      </c>
      <c r="C52">
        <v>200</v>
      </c>
      <c r="D52">
        <v>0</v>
      </c>
      <c r="E52">
        <v>30</v>
      </c>
      <c r="F52">
        <v>0</v>
      </c>
      <c r="G52">
        <v>0</v>
      </c>
      <c r="H52">
        <v>0</v>
      </c>
      <c r="I52">
        <v>0</v>
      </c>
      <c r="J52">
        <v>0</v>
      </c>
      <c r="K52">
        <v>0</v>
      </c>
      <c r="L52">
        <v>0</v>
      </c>
      <c r="M52">
        <v>0</v>
      </c>
      <c r="N52">
        <v>0</v>
      </c>
      <c r="O52">
        <v>0</v>
      </c>
      <c r="P52">
        <v>0</v>
      </c>
      <c r="Q52">
        <v>0</v>
      </c>
      <c r="R52">
        <v>0</v>
      </c>
      <c r="S52">
        <v>0</v>
      </c>
    </row>
    <row r="53" spans="2:19" x14ac:dyDescent="0.3">
      <c r="B53">
        <v>250</v>
      </c>
      <c r="C53">
        <v>0</v>
      </c>
      <c r="D53">
        <v>0</v>
      </c>
      <c r="E53">
        <v>0</v>
      </c>
      <c r="F53">
        <v>0</v>
      </c>
      <c r="G53">
        <v>0</v>
      </c>
      <c r="H53">
        <v>0</v>
      </c>
      <c r="I53">
        <v>0</v>
      </c>
      <c r="J53">
        <v>5</v>
      </c>
      <c r="K53">
        <v>0</v>
      </c>
      <c r="L53">
        <v>0</v>
      </c>
      <c r="M53">
        <v>0</v>
      </c>
      <c r="N53">
        <v>0</v>
      </c>
      <c r="O53">
        <v>0</v>
      </c>
      <c r="P53">
        <v>0</v>
      </c>
      <c r="Q53">
        <v>0</v>
      </c>
      <c r="R53">
        <v>0</v>
      </c>
      <c r="S53">
        <v>0</v>
      </c>
    </row>
    <row r="54" spans="2:19" x14ac:dyDescent="0.3">
      <c r="B54">
        <v>300</v>
      </c>
      <c r="C54">
        <v>0</v>
      </c>
      <c r="D54">
        <v>0</v>
      </c>
      <c r="E54">
        <v>0</v>
      </c>
      <c r="F54">
        <v>0</v>
      </c>
      <c r="G54">
        <v>0</v>
      </c>
      <c r="H54">
        <v>0</v>
      </c>
      <c r="I54">
        <v>0</v>
      </c>
      <c r="J54">
        <v>0</v>
      </c>
      <c r="K54">
        <v>0</v>
      </c>
      <c r="L54">
        <v>0</v>
      </c>
      <c r="M54">
        <v>0</v>
      </c>
      <c r="N54">
        <v>0</v>
      </c>
      <c r="O54">
        <v>0</v>
      </c>
      <c r="P54">
        <v>0</v>
      </c>
      <c r="Q54">
        <v>0</v>
      </c>
      <c r="R54">
        <v>0</v>
      </c>
      <c r="S54">
        <v>0</v>
      </c>
    </row>
    <row r="55" spans="2:19" x14ac:dyDescent="0.3">
      <c r="B55">
        <v>300</v>
      </c>
      <c r="C55">
        <v>0</v>
      </c>
      <c r="D55">
        <v>0</v>
      </c>
      <c r="E55">
        <v>0</v>
      </c>
      <c r="F55">
        <v>0</v>
      </c>
      <c r="G55">
        <v>0</v>
      </c>
      <c r="H55">
        <v>0</v>
      </c>
      <c r="I55">
        <v>0</v>
      </c>
      <c r="J55">
        <v>5</v>
      </c>
      <c r="K55">
        <v>0</v>
      </c>
      <c r="L55">
        <v>0</v>
      </c>
      <c r="M55">
        <v>0</v>
      </c>
      <c r="N55">
        <v>0</v>
      </c>
      <c r="O55">
        <v>0</v>
      </c>
      <c r="P55">
        <v>0</v>
      </c>
      <c r="Q55">
        <v>0</v>
      </c>
      <c r="R55">
        <v>0</v>
      </c>
      <c r="S55">
        <v>0</v>
      </c>
    </row>
    <row r="56" spans="2:19" x14ac:dyDescent="0.3">
      <c r="B56">
        <v>100</v>
      </c>
      <c r="C56">
        <v>0</v>
      </c>
      <c r="D56">
        <v>0</v>
      </c>
      <c r="E56">
        <v>0</v>
      </c>
      <c r="F56">
        <v>0</v>
      </c>
      <c r="G56">
        <v>0</v>
      </c>
      <c r="H56">
        <v>0</v>
      </c>
      <c r="I56">
        <v>0</v>
      </c>
      <c r="J56">
        <v>16</v>
      </c>
      <c r="K56">
        <v>0</v>
      </c>
      <c r="L56">
        <v>0</v>
      </c>
      <c r="M56">
        <v>0</v>
      </c>
      <c r="N56">
        <v>0</v>
      </c>
      <c r="O56">
        <v>0</v>
      </c>
      <c r="P56">
        <v>0</v>
      </c>
      <c r="Q56">
        <v>0</v>
      </c>
      <c r="R56">
        <v>0</v>
      </c>
      <c r="S56">
        <v>0</v>
      </c>
    </row>
    <row r="57" spans="2:19" x14ac:dyDescent="0.3">
      <c r="B57">
        <v>100</v>
      </c>
      <c r="C57">
        <v>0</v>
      </c>
      <c r="D57">
        <v>0</v>
      </c>
      <c r="E57">
        <v>0</v>
      </c>
      <c r="F57">
        <v>0</v>
      </c>
      <c r="G57">
        <v>0</v>
      </c>
      <c r="H57">
        <v>10</v>
      </c>
      <c r="I57">
        <v>0</v>
      </c>
      <c r="J57">
        <v>0</v>
      </c>
      <c r="K57">
        <v>0</v>
      </c>
      <c r="L57">
        <v>0</v>
      </c>
      <c r="M57">
        <v>0</v>
      </c>
      <c r="N57">
        <v>0</v>
      </c>
      <c r="O57">
        <v>0</v>
      </c>
      <c r="P57">
        <v>0</v>
      </c>
      <c r="Q57">
        <v>0</v>
      </c>
      <c r="R57">
        <v>0</v>
      </c>
      <c r="S57">
        <v>0</v>
      </c>
    </row>
    <row r="58" spans="2:19" x14ac:dyDescent="0.3">
      <c r="B58">
        <v>100</v>
      </c>
      <c r="C58">
        <v>0</v>
      </c>
      <c r="D58">
        <v>0</v>
      </c>
      <c r="E58">
        <v>3</v>
      </c>
      <c r="F58">
        <v>0</v>
      </c>
      <c r="G58">
        <v>0</v>
      </c>
      <c r="H58">
        <v>2</v>
      </c>
      <c r="I58">
        <v>0</v>
      </c>
      <c r="J58">
        <v>15</v>
      </c>
      <c r="K58">
        <v>0</v>
      </c>
      <c r="L58">
        <v>0</v>
      </c>
      <c r="M58">
        <v>0</v>
      </c>
      <c r="N58">
        <v>0</v>
      </c>
      <c r="O58">
        <v>2</v>
      </c>
      <c r="P58">
        <v>0</v>
      </c>
      <c r="Q58">
        <v>0</v>
      </c>
      <c r="R58">
        <v>0</v>
      </c>
      <c r="S58">
        <v>1</v>
      </c>
    </row>
    <row r="59" spans="2:19" x14ac:dyDescent="0.3">
      <c r="B59">
        <v>150</v>
      </c>
      <c r="C59">
        <v>0</v>
      </c>
      <c r="D59">
        <v>0</v>
      </c>
      <c r="E59">
        <v>0</v>
      </c>
      <c r="F59">
        <v>20</v>
      </c>
      <c r="G59">
        <v>0</v>
      </c>
      <c r="H59">
        <v>0</v>
      </c>
      <c r="I59">
        <v>0</v>
      </c>
      <c r="J59">
        <v>0</v>
      </c>
      <c r="K59">
        <v>0</v>
      </c>
      <c r="L59">
        <v>0</v>
      </c>
      <c r="M59">
        <v>0</v>
      </c>
      <c r="N59">
        <v>0</v>
      </c>
      <c r="O59">
        <v>0</v>
      </c>
      <c r="P59">
        <v>0</v>
      </c>
      <c r="Q59">
        <v>6</v>
      </c>
      <c r="R59">
        <v>0</v>
      </c>
      <c r="S59">
        <v>0</v>
      </c>
    </row>
    <row r="60" spans="2:19" x14ac:dyDescent="0.3">
      <c r="B60">
        <v>200</v>
      </c>
      <c r="C60">
        <v>0</v>
      </c>
      <c r="D60">
        <v>2</v>
      </c>
      <c r="E60">
        <v>0</v>
      </c>
      <c r="F60">
        <v>0</v>
      </c>
      <c r="G60">
        <v>0</v>
      </c>
      <c r="H60">
        <v>0</v>
      </c>
      <c r="I60">
        <v>0</v>
      </c>
      <c r="J60">
        <v>10</v>
      </c>
      <c r="K60">
        <v>0</v>
      </c>
      <c r="L60">
        <v>0</v>
      </c>
      <c r="M60">
        <v>0</v>
      </c>
      <c r="N60">
        <v>0</v>
      </c>
      <c r="O60">
        <v>0</v>
      </c>
      <c r="P60">
        <v>0</v>
      </c>
      <c r="Q60">
        <v>0</v>
      </c>
      <c r="R60">
        <v>0</v>
      </c>
      <c r="S60">
        <v>0</v>
      </c>
    </row>
    <row r="61" spans="2:19" x14ac:dyDescent="0.3">
      <c r="B61">
        <v>50</v>
      </c>
      <c r="C61">
        <v>0</v>
      </c>
      <c r="D61">
        <v>0</v>
      </c>
      <c r="E61">
        <v>10</v>
      </c>
      <c r="F61">
        <v>20</v>
      </c>
      <c r="G61">
        <v>0</v>
      </c>
      <c r="H61">
        <v>0</v>
      </c>
      <c r="I61">
        <v>0</v>
      </c>
      <c r="J61">
        <v>0</v>
      </c>
      <c r="K61">
        <v>0</v>
      </c>
      <c r="L61">
        <v>0</v>
      </c>
      <c r="M61">
        <v>0</v>
      </c>
      <c r="N61">
        <v>0</v>
      </c>
      <c r="O61">
        <v>0</v>
      </c>
      <c r="P61">
        <v>0</v>
      </c>
      <c r="Q61">
        <v>5</v>
      </c>
      <c r="R61">
        <v>0</v>
      </c>
      <c r="S61">
        <v>0</v>
      </c>
    </row>
    <row r="62" spans="2:19" x14ac:dyDescent="0.3">
      <c r="B62">
        <v>200</v>
      </c>
      <c r="C62">
        <v>0</v>
      </c>
      <c r="D62">
        <v>0</v>
      </c>
      <c r="E62">
        <v>0</v>
      </c>
      <c r="F62">
        <v>10</v>
      </c>
      <c r="G62">
        <v>0</v>
      </c>
      <c r="H62">
        <v>30</v>
      </c>
      <c r="I62">
        <v>0</v>
      </c>
      <c r="J62">
        <v>0</v>
      </c>
      <c r="K62">
        <v>0</v>
      </c>
      <c r="L62">
        <v>0</v>
      </c>
      <c r="M62">
        <v>0</v>
      </c>
      <c r="N62">
        <v>0</v>
      </c>
      <c r="O62">
        <v>0</v>
      </c>
      <c r="P62">
        <v>0</v>
      </c>
      <c r="Q62">
        <v>0</v>
      </c>
      <c r="R62">
        <v>0</v>
      </c>
      <c r="S62">
        <v>0</v>
      </c>
    </row>
    <row r="63" spans="2:19" x14ac:dyDescent="0.3">
      <c r="B63">
        <v>400</v>
      </c>
      <c r="C63">
        <v>0</v>
      </c>
      <c r="D63">
        <v>0</v>
      </c>
      <c r="E63">
        <v>0</v>
      </c>
      <c r="F63">
        <v>15</v>
      </c>
      <c r="G63">
        <v>10</v>
      </c>
      <c r="H63">
        <v>0</v>
      </c>
      <c r="I63">
        <v>0</v>
      </c>
      <c r="J63">
        <v>0</v>
      </c>
      <c r="K63">
        <v>0</v>
      </c>
      <c r="L63">
        <v>0</v>
      </c>
      <c r="M63">
        <v>0</v>
      </c>
      <c r="N63">
        <v>0</v>
      </c>
      <c r="O63">
        <v>0</v>
      </c>
      <c r="P63">
        <v>0</v>
      </c>
      <c r="Q63">
        <v>0</v>
      </c>
      <c r="R63">
        <v>0</v>
      </c>
      <c r="S63">
        <v>0</v>
      </c>
    </row>
    <row r="64" spans="2:19" x14ac:dyDescent="0.3">
      <c r="B64">
        <v>30</v>
      </c>
      <c r="C64">
        <v>0</v>
      </c>
      <c r="D64">
        <v>0</v>
      </c>
      <c r="E64">
        <v>0</v>
      </c>
      <c r="F64">
        <v>30</v>
      </c>
      <c r="G64">
        <v>0</v>
      </c>
      <c r="H64">
        <v>0</v>
      </c>
      <c r="I64">
        <v>0</v>
      </c>
      <c r="J64">
        <v>15</v>
      </c>
      <c r="K64">
        <v>0</v>
      </c>
      <c r="L64">
        <v>0</v>
      </c>
      <c r="M64">
        <v>0</v>
      </c>
      <c r="N64">
        <v>0</v>
      </c>
      <c r="O64">
        <v>10</v>
      </c>
      <c r="P64">
        <v>30</v>
      </c>
      <c r="Q64">
        <v>0</v>
      </c>
      <c r="R64">
        <v>0</v>
      </c>
      <c r="S64">
        <v>0</v>
      </c>
    </row>
  </sheetData>
  <phoneticPr fontId="1" type="noConversion"/>
  <pageMargins left="0.7" right="0.7" top="0.75" bottom="0.75" header="0.3" footer="0.3"/>
  <pageSetup paperSize="9" orientation="portrait" verticalDpi="20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3:B23"/>
  <sheetViews>
    <sheetView workbookViewId="0">
      <selection activeCell="B24" sqref="B24"/>
    </sheetView>
  </sheetViews>
  <sheetFormatPr defaultRowHeight="16.5" x14ac:dyDescent="0.3"/>
  <cols>
    <col min="1" max="1" width="3.875" customWidth="1"/>
    <col min="2" max="2" width="82" customWidth="1"/>
  </cols>
  <sheetData>
    <row r="3" spans="2:2" x14ac:dyDescent="0.3">
      <c r="B3" t="s">
        <v>413</v>
      </c>
    </row>
    <row r="5" spans="2:2" x14ac:dyDescent="0.3">
      <c r="B5" t="s">
        <v>414</v>
      </c>
    </row>
    <row r="6" spans="2:2" x14ac:dyDescent="0.3">
      <c r="B6" t="s">
        <v>415</v>
      </c>
    </row>
    <row r="7" spans="2:2" ht="33" x14ac:dyDescent="0.3">
      <c r="B7" s="255" t="s">
        <v>416</v>
      </c>
    </row>
    <row r="10" spans="2:2" x14ac:dyDescent="0.3">
      <c r="B10" t="s">
        <v>425</v>
      </c>
    </row>
    <row r="11" spans="2:2" x14ac:dyDescent="0.3">
      <c r="B11" t="s">
        <v>426</v>
      </c>
    </row>
    <row r="14" spans="2:2" x14ac:dyDescent="0.3">
      <c r="B14" t="s">
        <v>427</v>
      </c>
    </row>
    <row r="15" spans="2:2" x14ac:dyDescent="0.3">
      <c r="B15" t="s">
        <v>430</v>
      </c>
    </row>
    <row r="16" spans="2:2" x14ac:dyDescent="0.3">
      <c r="B16" t="s">
        <v>428</v>
      </c>
    </row>
    <row r="17" spans="2:2" x14ac:dyDescent="0.3">
      <c r="B17" t="s">
        <v>429</v>
      </c>
    </row>
    <row r="20" spans="2:2" x14ac:dyDescent="0.3">
      <c r="B20" t="s">
        <v>431</v>
      </c>
    </row>
    <row r="21" spans="2:2" x14ac:dyDescent="0.3">
      <c r="B21" t="s">
        <v>430</v>
      </c>
    </row>
    <row r="22" spans="2:2" x14ac:dyDescent="0.3">
      <c r="B22" t="s">
        <v>428</v>
      </c>
    </row>
    <row r="23" spans="2:2" x14ac:dyDescent="0.3">
      <c r="B23" t="s">
        <v>432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K28"/>
  <sheetViews>
    <sheetView workbookViewId="0">
      <selection activeCell="D18" sqref="D18"/>
    </sheetView>
  </sheetViews>
  <sheetFormatPr defaultRowHeight="16.5" x14ac:dyDescent="0.3"/>
  <cols>
    <col min="1" max="2" width="3.125" customWidth="1"/>
    <col min="3" max="3" width="7.875" bestFit="1" customWidth="1"/>
    <col min="4" max="5" width="7.625" bestFit="1" customWidth="1"/>
    <col min="6" max="6" width="6" bestFit="1" customWidth="1"/>
    <col min="7" max="7" width="6.75" bestFit="1" customWidth="1"/>
    <col min="8" max="8" width="6" bestFit="1" customWidth="1"/>
    <col min="9" max="10" width="3.125" customWidth="1"/>
    <col min="11" max="11" width="6.75" bestFit="1" customWidth="1"/>
    <col min="12" max="12" width="6.375" bestFit="1" customWidth="1"/>
    <col min="13" max="13" width="6.625" bestFit="1" customWidth="1"/>
    <col min="14" max="15" width="6" bestFit="1" customWidth="1"/>
    <col min="16" max="16" width="6" style="97" bestFit="1" customWidth="1"/>
    <col min="17" max="17" width="3.125" customWidth="1"/>
    <col min="18" max="18" width="6.75" bestFit="1" customWidth="1"/>
    <col min="19" max="19" width="6.375" bestFit="1" customWidth="1"/>
    <col min="20" max="20" width="6.625" bestFit="1" customWidth="1"/>
    <col min="21" max="23" width="6" bestFit="1" customWidth="1"/>
    <col min="24" max="24" width="3.125" customWidth="1"/>
    <col min="25" max="25" width="6.75" bestFit="1" customWidth="1"/>
    <col min="26" max="26" width="9.875" style="82" bestFit="1" customWidth="1"/>
    <col min="27" max="27" width="6.625" style="85" bestFit="1" customWidth="1"/>
    <col min="28" max="30" width="6" style="85" bestFit="1" customWidth="1"/>
    <col min="31" max="31" width="3.125" style="85" customWidth="1"/>
    <col min="32" max="32" width="6.75" bestFit="1" customWidth="1"/>
    <col min="33" max="33" width="6.375" bestFit="1" customWidth="1"/>
    <col min="34" max="34" width="6.625" bestFit="1" customWidth="1"/>
    <col min="35" max="36" width="6" bestFit="1" customWidth="1"/>
    <col min="37" max="37" width="6" style="79" bestFit="1" customWidth="1"/>
    <col min="38" max="38" width="3.125" customWidth="1"/>
    <col min="39" max="39" width="7.875" bestFit="1" customWidth="1"/>
    <col min="40" max="40" width="6.75" bestFit="1" customWidth="1"/>
    <col min="41" max="41" width="7.625" bestFit="1" customWidth="1"/>
    <col min="42" max="42" width="6" bestFit="1" customWidth="1"/>
    <col min="43" max="43" width="6.75" bestFit="1" customWidth="1"/>
    <col min="44" max="44" width="6" bestFit="1" customWidth="1"/>
    <col min="45" max="45" width="3.125" customWidth="1"/>
    <col min="46" max="46" width="7.875" bestFit="1" customWidth="1"/>
    <col min="47" max="48" width="6.75" bestFit="1" customWidth="1"/>
    <col min="49" max="49" width="6" bestFit="1" customWidth="1"/>
    <col min="50" max="50" width="6.75" bestFit="1" customWidth="1"/>
    <col min="51" max="51" width="6" bestFit="1" customWidth="1"/>
    <col min="53" max="53" width="6.5" bestFit="1" customWidth="1"/>
  </cols>
  <sheetData>
    <row r="1" spans="2:37" ht="15" customHeight="1" x14ac:dyDescent="0.3">
      <c r="B1" s="151"/>
      <c r="C1" s="151"/>
      <c r="D1" s="151"/>
      <c r="E1" s="151"/>
      <c r="F1" s="151"/>
      <c r="G1" s="151"/>
      <c r="H1" s="151"/>
      <c r="I1" s="151"/>
    </row>
    <row r="2" spans="2:37" ht="19.5" x14ac:dyDescent="0.3">
      <c r="B2" s="152"/>
      <c r="C2" s="301" t="s">
        <v>311</v>
      </c>
      <c r="D2" s="302"/>
      <c r="E2" s="302"/>
      <c r="F2" s="302"/>
      <c r="G2" s="302"/>
      <c r="H2" s="303"/>
      <c r="I2" s="151"/>
      <c r="K2" s="298" t="s">
        <v>318</v>
      </c>
      <c r="L2" s="299"/>
      <c r="M2" s="299"/>
      <c r="N2" s="299"/>
      <c r="O2" s="299"/>
      <c r="P2" s="300"/>
      <c r="R2" s="298" t="s">
        <v>317</v>
      </c>
      <c r="S2" s="299"/>
      <c r="T2" s="299"/>
      <c r="U2" s="299"/>
      <c r="V2" s="299"/>
      <c r="W2" s="300"/>
      <c r="Y2" s="298" t="s">
        <v>239</v>
      </c>
      <c r="Z2" s="299"/>
      <c r="AA2" s="299"/>
      <c r="AB2" s="299"/>
      <c r="AC2" s="299"/>
      <c r="AD2" s="300"/>
      <c r="AF2" s="298" t="s">
        <v>241</v>
      </c>
      <c r="AG2" s="299"/>
      <c r="AH2" s="299"/>
      <c r="AI2" s="299"/>
      <c r="AJ2" s="299"/>
      <c r="AK2" s="300"/>
    </row>
    <row r="3" spans="2:37" s="86" customFormat="1" x14ac:dyDescent="0.3">
      <c r="B3" s="153"/>
      <c r="C3" s="206" t="s">
        <v>229</v>
      </c>
      <c r="D3" s="207" t="s">
        <v>211</v>
      </c>
      <c r="E3" s="208" t="s">
        <v>212</v>
      </c>
      <c r="F3" s="209" t="s">
        <v>213</v>
      </c>
      <c r="G3" s="209" t="s">
        <v>214</v>
      </c>
      <c r="H3" s="210" t="s">
        <v>215</v>
      </c>
      <c r="I3" s="153"/>
      <c r="J3" s="202"/>
      <c r="K3" s="92" t="s">
        <v>229</v>
      </c>
      <c r="L3" s="93" t="s">
        <v>211</v>
      </c>
      <c r="M3" s="94" t="s">
        <v>212</v>
      </c>
      <c r="N3" s="96" t="s">
        <v>213</v>
      </c>
      <c r="O3" s="96" t="s">
        <v>214</v>
      </c>
      <c r="P3" s="98" t="s">
        <v>215</v>
      </c>
      <c r="R3" s="92" t="s">
        <v>229</v>
      </c>
      <c r="S3" s="93" t="s">
        <v>211</v>
      </c>
      <c r="T3" s="94" t="s">
        <v>212</v>
      </c>
      <c r="U3" s="96" t="s">
        <v>213</v>
      </c>
      <c r="V3" s="96" t="s">
        <v>214</v>
      </c>
      <c r="W3" s="96" t="s">
        <v>215</v>
      </c>
      <c r="Y3" s="92" t="s">
        <v>229</v>
      </c>
      <c r="Z3" s="93" t="s">
        <v>211</v>
      </c>
      <c r="AA3" s="94" t="s">
        <v>212</v>
      </c>
      <c r="AB3" s="96" t="s">
        <v>213</v>
      </c>
      <c r="AC3" s="96" t="s">
        <v>214</v>
      </c>
      <c r="AD3" s="96" t="s">
        <v>215</v>
      </c>
      <c r="AE3" s="95"/>
      <c r="AF3" s="92" t="s">
        <v>229</v>
      </c>
      <c r="AG3" s="92" t="s">
        <v>211</v>
      </c>
      <c r="AH3" s="92" t="s">
        <v>212</v>
      </c>
      <c r="AI3" s="96" t="s">
        <v>213</v>
      </c>
      <c r="AJ3" s="96" t="s">
        <v>214</v>
      </c>
      <c r="AK3" s="96" t="s">
        <v>215</v>
      </c>
    </row>
    <row r="4" spans="2:37" x14ac:dyDescent="0.3">
      <c r="B4" s="151"/>
      <c r="C4" s="203" t="s">
        <v>230</v>
      </c>
      <c r="D4" s="265">
        <v>2400</v>
      </c>
      <c r="E4" s="204">
        <v>1968</v>
      </c>
      <c r="F4" s="204">
        <f t="shared" ref="F4:F23" si="0">ROUNDUP((D4*0.1) -(E4*0.1), 0)</f>
        <v>44</v>
      </c>
      <c r="G4" s="204">
        <f t="shared" ref="G4:G23" si="1">D4-E4-F4</f>
        <v>388</v>
      </c>
      <c r="H4" s="205">
        <f>G4/D4*100</f>
        <v>16.166666666666664</v>
      </c>
      <c r="I4" s="151"/>
      <c r="K4" s="144" t="s">
        <v>230</v>
      </c>
      <c r="L4" s="145">
        <v>2300</v>
      </c>
      <c r="M4" s="146">
        <v>1968</v>
      </c>
      <c r="N4" s="146">
        <f t="shared" ref="N4:N25" si="2">ROUNDUP((L4*0.1) -(M4*0.1), 0)</f>
        <v>34</v>
      </c>
      <c r="O4" s="147">
        <f t="shared" ref="O4:O25" si="3">L4-M4-N4</f>
        <v>298</v>
      </c>
      <c r="P4" s="148">
        <f t="shared" ref="P4:P25" si="4">O4/L4*100</f>
        <v>12.956521739130435</v>
      </c>
      <c r="Q4" s="149"/>
      <c r="R4" s="144" t="s">
        <v>230</v>
      </c>
      <c r="S4" s="145">
        <v>2371</v>
      </c>
      <c r="T4" s="146">
        <v>1968</v>
      </c>
      <c r="U4" s="146">
        <f t="shared" ref="U4:U25" si="5">ROUNDUP((S4*0.1) -(T4*0.1), 0)</f>
        <v>41</v>
      </c>
      <c r="V4" s="147">
        <f t="shared" ref="V4:V25" si="6">S4-T4-U4</f>
        <v>362</v>
      </c>
      <c r="W4" s="146">
        <f t="shared" ref="W4:W25" si="7">V4/S4*100</f>
        <v>15.267819485449177</v>
      </c>
      <c r="X4" s="149"/>
      <c r="Y4" s="144" t="s">
        <v>230</v>
      </c>
      <c r="Z4" s="145">
        <v>2470</v>
      </c>
      <c r="AA4" s="146">
        <v>1968</v>
      </c>
      <c r="AB4" s="146">
        <f t="shared" ref="AB4:AB14" si="8">ROUNDUP((Z4*0.1) -(AA4*0.1), 0)</f>
        <v>51</v>
      </c>
      <c r="AC4" s="147">
        <f t="shared" ref="AC4:AC14" si="9">Z4-AA4-AB4</f>
        <v>451</v>
      </c>
      <c r="AD4" s="146">
        <f t="shared" ref="AD4:AD14" si="10">AC4/Z4*100</f>
        <v>18.25910931174089</v>
      </c>
      <c r="AE4" s="150"/>
      <c r="AF4" s="144" t="s">
        <v>230</v>
      </c>
      <c r="AG4" s="145">
        <v>2540</v>
      </c>
      <c r="AH4" s="146">
        <v>1968</v>
      </c>
      <c r="AI4" s="146">
        <f t="shared" ref="AI4:AI14" si="11">ROUNDUP((AG4*0.1) -(AH4*0.1), 0)</f>
        <v>58</v>
      </c>
      <c r="AJ4" s="147">
        <f t="shared" ref="AJ4:AJ14" si="12">AG4-AH4-AI4</f>
        <v>514</v>
      </c>
      <c r="AK4" s="146">
        <f t="shared" ref="AK4:AK14" si="13">AJ4/AG4*100</f>
        <v>20.236220472440944</v>
      </c>
    </row>
    <row r="5" spans="2:37" x14ac:dyDescent="0.3">
      <c r="B5" s="151"/>
      <c r="C5" s="203" t="s">
        <v>88</v>
      </c>
      <c r="D5" s="265">
        <v>24000</v>
      </c>
      <c r="E5" s="204">
        <f>E4*10</f>
        <v>19680</v>
      </c>
      <c r="F5" s="204">
        <f t="shared" si="0"/>
        <v>432</v>
      </c>
      <c r="G5" s="204">
        <f t="shared" si="1"/>
        <v>3888</v>
      </c>
      <c r="H5" s="205">
        <f t="shared" ref="H5:H23" si="14">G5/D5*100</f>
        <v>16.2</v>
      </c>
      <c r="I5" s="151"/>
      <c r="K5" s="144" t="s">
        <v>43</v>
      </c>
      <c r="L5" s="145">
        <v>23000</v>
      </c>
      <c r="M5" s="146">
        <f>M4*10</f>
        <v>19680</v>
      </c>
      <c r="N5" s="146">
        <f t="shared" si="2"/>
        <v>332</v>
      </c>
      <c r="O5" s="147">
        <f t="shared" si="3"/>
        <v>2988</v>
      </c>
      <c r="P5" s="148">
        <f t="shared" si="4"/>
        <v>12.991304347826087</v>
      </c>
      <c r="Q5" s="149"/>
      <c r="R5" s="144" t="s">
        <v>43</v>
      </c>
      <c r="S5" s="145">
        <v>23710</v>
      </c>
      <c r="T5" s="146">
        <f>T4*10</f>
        <v>19680</v>
      </c>
      <c r="U5" s="146">
        <f t="shared" si="5"/>
        <v>403</v>
      </c>
      <c r="V5" s="147">
        <f t="shared" si="6"/>
        <v>3627</v>
      </c>
      <c r="W5" s="146">
        <f t="shared" si="7"/>
        <v>15.297342893293969</v>
      </c>
      <c r="X5" s="149"/>
      <c r="Y5" s="144" t="s">
        <v>240</v>
      </c>
      <c r="Z5" s="145">
        <v>24700</v>
      </c>
      <c r="AA5" s="146">
        <f>AA4*10</f>
        <v>19680</v>
      </c>
      <c r="AB5" s="146">
        <f t="shared" si="8"/>
        <v>502</v>
      </c>
      <c r="AC5" s="147">
        <f t="shared" si="9"/>
        <v>4518</v>
      </c>
      <c r="AD5" s="146">
        <f t="shared" si="10"/>
        <v>18.291497975708502</v>
      </c>
      <c r="AE5" s="150"/>
      <c r="AF5" s="144" t="s">
        <v>240</v>
      </c>
      <c r="AG5" s="145">
        <v>25400</v>
      </c>
      <c r="AH5" s="146">
        <f>AH4*10</f>
        <v>19680</v>
      </c>
      <c r="AI5" s="146">
        <f t="shared" si="11"/>
        <v>572</v>
      </c>
      <c r="AJ5" s="147">
        <f t="shared" si="12"/>
        <v>5148</v>
      </c>
      <c r="AK5" s="146">
        <f t="shared" si="13"/>
        <v>20.26771653543307</v>
      </c>
    </row>
    <row r="6" spans="2:37" x14ac:dyDescent="0.3">
      <c r="B6" s="151"/>
      <c r="C6" s="203" t="s">
        <v>231</v>
      </c>
      <c r="D6" s="265">
        <v>2450</v>
      </c>
      <c r="E6" s="204">
        <v>1998</v>
      </c>
      <c r="F6" s="204">
        <f t="shared" si="0"/>
        <v>46</v>
      </c>
      <c r="G6" s="204">
        <f t="shared" si="1"/>
        <v>406</v>
      </c>
      <c r="H6" s="205">
        <f t="shared" si="14"/>
        <v>16.571428571428569</v>
      </c>
      <c r="I6" s="151"/>
      <c r="K6" s="144" t="s">
        <v>231</v>
      </c>
      <c r="L6" s="145">
        <v>2335</v>
      </c>
      <c r="M6" s="146">
        <v>1998</v>
      </c>
      <c r="N6" s="146">
        <f t="shared" si="2"/>
        <v>34</v>
      </c>
      <c r="O6" s="147">
        <f t="shared" si="3"/>
        <v>303</v>
      </c>
      <c r="P6" s="148">
        <f t="shared" si="4"/>
        <v>12.976445396145611</v>
      </c>
      <c r="Q6" s="149"/>
      <c r="R6" s="144" t="s">
        <v>231</v>
      </c>
      <c r="S6" s="145">
        <v>2409</v>
      </c>
      <c r="T6" s="146">
        <v>1998</v>
      </c>
      <c r="U6" s="146">
        <f t="shared" si="5"/>
        <v>42</v>
      </c>
      <c r="V6" s="147">
        <f t="shared" si="6"/>
        <v>369</v>
      </c>
      <c r="W6" s="146">
        <f t="shared" si="7"/>
        <v>15.317559153175592</v>
      </c>
      <c r="X6" s="149"/>
      <c r="Y6" s="144" t="s">
        <v>231</v>
      </c>
      <c r="Z6" s="145">
        <v>2510</v>
      </c>
      <c r="AA6" s="146">
        <v>1998</v>
      </c>
      <c r="AB6" s="146">
        <f t="shared" si="8"/>
        <v>52</v>
      </c>
      <c r="AC6" s="147">
        <f t="shared" si="9"/>
        <v>460</v>
      </c>
      <c r="AD6" s="146">
        <f t="shared" si="10"/>
        <v>18.326693227091635</v>
      </c>
      <c r="AE6" s="150"/>
      <c r="AF6" s="144" t="s">
        <v>231</v>
      </c>
      <c r="AG6" s="145">
        <v>2580</v>
      </c>
      <c r="AH6" s="146">
        <v>1998</v>
      </c>
      <c r="AI6" s="146">
        <f t="shared" si="11"/>
        <v>59</v>
      </c>
      <c r="AJ6" s="147">
        <f t="shared" si="12"/>
        <v>523</v>
      </c>
      <c r="AK6" s="146">
        <f t="shared" si="13"/>
        <v>20.271317829457363</v>
      </c>
    </row>
    <row r="7" spans="2:37" x14ac:dyDescent="0.3">
      <c r="B7" s="151"/>
      <c r="C7" s="203" t="s">
        <v>231</v>
      </c>
      <c r="D7" s="265">
        <v>24500</v>
      </c>
      <c r="E7" s="204">
        <f>E6*10</f>
        <v>19980</v>
      </c>
      <c r="F7" s="204">
        <f t="shared" si="0"/>
        <v>452</v>
      </c>
      <c r="G7" s="204">
        <f t="shared" si="1"/>
        <v>4068</v>
      </c>
      <c r="H7" s="205">
        <f t="shared" si="14"/>
        <v>16.604081632653063</v>
      </c>
      <c r="I7" s="151"/>
      <c r="K7" s="144" t="s">
        <v>231</v>
      </c>
      <c r="L7" s="145">
        <v>23350</v>
      </c>
      <c r="M7" s="146">
        <f>M6*10</f>
        <v>19980</v>
      </c>
      <c r="N7" s="146">
        <f t="shared" si="2"/>
        <v>337</v>
      </c>
      <c r="O7" s="147">
        <f t="shared" si="3"/>
        <v>3033</v>
      </c>
      <c r="P7" s="148">
        <f t="shared" si="4"/>
        <v>12.989293361884368</v>
      </c>
      <c r="Q7" s="149"/>
      <c r="R7" s="144" t="s">
        <v>231</v>
      </c>
      <c r="S7" s="145">
        <v>24090</v>
      </c>
      <c r="T7" s="146">
        <f>T6*10</f>
        <v>19980</v>
      </c>
      <c r="U7" s="146">
        <f t="shared" si="5"/>
        <v>411</v>
      </c>
      <c r="V7" s="147">
        <f t="shared" si="6"/>
        <v>3699</v>
      </c>
      <c r="W7" s="146">
        <f t="shared" si="7"/>
        <v>15.354919053549191</v>
      </c>
      <c r="X7" s="149"/>
      <c r="Y7" s="144" t="s">
        <v>231</v>
      </c>
      <c r="Z7" s="145">
        <v>25100</v>
      </c>
      <c r="AA7" s="146">
        <f>AA6*10</f>
        <v>19980</v>
      </c>
      <c r="AB7" s="146">
        <f t="shared" si="8"/>
        <v>512</v>
      </c>
      <c r="AC7" s="147">
        <f t="shared" si="9"/>
        <v>4608</v>
      </c>
      <c r="AD7" s="146">
        <f t="shared" si="10"/>
        <v>18.358565737051794</v>
      </c>
      <c r="AE7" s="150"/>
      <c r="AF7" s="144" t="s">
        <v>231</v>
      </c>
      <c r="AG7" s="145">
        <v>25800</v>
      </c>
      <c r="AH7" s="146">
        <f>AH6*10</f>
        <v>19980</v>
      </c>
      <c r="AI7" s="146">
        <f t="shared" si="11"/>
        <v>582</v>
      </c>
      <c r="AJ7" s="147">
        <f t="shared" si="12"/>
        <v>5238</v>
      </c>
      <c r="AK7" s="146">
        <f t="shared" si="13"/>
        <v>20.302325581395351</v>
      </c>
    </row>
    <row r="8" spans="2:37" x14ac:dyDescent="0.3">
      <c r="B8" s="151"/>
      <c r="C8" s="203" t="s">
        <v>230</v>
      </c>
      <c r="D8" s="265">
        <v>20750</v>
      </c>
      <c r="E8" s="204">
        <v>17046</v>
      </c>
      <c r="F8" s="204">
        <f t="shared" si="0"/>
        <v>371</v>
      </c>
      <c r="G8" s="204">
        <f t="shared" si="1"/>
        <v>3333</v>
      </c>
      <c r="H8" s="205">
        <f t="shared" si="14"/>
        <v>16.06265060240964</v>
      </c>
      <c r="I8" s="151"/>
      <c r="K8" s="144" t="s">
        <v>230</v>
      </c>
      <c r="L8" s="145">
        <v>19930</v>
      </c>
      <c r="M8" s="146">
        <v>17046</v>
      </c>
      <c r="N8" s="146">
        <f t="shared" si="2"/>
        <v>289</v>
      </c>
      <c r="O8" s="147">
        <f t="shared" si="3"/>
        <v>2595</v>
      </c>
      <c r="P8" s="148">
        <f t="shared" si="4"/>
        <v>13.020572002007025</v>
      </c>
      <c r="Q8" s="149"/>
      <c r="R8" s="144" t="s">
        <v>230</v>
      </c>
      <c r="S8" s="145">
        <v>20540</v>
      </c>
      <c r="T8" s="146">
        <v>17046</v>
      </c>
      <c r="U8" s="146">
        <f t="shared" si="5"/>
        <v>350</v>
      </c>
      <c r="V8" s="147">
        <f t="shared" si="6"/>
        <v>3144</v>
      </c>
      <c r="W8" s="146">
        <f t="shared" si="7"/>
        <v>15.306718597857838</v>
      </c>
      <c r="X8" s="149"/>
      <c r="Y8" s="144" t="s">
        <v>230</v>
      </c>
      <c r="Z8" s="145">
        <v>21400</v>
      </c>
      <c r="AA8" s="146">
        <v>17046</v>
      </c>
      <c r="AB8" s="146">
        <f t="shared" si="8"/>
        <v>436</v>
      </c>
      <c r="AC8" s="147">
        <f t="shared" si="9"/>
        <v>3918</v>
      </c>
      <c r="AD8" s="146">
        <f t="shared" si="10"/>
        <v>18.308411214953271</v>
      </c>
      <c r="AE8" s="150"/>
      <c r="AF8" s="144" t="s">
        <v>230</v>
      </c>
      <c r="AG8" s="145">
        <v>22030</v>
      </c>
      <c r="AH8" s="146">
        <v>17046</v>
      </c>
      <c r="AI8" s="146">
        <f t="shared" si="11"/>
        <v>499</v>
      </c>
      <c r="AJ8" s="147">
        <f t="shared" si="12"/>
        <v>4485</v>
      </c>
      <c r="AK8" s="146">
        <f t="shared" si="13"/>
        <v>20.358601906491145</v>
      </c>
    </row>
    <row r="9" spans="2:37" x14ac:dyDescent="0.3">
      <c r="B9" s="151"/>
      <c r="C9" s="203" t="s">
        <v>232</v>
      </c>
      <c r="D9" s="265">
        <v>15000</v>
      </c>
      <c r="E9" s="204">
        <v>12248</v>
      </c>
      <c r="F9" s="204">
        <f t="shared" si="0"/>
        <v>276</v>
      </c>
      <c r="G9" s="204">
        <f t="shared" si="1"/>
        <v>2476</v>
      </c>
      <c r="H9" s="205">
        <f t="shared" si="14"/>
        <v>16.506666666666668</v>
      </c>
      <c r="I9" s="151"/>
      <c r="K9" s="144" t="s">
        <v>232</v>
      </c>
      <c r="L9" s="145">
        <v>14340</v>
      </c>
      <c r="M9" s="146">
        <v>12248</v>
      </c>
      <c r="N9" s="146">
        <f t="shared" si="2"/>
        <v>210</v>
      </c>
      <c r="O9" s="147">
        <f t="shared" si="3"/>
        <v>1882</v>
      </c>
      <c r="P9" s="148">
        <f t="shared" si="4"/>
        <v>13.124128312412831</v>
      </c>
      <c r="Q9" s="149"/>
      <c r="R9" s="144" t="s">
        <v>232</v>
      </c>
      <c r="S9" s="145">
        <v>14800</v>
      </c>
      <c r="T9" s="146">
        <v>12248</v>
      </c>
      <c r="U9" s="146">
        <f t="shared" si="5"/>
        <v>256</v>
      </c>
      <c r="V9" s="147">
        <f t="shared" si="6"/>
        <v>2296</v>
      </c>
      <c r="W9" s="146">
        <f t="shared" si="7"/>
        <v>15.513513513513514</v>
      </c>
      <c r="X9" s="149"/>
      <c r="Y9" s="144" t="s">
        <v>232</v>
      </c>
      <c r="Z9" s="145">
        <v>15400</v>
      </c>
      <c r="AA9" s="146">
        <v>12248</v>
      </c>
      <c r="AB9" s="146">
        <f t="shared" si="8"/>
        <v>316</v>
      </c>
      <c r="AC9" s="147">
        <f t="shared" si="9"/>
        <v>2836</v>
      </c>
      <c r="AD9" s="146">
        <f t="shared" si="10"/>
        <v>18.415584415584416</v>
      </c>
      <c r="AE9" s="150"/>
      <c r="AF9" s="144" t="s">
        <v>232</v>
      </c>
      <c r="AG9" s="145">
        <v>15850</v>
      </c>
      <c r="AH9" s="146">
        <v>12248</v>
      </c>
      <c r="AI9" s="146">
        <f t="shared" si="11"/>
        <v>361</v>
      </c>
      <c r="AJ9" s="147">
        <f t="shared" si="12"/>
        <v>3241</v>
      </c>
      <c r="AK9" s="146">
        <f t="shared" si="13"/>
        <v>20.447949526813879</v>
      </c>
    </row>
    <row r="10" spans="2:37" x14ac:dyDescent="0.3">
      <c r="B10" s="151"/>
      <c r="C10" s="203" t="s">
        <v>233</v>
      </c>
      <c r="D10" s="265">
        <v>17500</v>
      </c>
      <c r="E10" s="204">
        <v>14190</v>
      </c>
      <c r="F10" s="204">
        <f t="shared" si="0"/>
        <v>331</v>
      </c>
      <c r="G10" s="204">
        <f t="shared" si="1"/>
        <v>2979</v>
      </c>
      <c r="H10" s="205">
        <f t="shared" si="14"/>
        <v>17.022857142857141</v>
      </c>
      <c r="I10" s="151"/>
      <c r="K10" s="144" t="s">
        <v>233</v>
      </c>
      <c r="L10" s="145">
        <v>16600</v>
      </c>
      <c r="M10" s="146">
        <v>14190</v>
      </c>
      <c r="N10" s="146">
        <f t="shared" si="2"/>
        <v>241</v>
      </c>
      <c r="O10" s="147">
        <f t="shared" si="3"/>
        <v>2169</v>
      </c>
      <c r="P10" s="148">
        <f t="shared" si="4"/>
        <v>13.066265060240964</v>
      </c>
      <c r="Q10" s="149"/>
      <c r="R10" s="144" t="s">
        <v>233</v>
      </c>
      <c r="S10" s="145">
        <v>17110</v>
      </c>
      <c r="T10" s="146">
        <v>14190</v>
      </c>
      <c r="U10" s="146">
        <f t="shared" si="5"/>
        <v>292</v>
      </c>
      <c r="V10" s="147">
        <f t="shared" si="6"/>
        <v>2628</v>
      </c>
      <c r="W10" s="146">
        <f t="shared" si="7"/>
        <v>15.359438924605495</v>
      </c>
      <c r="X10" s="149"/>
      <c r="Y10" s="144" t="s">
        <v>233</v>
      </c>
      <c r="Z10" s="145">
        <v>17830</v>
      </c>
      <c r="AA10" s="146">
        <v>14190</v>
      </c>
      <c r="AB10" s="146">
        <f t="shared" si="8"/>
        <v>364</v>
      </c>
      <c r="AC10" s="147">
        <f t="shared" si="9"/>
        <v>3276</v>
      </c>
      <c r="AD10" s="146">
        <f t="shared" si="10"/>
        <v>18.373527762198542</v>
      </c>
      <c r="AE10" s="150"/>
      <c r="AF10" s="144" t="s">
        <v>233</v>
      </c>
      <c r="AG10" s="145">
        <v>18350</v>
      </c>
      <c r="AH10" s="146">
        <v>14190</v>
      </c>
      <c r="AI10" s="146">
        <f t="shared" si="11"/>
        <v>416</v>
      </c>
      <c r="AJ10" s="147">
        <f t="shared" si="12"/>
        <v>3744</v>
      </c>
      <c r="AK10" s="146">
        <f t="shared" si="13"/>
        <v>20.403269754768392</v>
      </c>
    </row>
    <row r="11" spans="2:37" x14ac:dyDescent="0.3">
      <c r="B11" s="151"/>
      <c r="C11" s="203" t="s">
        <v>234</v>
      </c>
      <c r="D11" s="265">
        <v>19500</v>
      </c>
      <c r="E11" s="204">
        <v>16044</v>
      </c>
      <c r="F11" s="204">
        <f t="shared" si="0"/>
        <v>346</v>
      </c>
      <c r="G11" s="204">
        <f t="shared" si="1"/>
        <v>3110</v>
      </c>
      <c r="H11" s="205">
        <f t="shared" si="14"/>
        <v>15.948717948717949</v>
      </c>
      <c r="I11" s="151"/>
      <c r="K11" s="144" t="s">
        <v>234</v>
      </c>
      <c r="L11" s="145">
        <v>18750</v>
      </c>
      <c r="M11" s="146">
        <v>16044</v>
      </c>
      <c r="N11" s="146">
        <f t="shared" si="2"/>
        <v>271</v>
      </c>
      <c r="O11" s="147">
        <f t="shared" si="3"/>
        <v>2435</v>
      </c>
      <c r="P11" s="148">
        <f t="shared" si="4"/>
        <v>12.986666666666666</v>
      </c>
      <c r="Q11" s="149"/>
      <c r="R11" s="144" t="s">
        <v>234</v>
      </c>
      <c r="S11" s="145">
        <v>19340</v>
      </c>
      <c r="T11" s="146">
        <v>16044</v>
      </c>
      <c r="U11" s="146">
        <f t="shared" si="5"/>
        <v>330</v>
      </c>
      <c r="V11" s="147">
        <f t="shared" si="6"/>
        <v>2966</v>
      </c>
      <c r="W11" s="146">
        <f t="shared" si="7"/>
        <v>15.336091003102378</v>
      </c>
      <c r="X11" s="149"/>
      <c r="Y11" s="144" t="s">
        <v>234</v>
      </c>
      <c r="Z11" s="145">
        <v>20150</v>
      </c>
      <c r="AA11" s="146">
        <v>16044</v>
      </c>
      <c r="AB11" s="146">
        <f t="shared" si="8"/>
        <v>411</v>
      </c>
      <c r="AC11" s="147">
        <f t="shared" si="9"/>
        <v>3695</v>
      </c>
      <c r="AD11" s="146">
        <f t="shared" si="10"/>
        <v>18.337468982630273</v>
      </c>
      <c r="AE11" s="150"/>
      <c r="AF11" s="144" t="s">
        <v>234</v>
      </c>
      <c r="AG11" s="145">
        <v>20720</v>
      </c>
      <c r="AH11" s="146">
        <v>16044</v>
      </c>
      <c r="AI11" s="146">
        <f t="shared" si="11"/>
        <v>468</v>
      </c>
      <c r="AJ11" s="147">
        <f t="shared" si="12"/>
        <v>4208</v>
      </c>
      <c r="AK11" s="146">
        <f t="shared" si="13"/>
        <v>20.308880308880308</v>
      </c>
    </row>
    <row r="12" spans="2:37" x14ac:dyDescent="0.3">
      <c r="B12" s="151"/>
      <c r="C12" s="203" t="s">
        <v>184</v>
      </c>
      <c r="D12" s="265">
        <v>20100</v>
      </c>
      <c r="E12" s="204">
        <v>16519</v>
      </c>
      <c r="F12" s="204">
        <f t="shared" si="0"/>
        <v>359</v>
      </c>
      <c r="G12" s="204">
        <f t="shared" si="1"/>
        <v>3222</v>
      </c>
      <c r="H12" s="205">
        <f t="shared" si="14"/>
        <v>16.029850746268657</v>
      </c>
      <c r="I12" s="151"/>
      <c r="K12" s="144" t="s">
        <v>184</v>
      </c>
      <c r="L12" s="145">
        <v>19300</v>
      </c>
      <c r="M12" s="146">
        <v>16519</v>
      </c>
      <c r="N12" s="146">
        <f t="shared" si="2"/>
        <v>279</v>
      </c>
      <c r="O12" s="147">
        <f t="shared" si="3"/>
        <v>2502</v>
      </c>
      <c r="P12" s="148">
        <f t="shared" si="4"/>
        <v>12.963730569948186</v>
      </c>
      <c r="Q12" s="149"/>
      <c r="R12" s="144" t="s">
        <v>184</v>
      </c>
      <c r="S12" s="145">
        <v>19910</v>
      </c>
      <c r="T12" s="146">
        <v>16519</v>
      </c>
      <c r="U12" s="146">
        <f t="shared" si="5"/>
        <v>340</v>
      </c>
      <c r="V12" s="147">
        <f t="shared" si="6"/>
        <v>3051</v>
      </c>
      <c r="W12" s="146">
        <f t="shared" si="7"/>
        <v>15.323957810145656</v>
      </c>
      <c r="X12" s="149"/>
      <c r="Y12" s="144" t="s">
        <v>184</v>
      </c>
      <c r="Z12" s="145">
        <v>20750</v>
      </c>
      <c r="AA12" s="146">
        <v>16519</v>
      </c>
      <c r="AB12" s="146">
        <f t="shared" si="8"/>
        <v>424</v>
      </c>
      <c r="AC12" s="147">
        <f t="shared" si="9"/>
        <v>3807</v>
      </c>
      <c r="AD12" s="146">
        <f t="shared" si="10"/>
        <v>18.346987951807229</v>
      </c>
      <c r="AE12" s="150"/>
      <c r="AF12" s="144" t="s">
        <v>184</v>
      </c>
      <c r="AG12" s="145">
        <v>21350</v>
      </c>
      <c r="AH12" s="146">
        <v>16519</v>
      </c>
      <c r="AI12" s="146">
        <f t="shared" si="11"/>
        <v>484</v>
      </c>
      <c r="AJ12" s="147">
        <f t="shared" si="12"/>
        <v>4347</v>
      </c>
      <c r="AK12" s="146">
        <f t="shared" si="13"/>
        <v>20.360655737704921</v>
      </c>
    </row>
    <row r="13" spans="2:37" x14ac:dyDescent="0.3">
      <c r="B13" s="151"/>
      <c r="C13" s="203" t="s">
        <v>235</v>
      </c>
      <c r="D13" s="265">
        <v>20700</v>
      </c>
      <c r="E13" s="204">
        <v>16906</v>
      </c>
      <c r="F13" s="204">
        <f t="shared" si="0"/>
        <v>380</v>
      </c>
      <c r="G13" s="204">
        <f t="shared" si="1"/>
        <v>3414</v>
      </c>
      <c r="H13" s="205">
        <f t="shared" si="14"/>
        <v>16.492753623188406</v>
      </c>
      <c r="I13" s="151"/>
      <c r="K13" s="144" t="s">
        <v>238</v>
      </c>
      <c r="L13" s="145">
        <v>16600</v>
      </c>
      <c r="M13" s="146">
        <v>14190</v>
      </c>
      <c r="N13" s="146">
        <f t="shared" si="2"/>
        <v>241</v>
      </c>
      <c r="O13" s="147">
        <f t="shared" si="3"/>
        <v>2169</v>
      </c>
      <c r="P13" s="148">
        <f t="shared" si="4"/>
        <v>13.066265060240964</v>
      </c>
      <c r="Q13" s="149"/>
      <c r="R13" s="144" t="s">
        <v>238</v>
      </c>
      <c r="S13" s="145">
        <v>17110</v>
      </c>
      <c r="T13" s="146">
        <v>14190</v>
      </c>
      <c r="U13" s="146">
        <f t="shared" si="5"/>
        <v>292</v>
      </c>
      <c r="V13" s="147">
        <f t="shared" si="6"/>
        <v>2628</v>
      </c>
      <c r="W13" s="146">
        <f t="shared" si="7"/>
        <v>15.359438924605495</v>
      </c>
      <c r="X13" s="149"/>
      <c r="Y13" s="144" t="s">
        <v>238</v>
      </c>
      <c r="Z13" s="145">
        <v>17830</v>
      </c>
      <c r="AA13" s="146">
        <v>14190</v>
      </c>
      <c r="AB13" s="146">
        <f t="shared" si="8"/>
        <v>364</v>
      </c>
      <c r="AC13" s="147">
        <f t="shared" si="9"/>
        <v>3276</v>
      </c>
      <c r="AD13" s="146">
        <f t="shared" si="10"/>
        <v>18.373527762198542</v>
      </c>
      <c r="AE13" s="150"/>
      <c r="AF13" s="144" t="s">
        <v>238</v>
      </c>
      <c r="AG13" s="145">
        <v>18350</v>
      </c>
      <c r="AH13" s="146">
        <v>14190</v>
      </c>
      <c r="AI13" s="146">
        <f t="shared" si="11"/>
        <v>416</v>
      </c>
      <c r="AJ13" s="147">
        <f t="shared" si="12"/>
        <v>3744</v>
      </c>
      <c r="AK13" s="146">
        <f t="shared" si="13"/>
        <v>20.403269754768392</v>
      </c>
    </row>
    <row r="14" spans="2:37" x14ac:dyDescent="0.3">
      <c r="B14" s="151"/>
      <c r="C14" s="203">
        <v>150</v>
      </c>
      <c r="D14" s="265">
        <v>15000</v>
      </c>
      <c r="E14" s="204">
        <v>11983</v>
      </c>
      <c r="F14" s="204">
        <f t="shared" si="0"/>
        <v>302</v>
      </c>
      <c r="G14" s="204">
        <f t="shared" si="1"/>
        <v>2715</v>
      </c>
      <c r="H14" s="205">
        <f t="shared" si="14"/>
        <v>18.099999999999998</v>
      </c>
      <c r="I14" s="151"/>
      <c r="K14" s="144" t="s">
        <v>235</v>
      </c>
      <c r="L14" s="145">
        <v>19750</v>
      </c>
      <c r="M14" s="146">
        <v>16906</v>
      </c>
      <c r="N14" s="146">
        <f t="shared" si="2"/>
        <v>285</v>
      </c>
      <c r="O14" s="147">
        <f t="shared" si="3"/>
        <v>2559</v>
      </c>
      <c r="P14" s="148">
        <f t="shared" si="4"/>
        <v>12.956962025316457</v>
      </c>
      <c r="Q14" s="149"/>
      <c r="R14" s="144" t="s">
        <v>235</v>
      </c>
      <c r="S14" s="145">
        <v>20370</v>
      </c>
      <c r="T14" s="146">
        <v>16906</v>
      </c>
      <c r="U14" s="146">
        <f t="shared" si="5"/>
        <v>347</v>
      </c>
      <c r="V14" s="147">
        <f t="shared" si="6"/>
        <v>3117</v>
      </c>
      <c r="W14" s="146">
        <f t="shared" si="7"/>
        <v>15.301914580265096</v>
      </c>
      <c r="X14" s="149"/>
      <c r="Y14" s="144" t="s">
        <v>235</v>
      </c>
      <c r="Z14" s="145">
        <v>21230</v>
      </c>
      <c r="AA14" s="146">
        <v>16906</v>
      </c>
      <c r="AB14" s="146">
        <f t="shared" si="8"/>
        <v>433</v>
      </c>
      <c r="AC14" s="147">
        <f t="shared" si="9"/>
        <v>3891</v>
      </c>
      <c r="AD14" s="146">
        <f t="shared" si="10"/>
        <v>18.327837965143665</v>
      </c>
      <c r="AE14" s="150"/>
      <c r="AF14" s="144" t="s">
        <v>235</v>
      </c>
      <c r="AG14" s="145">
        <v>21900</v>
      </c>
      <c r="AH14" s="146">
        <v>16906</v>
      </c>
      <c r="AI14" s="146">
        <f t="shared" si="11"/>
        <v>500</v>
      </c>
      <c r="AJ14" s="147">
        <f t="shared" si="12"/>
        <v>4494</v>
      </c>
      <c r="AK14" s="146">
        <f t="shared" si="13"/>
        <v>20.520547945205479</v>
      </c>
    </row>
    <row r="15" spans="2:37" x14ac:dyDescent="0.3">
      <c r="B15" s="151"/>
      <c r="C15" s="203">
        <v>180</v>
      </c>
      <c r="D15" s="265">
        <v>17300</v>
      </c>
      <c r="E15" s="204">
        <v>13777</v>
      </c>
      <c r="F15" s="204">
        <f t="shared" si="0"/>
        <v>353</v>
      </c>
      <c r="G15" s="204">
        <f t="shared" si="1"/>
        <v>3170</v>
      </c>
      <c r="H15" s="205">
        <f t="shared" si="14"/>
        <v>18.323699421965316</v>
      </c>
      <c r="I15" s="151"/>
      <c r="K15" s="144">
        <v>150</v>
      </c>
      <c r="L15" s="145">
        <v>14140</v>
      </c>
      <c r="M15" s="146">
        <v>11983</v>
      </c>
      <c r="N15" s="146">
        <f t="shared" si="2"/>
        <v>216</v>
      </c>
      <c r="O15" s="147">
        <f t="shared" si="3"/>
        <v>1941</v>
      </c>
      <c r="P15" s="148">
        <f t="shared" si="4"/>
        <v>13.727015558698726</v>
      </c>
      <c r="Q15" s="149"/>
      <c r="R15" s="144">
        <v>150</v>
      </c>
      <c r="S15" s="145">
        <v>14580</v>
      </c>
      <c r="T15" s="146">
        <v>11983</v>
      </c>
      <c r="U15" s="146">
        <f t="shared" si="5"/>
        <v>260</v>
      </c>
      <c r="V15" s="147">
        <f t="shared" si="6"/>
        <v>2337</v>
      </c>
      <c r="W15" s="146">
        <f t="shared" si="7"/>
        <v>16.02880658436214</v>
      </c>
      <c r="X15" s="149"/>
      <c r="Y15" s="144">
        <v>150</v>
      </c>
      <c r="Z15" s="145">
        <v>15180</v>
      </c>
      <c r="AA15" s="146">
        <v>11983</v>
      </c>
      <c r="AB15" s="146">
        <f t="shared" ref="AB15:AB25" si="15">ROUNDUP((Z15*0.1) -(AA15*0.1), 0)</f>
        <v>320</v>
      </c>
      <c r="AC15" s="147">
        <f t="shared" ref="AC15:AC25" si="16">Z15-AA15-AB15</f>
        <v>2877</v>
      </c>
      <c r="AD15" s="146">
        <f t="shared" ref="AD15:AD25" si="17">AC15/Z15*100</f>
        <v>18.952569169960473</v>
      </c>
      <c r="AE15" s="150"/>
      <c r="AF15" s="144">
        <v>150</v>
      </c>
      <c r="AG15" s="145">
        <v>15630</v>
      </c>
      <c r="AH15" s="146">
        <v>11983</v>
      </c>
      <c r="AI15" s="146">
        <f t="shared" ref="AI15:AI25" si="18">ROUNDUP((AG15*0.1) -(AH15*0.1), 0)</f>
        <v>365</v>
      </c>
      <c r="AJ15" s="147">
        <f t="shared" ref="AJ15:AJ25" si="19">AG15-AH15-AI15</f>
        <v>3282</v>
      </c>
      <c r="AK15" s="146">
        <f t="shared" ref="AK15:AK25" si="20">AJ15/AG15*100</f>
        <v>20.998080614203456</v>
      </c>
    </row>
    <row r="16" spans="2:37" x14ac:dyDescent="0.3">
      <c r="B16" s="151"/>
      <c r="C16" s="203">
        <v>200</v>
      </c>
      <c r="D16" s="265">
        <v>18800</v>
      </c>
      <c r="E16" s="204">
        <v>14963</v>
      </c>
      <c r="F16" s="204">
        <f t="shared" si="0"/>
        <v>384</v>
      </c>
      <c r="G16" s="204">
        <f t="shared" si="1"/>
        <v>3453</v>
      </c>
      <c r="H16" s="205">
        <f t="shared" si="14"/>
        <v>18.367021276595743</v>
      </c>
      <c r="I16" s="151"/>
      <c r="K16" s="144">
        <v>160</v>
      </c>
      <c r="L16" s="145">
        <v>14840</v>
      </c>
      <c r="M16" s="146">
        <v>12590</v>
      </c>
      <c r="N16" s="146">
        <f t="shared" si="2"/>
        <v>225</v>
      </c>
      <c r="O16" s="147">
        <f t="shared" si="3"/>
        <v>2025</v>
      </c>
      <c r="P16" s="148">
        <f t="shared" si="4"/>
        <v>13.645552560646902</v>
      </c>
      <c r="Q16" s="149"/>
      <c r="R16" s="144">
        <v>160</v>
      </c>
      <c r="S16" s="145">
        <v>15310</v>
      </c>
      <c r="T16" s="146">
        <v>12590</v>
      </c>
      <c r="U16" s="146">
        <f t="shared" si="5"/>
        <v>272</v>
      </c>
      <c r="V16" s="147">
        <f t="shared" si="6"/>
        <v>2448</v>
      </c>
      <c r="W16" s="146">
        <f t="shared" si="7"/>
        <v>15.989549314173743</v>
      </c>
      <c r="X16" s="149"/>
      <c r="Y16" s="144">
        <v>160</v>
      </c>
      <c r="Z16" s="145">
        <v>15940</v>
      </c>
      <c r="AA16" s="146">
        <v>12590</v>
      </c>
      <c r="AB16" s="146">
        <f t="shared" si="15"/>
        <v>335</v>
      </c>
      <c r="AC16" s="147">
        <f t="shared" si="16"/>
        <v>3015</v>
      </c>
      <c r="AD16" s="146">
        <f t="shared" si="17"/>
        <v>18.914680050188206</v>
      </c>
      <c r="AE16" s="150"/>
      <c r="AF16" s="144">
        <v>160</v>
      </c>
      <c r="AG16" s="145">
        <v>16400</v>
      </c>
      <c r="AH16" s="146">
        <v>12590</v>
      </c>
      <c r="AI16" s="146">
        <f t="shared" si="18"/>
        <v>381</v>
      </c>
      <c r="AJ16" s="147">
        <f t="shared" si="19"/>
        <v>3429</v>
      </c>
      <c r="AK16" s="146">
        <f t="shared" si="20"/>
        <v>20.908536585365852</v>
      </c>
    </row>
    <row r="17" spans="2:37" x14ac:dyDescent="0.3">
      <c r="B17" s="151"/>
      <c r="C17" s="203">
        <v>300</v>
      </c>
      <c r="D17" s="265">
        <v>26600</v>
      </c>
      <c r="E17" s="204">
        <v>21207</v>
      </c>
      <c r="F17" s="204">
        <f t="shared" si="0"/>
        <v>540</v>
      </c>
      <c r="G17" s="204">
        <f t="shared" si="1"/>
        <v>4853</v>
      </c>
      <c r="H17" s="205">
        <f t="shared" si="14"/>
        <v>18.244360902255639</v>
      </c>
      <c r="I17" s="151"/>
      <c r="K17" s="144">
        <v>180</v>
      </c>
      <c r="L17" s="145">
        <v>16220</v>
      </c>
      <c r="M17" s="146">
        <v>13777</v>
      </c>
      <c r="N17" s="146">
        <f t="shared" si="2"/>
        <v>245</v>
      </c>
      <c r="O17" s="147">
        <f t="shared" si="3"/>
        <v>2198</v>
      </c>
      <c r="P17" s="148">
        <f t="shared" si="4"/>
        <v>13.551171393341555</v>
      </c>
      <c r="Q17" s="149"/>
      <c r="R17" s="144">
        <v>180</v>
      </c>
      <c r="S17" s="145">
        <v>16730</v>
      </c>
      <c r="T17" s="146">
        <v>13777</v>
      </c>
      <c r="U17" s="146">
        <f t="shared" si="5"/>
        <v>296</v>
      </c>
      <c r="V17" s="147">
        <f t="shared" si="6"/>
        <v>2657</v>
      </c>
      <c r="W17" s="146">
        <f t="shared" si="7"/>
        <v>15.881649731022115</v>
      </c>
      <c r="X17" s="149"/>
      <c r="Y17" s="144">
        <v>180</v>
      </c>
      <c r="Z17" s="145">
        <v>17430</v>
      </c>
      <c r="AA17" s="146">
        <v>13777</v>
      </c>
      <c r="AB17" s="146">
        <f t="shared" si="15"/>
        <v>366</v>
      </c>
      <c r="AC17" s="147">
        <f t="shared" si="16"/>
        <v>3287</v>
      </c>
      <c r="AD17" s="146">
        <f t="shared" si="17"/>
        <v>18.858290304073435</v>
      </c>
      <c r="AE17" s="150"/>
      <c r="AF17" s="144">
        <v>180</v>
      </c>
      <c r="AG17" s="145">
        <v>17920</v>
      </c>
      <c r="AH17" s="146">
        <v>13777</v>
      </c>
      <c r="AI17" s="146">
        <f t="shared" si="18"/>
        <v>415</v>
      </c>
      <c r="AJ17" s="147">
        <f t="shared" si="19"/>
        <v>3728</v>
      </c>
      <c r="AK17" s="146">
        <f t="shared" si="20"/>
        <v>20.803571428571431</v>
      </c>
    </row>
    <row r="18" spans="2:37" x14ac:dyDescent="0.3">
      <c r="B18" s="151"/>
      <c r="C18" s="203">
        <v>150</v>
      </c>
      <c r="D18" s="265">
        <v>15800</v>
      </c>
      <c r="E18" s="204">
        <v>12568</v>
      </c>
      <c r="F18" s="204">
        <f t="shared" si="0"/>
        <v>324</v>
      </c>
      <c r="G18" s="204">
        <f t="shared" si="1"/>
        <v>2908</v>
      </c>
      <c r="H18" s="205">
        <f t="shared" si="14"/>
        <v>18.405063291139239</v>
      </c>
      <c r="I18" s="151"/>
      <c r="K18" s="144">
        <v>200</v>
      </c>
      <c r="L18" s="145">
        <v>17600</v>
      </c>
      <c r="M18" s="146">
        <v>14963</v>
      </c>
      <c r="N18" s="146">
        <f t="shared" si="2"/>
        <v>264</v>
      </c>
      <c r="O18" s="147">
        <f t="shared" si="3"/>
        <v>2373</v>
      </c>
      <c r="P18" s="148">
        <f t="shared" si="4"/>
        <v>13.482954545454545</v>
      </c>
      <c r="Q18" s="149"/>
      <c r="R18" s="144">
        <v>200</v>
      </c>
      <c r="S18" s="145">
        <v>18150</v>
      </c>
      <c r="T18" s="146">
        <v>14963</v>
      </c>
      <c r="U18" s="146">
        <f t="shared" si="5"/>
        <v>319</v>
      </c>
      <c r="V18" s="147">
        <f t="shared" si="6"/>
        <v>2868</v>
      </c>
      <c r="W18" s="146">
        <f t="shared" si="7"/>
        <v>15.801652892561984</v>
      </c>
      <c r="X18" s="149"/>
      <c r="Y18" s="144">
        <v>200</v>
      </c>
      <c r="Z18" s="145">
        <v>18920</v>
      </c>
      <c r="AA18" s="146">
        <v>14963</v>
      </c>
      <c r="AB18" s="146">
        <f t="shared" si="15"/>
        <v>396</v>
      </c>
      <c r="AC18" s="147">
        <f t="shared" si="16"/>
        <v>3561</v>
      </c>
      <c r="AD18" s="146">
        <f t="shared" si="17"/>
        <v>18.82135306553911</v>
      </c>
      <c r="AE18" s="150"/>
      <c r="AF18" s="144">
        <v>200</v>
      </c>
      <c r="AG18" s="145">
        <v>19450</v>
      </c>
      <c r="AH18" s="146">
        <v>14963</v>
      </c>
      <c r="AI18" s="146">
        <f t="shared" si="18"/>
        <v>449</v>
      </c>
      <c r="AJ18" s="147">
        <f t="shared" si="19"/>
        <v>4038</v>
      </c>
      <c r="AK18" s="146">
        <f t="shared" si="20"/>
        <v>20.760925449871465</v>
      </c>
    </row>
    <row r="19" spans="2:37" x14ac:dyDescent="0.3">
      <c r="B19" s="151"/>
      <c r="C19" s="203">
        <v>180</v>
      </c>
      <c r="D19" s="265">
        <v>18150</v>
      </c>
      <c r="E19" s="204">
        <v>14459</v>
      </c>
      <c r="F19" s="204">
        <f t="shared" si="0"/>
        <v>370</v>
      </c>
      <c r="G19" s="204">
        <f t="shared" si="1"/>
        <v>3321</v>
      </c>
      <c r="H19" s="205">
        <f t="shared" si="14"/>
        <v>18.297520661157023</v>
      </c>
      <c r="I19" s="151"/>
      <c r="K19" s="144">
        <v>300</v>
      </c>
      <c r="L19" s="145">
        <v>24550</v>
      </c>
      <c r="M19" s="146">
        <v>21207</v>
      </c>
      <c r="N19" s="146">
        <f t="shared" si="2"/>
        <v>335</v>
      </c>
      <c r="O19" s="147">
        <f t="shared" si="3"/>
        <v>3008</v>
      </c>
      <c r="P19" s="148">
        <f t="shared" si="4"/>
        <v>12.252545824847251</v>
      </c>
      <c r="Q19" s="149"/>
      <c r="R19" s="144">
        <v>300</v>
      </c>
      <c r="S19" s="145">
        <v>25330</v>
      </c>
      <c r="T19" s="146">
        <v>21207</v>
      </c>
      <c r="U19" s="146">
        <f t="shared" si="5"/>
        <v>413</v>
      </c>
      <c r="V19" s="147">
        <f t="shared" si="6"/>
        <v>3710</v>
      </c>
      <c r="W19" s="146">
        <f t="shared" si="7"/>
        <v>14.646664034741413</v>
      </c>
      <c r="X19" s="149"/>
      <c r="Y19" s="144">
        <v>300</v>
      </c>
      <c r="Z19" s="145">
        <v>26400</v>
      </c>
      <c r="AA19" s="146">
        <v>21207</v>
      </c>
      <c r="AB19" s="146">
        <f t="shared" si="15"/>
        <v>520</v>
      </c>
      <c r="AC19" s="147">
        <f t="shared" si="16"/>
        <v>4673</v>
      </c>
      <c r="AD19" s="146">
        <f t="shared" si="17"/>
        <v>17.700757575757574</v>
      </c>
      <c r="AE19" s="150"/>
      <c r="AF19" s="144">
        <v>300</v>
      </c>
      <c r="AG19" s="145">
        <v>27140</v>
      </c>
      <c r="AH19" s="146">
        <v>21207</v>
      </c>
      <c r="AI19" s="146">
        <f t="shared" si="18"/>
        <v>594</v>
      </c>
      <c r="AJ19" s="147">
        <f t="shared" si="19"/>
        <v>5339</v>
      </c>
      <c r="AK19" s="146">
        <f t="shared" si="20"/>
        <v>19.672070744288874</v>
      </c>
    </row>
    <row r="20" spans="2:37" x14ac:dyDescent="0.3">
      <c r="B20" s="151"/>
      <c r="C20" s="203">
        <v>200</v>
      </c>
      <c r="D20" s="265">
        <v>19700</v>
      </c>
      <c r="E20" s="204">
        <v>15710</v>
      </c>
      <c r="F20" s="204">
        <f t="shared" si="0"/>
        <v>399</v>
      </c>
      <c r="G20" s="204">
        <f t="shared" si="1"/>
        <v>3591</v>
      </c>
      <c r="H20" s="205">
        <f t="shared" si="14"/>
        <v>18.228426395939088</v>
      </c>
      <c r="I20" s="151"/>
      <c r="K20" s="144">
        <v>160</v>
      </c>
      <c r="L20" s="145">
        <v>15550</v>
      </c>
      <c r="M20" s="146">
        <v>13208</v>
      </c>
      <c r="N20" s="146">
        <f t="shared" si="2"/>
        <v>235</v>
      </c>
      <c r="O20" s="147">
        <f t="shared" si="3"/>
        <v>2107</v>
      </c>
      <c r="P20" s="148">
        <f t="shared" si="4"/>
        <v>13.54983922829582</v>
      </c>
      <c r="Q20" s="149"/>
      <c r="R20" s="144">
        <v>160</v>
      </c>
      <c r="S20" s="145">
        <v>16050</v>
      </c>
      <c r="T20" s="146">
        <v>13208</v>
      </c>
      <c r="U20" s="146">
        <f t="shared" si="5"/>
        <v>285</v>
      </c>
      <c r="V20" s="147">
        <f t="shared" si="6"/>
        <v>2557</v>
      </c>
      <c r="W20" s="146">
        <f t="shared" si="7"/>
        <v>15.931464174454829</v>
      </c>
      <c r="X20" s="149"/>
      <c r="Y20" s="144">
        <v>160</v>
      </c>
      <c r="Z20" s="145">
        <v>16720</v>
      </c>
      <c r="AA20" s="146">
        <v>13208</v>
      </c>
      <c r="AB20" s="146">
        <f t="shared" si="15"/>
        <v>352</v>
      </c>
      <c r="AC20" s="147">
        <f t="shared" si="16"/>
        <v>3160</v>
      </c>
      <c r="AD20" s="146">
        <f t="shared" si="17"/>
        <v>18.899521531100476</v>
      </c>
      <c r="AE20" s="150"/>
      <c r="AF20" s="144">
        <v>160</v>
      </c>
      <c r="AG20" s="145">
        <v>17200</v>
      </c>
      <c r="AH20" s="146">
        <v>13208</v>
      </c>
      <c r="AI20" s="146">
        <f t="shared" si="18"/>
        <v>400</v>
      </c>
      <c r="AJ20" s="147">
        <f t="shared" si="19"/>
        <v>3592</v>
      </c>
      <c r="AK20" s="146">
        <f t="shared" si="20"/>
        <v>20.883720930232556</v>
      </c>
    </row>
    <row r="21" spans="2:37" x14ac:dyDescent="0.3">
      <c r="B21" s="151"/>
      <c r="C21" s="203">
        <v>300</v>
      </c>
      <c r="D21" s="265">
        <v>27600</v>
      </c>
      <c r="E21" s="204">
        <v>21993</v>
      </c>
      <c r="F21" s="204">
        <f t="shared" si="0"/>
        <v>561</v>
      </c>
      <c r="G21" s="204">
        <f t="shared" si="1"/>
        <v>5046</v>
      </c>
      <c r="H21" s="205">
        <f t="shared" si="14"/>
        <v>18.282608695652176</v>
      </c>
      <c r="I21" s="151"/>
      <c r="K21" s="144">
        <v>180</v>
      </c>
      <c r="L21" s="145">
        <v>17000</v>
      </c>
      <c r="M21" s="146">
        <v>14459</v>
      </c>
      <c r="N21" s="146">
        <f t="shared" si="2"/>
        <v>255</v>
      </c>
      <c r="O21" s="147">
        <f t="shared" si="3"/>
        <v>2286</v>
      </c>
      <c r="P21" s="148">
        <f t="shared" si="4"/>
        <v>13.447058823529412</v>
      </c>
      <c r="Q21" s="149"/>
      <c r="R21" s="144">
        <v>180</v>
      </c>
      <c r="S21" s="145">
        <v>17550</v>
      </c>
      <c r="T21" s="146">
        <v>14459</v>
      </c>
      <c r="U21" s="146">
        <f t="shared" si="5"/>
        <v>310</v>
      </c>
      <c r="V21" s="147">
        <f t="shared" si="6"/>
        <v>2781</v>
      </c>
      <c r="W21" s="146">
        <f t="shared" si="7"/>
        <v>15.846153846153847</v>
      </c>
      <c r="X21" s="149"/>
      <c r="Y21" s="144">
        <v>180</v>
      </c>
      <c r="Z21" s="145">
        <v>18280</v>
      </c>
      <c r="AA21" s="146">
        <v>14459</v>
      </c>
      <c r="AB21" s="146">
        <f t="shared" si="15"/>
        <v>383</v>
      </c>
      <c r="AC21" s="147">
        <f t="shared" si="16"/>
        <v>3438</v>
      </c>
      <c r="AD21" s="146">
        <f t="shared" si="17"/>
        <v>18.807439824945295</v>
      </c>
      <c r="AE21" s="150"/>
      <c r="AF21" s="144">
        <v>180</v>
      </c>
      <c r="AG21" s="145">
        <v>18800</v>
      </c>
      <c r="AH21" s="146">
        <v>14459</v>
      </c>
      <c r="AI21" s="146">
        <f t="shared" si="18"/>
        <v>435</v>
      </c>
      <c r="AJ21" s="147">
        <f t="shared" si="19"/>
        <v>3906</v>
      </c>
      <c r="AK21" s="146">
        <f t="shared" si="20"/>
        <v>20.776595744680851</v>
      </c>
    </row>
    <row r="22" spans="2:37" x14ac:dyDescent="0.3">
      <c r="B22" s="151"/>
      <c r="C22" s="203" t="s">
        <v>236</v>
      </c>
      <c r="D22" s="265">
        <v>11600</v>
      </c>
      <c r="E22" s="204">
        <v>9000</v>
      </c>
      <c r="F22" s="204">
        <f t="shared" si="0"/>
        <v>260</v>
      </c>
      <c r="G22" s="204">
        <f t="shared" si="1"/>
        <v>2340</v>
      </c>
      <c r="H22" s="205">
        <f t="shared" si="14"/>
        <v>20.172413793103448</v>
      </c>
      <c r="I22" s="151"/>
      <c r="K22" s="144">
        <v>200</v>
      </c>
      <c r="L22" s="145">
        <v>18500</v>
      </c>
      <c r="M22" s="146">
        <v>15710</v>
      </c>
      <c r="N22" s="146">
        <f t="shared" si="2"/>
        <v>279</v>
      </c>
      <c r="O22" s="147">
        <f t="shared" si="3"/>
        <v>2511</v>
      </c>
      <c r="P22" s="148">
        <f t="shared" si="4"/>
        <v>13.572972972972973</v>
      </c>
      <c r="Q22" s="149"/>
      <c r="R22" s="144">
        <v>200</v>
      </c>
      <c r="S22" s="145">
        <v>19050</v>
      </c>
      <c r="T22" s="146">
        <v>15710</v>
      </c>
      <c r="U22" s="146">
        <f t="shared" si="5"/>
        <v>334</v>
      </c>
      <c r="V22" s="147">
        <f t="shared" si="6"/>
        <v>3006</v>
      </c>
      <c r="W22" s="146">
        <f t="shared" si="7"/>
        <v>15.779527559055119</v>
      </c>
      <c r="X22" s="149"/>
      <c r="Y22" s="144">
        <v>200</v>
      </c>
      <c r="Z22" s="145">
        <v>19840</v>
      </c>
      <c r="AA22" s="146">
        <v>15710</v>
      </c>
      <c r="AB22" s="146">
        <f t="shared" si="15"/>
        <v>413</v>
      </c>
      <c r="AC22" s="147">
        <f t="shared" si="16"/>
        <v>3717</v>
      </c>
      <c r="AD22" s="146">
        <f t="shared" si="17"/>
        <v>18.734879032258064</v>
      </c>
      <c r="AE22" s="150"/>
      <c r="AF22" s="144">
        <v>200</v>
      </c>
      <c r="AG22" s="145">
        <v>20420</v>
      </c>
      <c r="AH22" s="146">
        <v>15710</v>
      </c>
      <c r="AI22" s="146">
        <f t="shared" si="18"/>
        <v>471</v>
      </c>
      <c r="AJ22" s="147">
        <f t="shared" si="19"/>
        <v>4239</v>
      </c>
      <c r="AK22" s="146">
        <f t="shared" si="20"/>
        <v>20.759059745347699</v>
      </c>
    </row>
    <row r="23" spans="2:37" x14ac:dyDescent="0.3">
      <c r="B23" s="151"/>
      <c r="C23" s="203" t="s">
        <v>237</v>
      </c>
      <c r="D23" s="265">
        <v>20600</v>
      </c>
      <c r="E23" s="204">
        <v>16000</v>
      </c>
      <c r="F23" s="204">
        <f t="shared" si="0"/>
        <v>460</v>
      </c>
      <c r="G23" s="204">
        <f t="shared" si="1"/>
        <v>4140</v>
      </c>
      <c r="H23" s="205">
        <f t="shared" si="14"/>
        <v>20.097087378640776</v>
      </c>
      <c r="I23" s="151"/>
      <c r="K23" s="144">
        <v>300</v>
      </c>
      <c r="L23" s="145">
        <v>25800</v>
      </c>
      <c r="M23" s="146">
        <v>21993</v>
      </c>
      <c r="N23" s="146">
        <f t="shared" si="2"/>
        <v>381</v>
      </c>
      <c r="O23" s="147">
        <f t="shared" si="3"/>
        <v>3426</v>
      </c>
      <c r="P23" s="148">
        <f t="shared" si="4"/>
        <v>13.279069767441861</v>
      </c>
      <c r="Q23" s="149"/>
      <c r="R23" s="144">
        <v>300</v>
      </c>
      <c r="S23" s="145">
        <v>26600</v>
      </c>
      <c r="T23" s="146">
        <v>21993</v>
      </c>
      <c r="U23" s="146">
        <f t="shared" si="5"/>
        <v>461</v>
      </c>
      <c r="V23" s="147">
        <f t="shared" si="6"/>
        <v>4146</v>
      </c>
      <c r="W23" s="146">
        <f t="shared" si="7"/>
        <v>15.586466165413535</v>
      </c>
      <c r="X23" s="149"/>
      <c r="Y23" s="144">
        <v>300</v>
      </c>
      <c r="Z23" s="145">
        <v>27700</v>
      </c>
      <c r="AA23" s="146">
        <v>21993</v>
      </c>
      <c r="AB23" s="146">
        <f t="shared" si="15"/>
        <v>571</v>
      </c>
      <c r="AC23" s="147">
        <f t="shared" si="16"/>
        <v>5136</v>
      </c>
      <c r="AD23" s="146">
        <f t="shared" si="17"/>
        <v>18.541516245487362</v>
      </c>
      <c r="AE23" s="150"/>
      <c r="AF23" s="144">
        <v>300</v>
      </c>
      <c r="AG23" s="145">
        <v>28500</v>
      </c>
      <c r="AH23" s="146">
        <v>21993</v>
      </c>
      <c r="AI23" s="146">
        <f t="shared" si="18"/>
        <v>651</v>
      </c>
      <c r="AJ23" s="147">
        <f t="shared" si="19"/>
        <v>5856</v>
      </c>
      <c r="AK23" s="146">
        <f t="shared" si="20"/>
        <v>20.547368421052632</v>
      </c>
    </row>
    <row r="24" spans="2:37" x14ac:dyDescent="0.3">
      <c r="B24" s="151"/>
      <c r="C24" s="151"/>
      <c r="D24" s="151"/>
      <c r="E24" s="151"/>
      <c r="F24" s="151"/>
      <c r="G24" s="151"/>
      <c r="H24" s="151"/>
      <c r="I24" s="151"/>
      <c r="K24" s="144" t="s">
        <v>236</v>
      </c>
      <c r="L24" s="145">
        <v>10500</v>
      </c>
      <c r="M24" s="146">
        <v>9000</v>
      </c>
      <c r="N24" s="146">
        <f t="shared" si="2"/>
        <v>150</v>
      </c>
      <c r="O24" s="147">
        <f t="shared" si="3"/>
        <v>1350</v>
      </c>
      <c r="P24" s="148">
        <f t="shared" si="4"/>
        <v>12.857142857142856</v>
      </c>
      <c r="Q24" s="149"/>
      <c r="R24" s="144" t="s">
        <v>236</v>
      </c>
      <c r="S24" s="145">
        <v>10800</v>
      </c>
      <c r="T24" s="146">
        <v>9000</v>
      </c>
      <c r="U24" s="146">
        <f t="shared" si="5"/>
        <v>180</v>
      </c>
      <c r="V24" s="147">
        <f t="shared" si="6"/>
        <v>1620</v>
      </c>
      <c r="W24" s="146">
        <f t="shared" si="7"/>
        <v>15</v>
      </c>
      <c r="X24" s="149"/>
      <c r="Y24" s="144" t="s">
        <v>236</v>
      </c>
      <c r="Z24" s="145">
        <v>11250</v>
      </c>
      <c r="AA24" s="146">
        <v>9000</v>
      </c>
      <c r="AB24" s="146">
        <f t="shared" si="15"/>
        <v>225</v>
      </c>
      <c r="AC24" s="147">
        <f t="shared" si="16"/>
        <v>2025</v>
      </c>
      <c r="AD24" s="146">
        <f t="shared" si="17"/>
        <v>18</v>
      </c>
      <c r="AE24" s="150"/>
      <c r="AF24" s="144" t="s">
        <v>236</v>
      </c>
      <c r="AG24" s="145">
        <v>11570</v>
      </c>
      <c r="AH24" s="146">
        <v>9000</v>
      </c>
      <c r="AI24" s="146">
        <f t="shared" si="18"/>
        <v>257</v>
      </c>
      <c r="AJ24" s="147">
        <f t="shared" si="19"/>
        <v>2313</v>
      </c>
      <c r="AK24" s="146">
        <f t="shared" si="20"/>
        <v>19.991356957649092</v>
      </c>
    </row>
    <row r="25" spans="2:37" x14ac:dyDescent="0.3">
      <c r="K25" s="144" t="s">
        <v>237</v>
      </c>
      <c r="L25" s="145">
        <v>18600</v>
      </c>
      <c r="M25" s="146">
        <v>16000</v>
      </c>
      <c r="N25" s="146">
        <f t="shared" si="2"/>
        <v>260</v>
      </c>
      <c r="O25" s="147">
        <f t="shared" si="3"/>
        <v>2340</v>
      </c>
      <c r="P25" s="148">
        <f t="shared" si="4"/>
        <v>12.580645161290322</v>
      </c>
      <c r="Q25" s="149"/>
      <c r="R25" s="144" t="s">
        <v>237</v>
      </c>
      <c r="S25" s="145">
        <v>19200</v>
      </c>
      <c r="T25" s="146">
        <v>16000</v>
      </c>
      <c r="U25" s="146">
        <f t="shared" si="5"/>
        <v>320</v>
      </c>
      <c r="V25" s="147">
        <f t="shared" si="6"/>
        <v>2880</v>
      </c>
      <c r="W25" s="146">
        <f t="shared" si="7"/>
        <v>15</v>
      </c>
      <c r="X25" s="149"/>
      <c r="Y25" s="144" t="s">
        <v>237</v>
      </c>
      <c r="Z25" s="145">
        <v>20000</v>
      </c>
      <c r="AA25" s="146">
        <v>16000</v>
      </c>
      <c r="AB25" s="146">
        <f t="shared" si="15"/>
        <v>400</v>
      </c>
      <c r="AC25" s="147">
        <f t="shared" si="16"/>
        <v>3600</v>
      </c>
      <c r="AD25" s="146">
        <f t="shared" si="17"/>
        <v>18</v>
      </c>
      <c r="AE25" s="150"/>
      <c r="AF25" s="144" t="s">
        <v>237</v>
      </c>
      <c r="AG25" s="145">
        <v>20570</v>
      </c>
      <c r="AH25" s="146">
        <v>16000</v>
      </c>
      <c r="AI25" s="146">
        <f t="shared" si="18"/>
        <v>457</v>
      </c>
      <c r="AJ25" s="147">
        <f t="shared" si="19"/>
        <v>4113</v>
      </c>
      <c r="AK25" s="146">
        <f t="shared" si="20"/>
        <v>19.995138551288282</v>
      </c>
    </row>
    <row r="28" spans="2:37" x14ac:dyDescent="0.3">
      <c r="AF28" s="49"/>
      <c r="AG28" s="49"/>
      <c r="AH28" s="49"/>
      <c r="AI28" s="49"/>
      <c r="AJ28" s="49"/>
      <c r="AK28" s="78"/>
    </row>
  </sheetData>
  <mergeCells count="5">
    <mergeCell ref="K2:P2"/>
    <mergeCell ref="Y2:AD2"/>
    <mergeCell ref="AF2:AK2"/>
    <mergeCell ref="C2:H2"/>
    <mergeCell ref="R2:W2"/>
  </mergeCells>
  <phoneticPr fontId="1" type="noConversion"/>
  <pageMargins left="0.7" right="0.7" top="0.75" bottom="0.75" header="0.3" footer="0.3"/>
  <pageSetup paperSize="9" scale="56" fitToHeight="0" orientation="landscape"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I45"/>
  <sheetViews>
    <sheetView zoomScale="85" zoomScaleNormal="85" workbookViewId="0">
      <selection activeCell="W4" sqref="W4"/>
    </sheetView>
  </sheetViews>
  <sheetFormatPr defaultColWidth="9.125" defaultRowHeight="16.5" x14ac:dyDescent="0.3"/>
  <cols>
    <col min="1" max="1" width="2.375" style="64" customWidth="1"/>
    <col min="2" max="2" width="7.875" style="64" bestFit="1" customWidth="1"/>
    <col min="3" max="3" width="8.25" style="100" bestFit="1" customWidth="1"/>
    <col min="4" max="4" width="6.875" style="64" bestFit="1" customWidth="1"/>
    <col min="5" max="5" width="6.25" style="74" bestFit="1" customWidth="1"/>
    <col min="6" max="6" width="6.25" style="64" bestFit="1" customWidth="1"/>
    <col min="7" max="7" width="6" style="64" bestFit="1" customWidth="1"/>
    <col min="8" max="8" width="2.375" style="64" customWidth="1"/>
    <col min="9" max="9" width="7.875" style="114" bestFit="1" customWidth="1"/>
    <col min="10" max="10" width="6.125" style="64" bestFit="1" customWidth="1"/>
    <col min="11" max="12" width="7.875" style="64" bestFit="1" customWidth="1"/>
    <col min="13" max="13" width="6.875" style="64" bestFit="1" customWidth="1"/>
    <col min="14" max="14" width="8" style="64" bestFit="1" customWidth="1"/>
    <col min="15" max="15" width="7.5" style="64" bestFit="1" customWidth="1"/>
    <col min="16" max="16" width="6.5" style="112" bestFit="1" customWidth="1"/>
    <col min="17" max="18" width="6.5" style="64" bestFit="1" customWidth="1"/>
    <col min="19" max="19" width="8.375" style="64" customWidth="1"/>
    <col min="20" max="20" width="6.5" style="64" bestFit="1" customWidth="1"/>
    <col min="21" max="21" width="6.5" style="64" customWidth="1"/>
    <col min="22" max="23" width="6.5" style="64" bestFit="1" customWidth="1"/>
    <col min="24" max="24" width="6.5" style="74" bestFit="1" customWidth="1"/>
    <col min="25" max="26" width="6.875" style="64" bestFit="1" customWidth="1"/>
    <col min="27" max="27" width="6.875" style="74" bestFit="1" customWidth="1"/>
    <col min="28" max="28" width="4.125" style="74" customWidth="1"/>
    <col min="29" max="29" width="7.875" style="64" bestFit="1" customWidth="1"/>
    <col min="30" max="30" width="6.875" style="100" bestFit="1" customWidth="1"/>
    <col min="31" max="31" width="4.75" style="100" bestFit="1" customWidth="1"/>
    <col min="32" max="33" width="7.875" style="100" bestFit="1" customWidth="1"/>
    <col min="34" max="34" width="7.5" style="100" bestFit="1" customWidth="1"/>
    <col min="35" max="35" width="8.25" style="100" bestFit="1" customWidth="1"/>
    <col min="36" max="16384" width="9.125" style="64"/>
  </cols>
  <sheetData>
    <row r="1" spans="2:35" ht="9.75" customHeight="1" x14ac:dyDescent="0.3"/>
    <row r="2" spans="2:35" ht="19.5" x14ac:dyDescent="0.3">
      <c r="B2" s="298" t="s">
        <v>312</v>
      </c>
      <c r="C2" s="299"/>
      <c r="D2" s="299"/>
      <c r="E2" s="299"/>
      <c r="F2" s="299"/>
      <c r="G2" s="300"/>
      <c r="I2" s="310" t="s">
        <v>210</v>
      </c>
      <c r="J2" s="311"/>
      <c r="K2" s="311"/>
      <c r="L2" s="311"/>
      <c r="M2" s="311"/>
      <c r="N2" s="311"/>
      <c r="O2" s="311"/>
      <c r="P2" s="311"/>
      <c r="Q2" s="311"/>
      <c r="R2" s="311"/>
      <c r="S2" s="311"/>
      <c r="T2" s="311"/>
      <c r="U2" s="311"/>
      <c r="V2" s="311"/>
      <c r="W2" s="311"/>
      <c r="X2" s="311"/>
      <c r="Y2" s="311"/>
      <c r="Z2" s="311"/>
      <c r="AA2" s="311"/>
    </row>
    <row r="3" spans="2:35" ht="29.25" customHeight="1" x14ac:dyDescent="0.3">
      <c r="B3" s="92" t="s">
        <v>229</v>
      </c>
      <c r="C3" s="134" t="s">
        <v>371</v>
      </c>
      <c r="D3" s="93" t="s">
        <v>211</v>
      </c>
      <c r="E3" s="93" t="s">
        <v>212</v>
      </c>
      <c r="F3" s="96" t="s">
        <v>214</v>
      </c>
      <c r="G3" s="96" t="s">
        <v>215</v>
      </c>
      <c r="I3" s="65" t="s">
        <v>217</v>
      </c>
      <c r="J3" s="65" t="s">
        <v>218</v>
      </c>
      <c r="K3" s="66" t="s">
        <v>212</v>
      </c>
      <c r="L3" s="75" t="s">
        <v>224</v>
      </c>
      <c r="M3" s="105" t="s">
        <v>340</v>
      </c>
      <c r="N3" s="105" t="s">
        <v>370</v>
      </c>
      <c r="O3" s="104" t="s">
        <v>341</v>
      </c>
      <c r="P3" s="110" t="s">
        <v>344</v>
      </c>
      <c r="Q3" s="66" t="s">
        <v>58</v>
      </c>
      <c r="R3" s="66" t="s">
        <v>213</v>
      </c>
      <c r="S3" s="136" t="s">
        <v>372</v>
      </c>
      <c r="T3" s="66" t="s">
        <v>216</v>
      </c>
      <c r="U3" s="136" t="s">
        <v>417</v>
      </c>
      <c r="V3" s="66" t="s">
        <v>214</v>
      </c>
      <c r="W3" s="67" t="s">
        <v>215</v>
      </c>
      <c r="X3" s="107" t="s">
        <v>221</v>
      </c>
      <c r="Y3" s="87" t="s">
        <v>342</v>
      </c>
      <c r="Z3" s="87" t="s">
        <v>343</v>
      </c>
      <c r="AA3" s="87" t="s">
        <v>376</v>
      </c>
      <c r="AC3" s="66" t="s">
        <v>63</v>
      </c>
      <c r="AD3" s="136" t="s">
        <v>382</v>
      </c>
      <c r="AE3" s="66" t="s">
        <v>64</v>
      </c>
      <c r="AF3" s="66" t="s">
        <v>40</v>
      </c>
      <c r="AG3" s="66" t="s">
        <v>378</v>
      </c>
      <c r="AH3" s="66" t="s">
        <v>377</v>
      </c>
      <c r="AI3" s="66" t="s">
        <v>380</v>
      </c>
    </row>
    <row r="4" spans="2:35" x14ac:dyDescent="0.3">
      <c r="B4" s="80" t="s">
        <v>88</v>
      </c>
      <c r="C4" s="135">
        <v>23500</v>
      </c>
      <c r="D4" s="81">
        <v>22720</v>
      </c>
      <c r="E4" s="81">
        <f>'신규거래처)판매가'!E5</f>
        <v>19680</v>
      </c>
      <c r="F4" s="84">
        <f>D4-E4</f>
        <v>3040</v>
      </c>
      <c r="G4" s="83">
        <f t="shared" ref="G4:G21" si="0">F4/D4*100</f>
        <v>13.380281690140844</v>
      </c>
      <c r="I4" s="99" t="s">
        <v>314</v>
      </c>
      <c r="J4" s="70">
        <v>10</v>
      </c>
      <c r="K4" s="68">
        <f>온라인판매가!E4</f>
        <v>19680</v>
      </c>
      <c r="L4" s="76">
        <f>온라인판매가!D4</f>
        <v>22720</v>
      </c>
      <c r="M4" s="106">
        <f>L4-K4</f>
        <v>3040</v>
      </c>
      <c r="N4" s="106">
        <f t="shared" ref="N4:N21" si="1">ROUNDDOWN(C4/(1-(P4/100)), -1)</f>
        <v>31750</v>
      </c>
      <c r="O4" s="109">
        <f t="shared" ref="O4:O21" si="2">ROUNDDOWN(L4/(1-(P4/100)), -1)</f>
        <v>30700</v>
      </c>
      <c r="P4" s="111">
        <v>26</v>
      </c>
      <c r="Q4" s="68">
        <v>3500</v>
      </c>
      <c r="R4" s="68">
        <f>((O4-Q4)*0.1)-K4*0.1</f>
        <v>752</v>
      </c>
      <c r="S4" s="68">
        <f t="shared" ref="S4:S21" si="3">(O4*0.1)-L4*0.1</f>
        <v>798</v>
      </c>
      <c r="T4" s="68">
        <f t="shared" ref="T4:T21" si="4">(O4-3000)*0.078</f>
        <v>2160.6</v>
      </c>
      <c r="U4" s="68">
        <f>(O4)*0.078</f>
        <v>2394.6</v>
      </c>
      <c r="V4" s="68">
        <f>O4-L4-R4-T4-Q4</f>
        <v>1567.3999999999996</v>
      </c>
      <c r="W4" s="69">
        <f t="shared" ref="W4:W21" si="5">V4/O4*100</f>
        <v>5.1055374592833864</v>
      </c>
      <c r="X4" s="108">
        <f t="shared" ref="X4:X21" si="6">M4+V4</f>
        <v>4607.3999999999996</v>
      </c>
      <c r="Y4" s="88">
        <v>30000</v>
      </c>
      <c r="Z4" s="88">
        <f t="shared" ref="Z4:Z21" si="7">O4-Y4</f>
        <v>700</v>
      </c>
      <c r="AA4" s="154">
        <f>O4-3000</f>
        <v>27700</v>
      </c>
      <c r="AB4" s="64"/>
      <c r="AC4" s="304" t="s">
        <v>381</v>
      </c>
      <c r="AD4" s="307">
        <f>AA4/10</f>
        <v>2770</v>
      </c>
      <c r="AE4" s="70">
        <v>1</v>
      </c>
      <c r="AF4" s="68">
        <f>ROUNDDOWN(AD$4*AE4*1.1, -1)</f>
        <v>3040</v>
      </c>
      <c r="AG4" s="68"/>
      <c r="AH4" s="109">
        <v>3040</v>
      </c>
      <c r="AI4" s="68"/>
    </row>
    <row r="5" spans="2:35" x14ac:dyDescent="0.3">
      <c r="B5" s="80" t="s">
        <v>230</v>
      </c>
      <c r="C5" s="135">
        <v>20500</v>
      </c>
      <c r="D5" s="81">
        <v>19870</v>
      </c>
      <c r="E5" s="81">
        <f>'신규거래처)판매가'!E8</f>
        <v>17046</v>
      </c>
      <c r="F5" s="84">
        <f t="shared" ref="F5:F21" si="8">D5-E5</f>
        <v>2824</v>
      </c>
      <c r="G5" s="83">
        <f t="shared" si="0"/>
        <v>14.212380473074987</v>
      </c>
      <c r="I5" s="99" t="s">
        <v>319</v>
      </c>
      <c r="J5" s="70">
        <v>4</v>
      </c>
      <c r="K5" s="68">
        <f>온라인판매가!E5</f>
        <v>17046</v>
      </c>
      <c r="L5" s="76">
        <f>온라인판매가!D5</f>
        <v>19870</v>
      </c>
      <c r="M5" s="106">
        <f t="shared" ref="M5:M21" si="9">L5-K5</f>
        <v>2824</v>
      </c>
      <c r="N5" s="106">
        <f t="shared" si="1"/>
        <v>28270</v>
      </c>
      <c r="O5" s="109">
        <f t="shared" si="2"/>
        <v>27400</v>
      </c>
      <c r="P5" s="111">
        <v>27.5</v>
      </c>
      <c r="Q5" s="68">
        <v>3500</v>
      </c>
      <c r="R5" s="68">
        <f t="shared" ref="R5:R21" si="10">((O5-Q5)*0.1)-K5*0.1</f>
        <v>685.39999999999986</v>
      </c>
      <c r="S5" s="68">
        <f t="shared" si="3"/>
        <v>753</v>
      </c>
      <c r="T5" s="68">
        <f t="shared" si="4"/>
        <v>1903.2</v>
      </c>
      <c r="U5" s="68">
        <f t="shared" ref="U5:U21" si="11">(O5)*0.078</f>
        <v>2137.1999999999998</v>
      </c>
      <c r="V5" s="68">
        <f t="shared" ref="V5:V21" si="12">O5-L5-R5-T5-Q5</f>
        <v>1441.4000000000005</v>
      </c>
      <c r="W5" s="69">
        <f t="shared" si="5"/>
        <v>5.2605839416058409</v>
      </c>
      <c r="X5" s="108">
        <f t="shared" si="6"/>
        <v>4265.4000000000005</v>
      </c>
      <c r="Y5" s="88">
        <v>26620</v>
      </c>
      <c r="Z5" s="88">
        <f t="shared" si="7"/>
        <v>780</v>
      </c>
      <c r="AA5" s="154">
        <f t="shared" ref="AA5:AA21" si="13">O5-3000</f>
        <v>24400</v>
      </c>
      <c r="AB5" s="64"/>
      <c r="AC5" s="305"/>
      <c r="AD5" s="308"/>
      <c r="AE5" s="156">
        <v>5</v>
      </c>
      <c r="AF5" s="106">
        <f>AF$4*AE5</f>
        <v>15200</v>
      </c>
      <c r="AG5" s="106">
        <f>AD4*AE5</f>
        <v>13850</v>
      </c>
      <c r="AH5" s="109">
        <f>AD$4*AE5+ROUNDUP(AD$4/10, -1)</f>
        <v>14130</v>
      </c>
      <c r="AI5" s="106">
        <f>AF5-AH5</f>
        <v>1070</v>
      </c>
    </row>
    <row r="6" spans="2:35" x14ac:dyDescent="0.3">
      <c r="B6" s="80" t="s">
        <v>313</v>
      </c>
      <c r="C6" s="135">
        <v>14500</v>
      </c>
      <c r="D6" s="81">
        <v>14500</v>
      </c>
      <c r="E6" s="81">
        <f>'신규거래처)판매가'!E9</f>
        <v>12248</v>
      </c>
      <c r="F6" s="84">
        <f t="shared" si="8"/>
        <v>2252</v>
      </c>
      <c r="G6" s="83">
        <f t="shared" si="0"/>
        <v>15.531034482758621</v>
      </c>
      <c r="I6" s="99" t="s">
        <v>106</v>
      </c>
      <c r="J6" s="70">
        <v>3</v>
      </c>
      <c r="K6" s="68">
        <f>온라인판매가!E6</f>
        <v>12248</v>
      </c>
      <c r="L6" s="76">
        <f>온라인판매가!D6</f>
        <v>14500</v>
      </c>
      <c r="M6" s="106">
        <f t="shared" si="9"/>
        <v>2252</v>
      </c>
      <c r="N6" s="106">
        <f t="shared" si="1"/>
        <v>20710</v>
      </c>
      <c r="O6" s="109">
        <v>20400</v>
      </c>
      <c r="P6" s="111">
        <v>30</v>
      </c>
      <c r="Q6" s="68">
        <v>3000</v>
      </c>
      <c r="R6" s="68">
        <f t="shared" si="10"/>
        <v>515.20000000000005</v>
      </c>
      <c r="S6" s="68">
        <f t="shared" si="3"/>
        <v>590</v>
      </c>
      <c r="T6" s="68">
        <f t="shared" si="4"/>
        <v>1357.2</v>
      </c>
      <c r="U6" s="68">
        <f t="shared" si="11"/>
        <v>1591.2</v>
      </c>
      <c r="V6" s="68">
        <f t="shared" si="12"/>
        <v>1027.6000000000004</v>
      </c>
      <c r="W6" s="69">
        <f t="shared" si="5"/>
        <v>5.037254901960786</v>
      </c>
      <c r="X6" s="108">
        <f t="shared" si="6"/>
        <v>3279.6000000000004</v>
      </c>
      <c r="Y6" s="88">
        <v>19900</v>
      </c>
      <c r="Z6" s="88">
        <f t="shared" si="7"/>
        <v>500</v>
      </c>
      <c r="AA6" s="154">
        <f t="shared" si="13"/>
        <v>17400</v>
      </c>
      <c r="AB6" s="64"/>
      <c r="AC6" s="306"/>
      <c r="AD6" s="309"/>
      <c r="AE6" s="156">
        <v>10</v>
      </c>
      <c r="AF6" s="106">
        <f>AF$4*AE6</f>
        <v>30400</v>
      </c>
      <c r="AG6" s="106">
        <f>AD4*AE6</f>
        <v>27700</v>
      </c>
      <c r="AH6" s="109">
        <f>AD$4*AE6</f>
        <v>27700</v>
      </c>
      <c r="AI6" s="106">
        <f>AF6-AH6</f>
        <v>2700</v>
      </c>
    </row>
    <row r="7" spans="2:35" x14ac:dyDescent="0.3">
      <c r="B7" s="80" t="s">
        <v>233</v>
      </c>
      <c r="C7" s="135">
        <v>17500</v>
      </c>
      <c r="D7" s="81">
        <v>17045</v>
      </c>
      <c r="E7" s="81">
        <f>'신규거래처)판매가'!E10</f>
        <v>14190</v>
      </c>
      <c r="F7" s="84">
        <f t="shared" si="8"/>
        <v>2855</v>
      </c>
      <c r="G7" s="83">
        <f t="shared" si="0"/>
        <v>16.749779994133178</v>
      </c>
      <c r="I7" s="99" t="s">
        <v>207</v>
      </c>
      <c r="J7" s="70">
        <v>3</v>
      </c>
      <c r="K7" s="68">
        <f>온라인판매가!E7</f>
        <v>14190</v>
      </c>
      <c r="L7" s="76">
        <f>온라인판매가!D7</f>
        <v>17045</v>
      </c>
      <c r="M7" s="106">
        <f t="shared" si="9"/>
        <v>2855</v>
      </c>
      <c r="N7" s="106">
        <f t="shared" si="1"/>
        <v>25360</v>
      </c>
      <c r="O7" s="109">
        <f t="shared" si="2"/>
        <v>24700</v>
      </c>
      <c r="P7" s="111">
        <v>31</v>
      </c>
      <c r="Q7" s="68">
        <v>3500</v>
      </c>
      <c r="R7" s="68">
        <f t="shared" si="10"/>
        <v>701</v>
      </c>
      <c r="S7" s="68">
        <f t="shared" si="3"/>
        <v>765.5</v>
      </c>
      <c r="T7" s="68">
        <f t="shared" si="4"/>
        <v>1692.6</v>
      </c>
      <c r="U7" s="68">
        <f t="shared" si="11"/>
        <v>1926.6</v>
      </c>
      <c r="V7" s="68">
        <f t="shared" si="12"/>
        <v>1761.3999999999996</v>
      </c>
      <c r="W7" s="69">
        <f t="shared" si="5"/>
        <v>7.131174089068824</v>
      </c>
      <c r="X7" s="108">
        <f t="shared" si="6"/>
        <v>4616.3999999999996</v>
      </c>
      <c r="Y7" s="88">
        <v>24200</v>
      </c>
      <c r="Z7" s="88">
        <f t="shared" si="7"/>
        <v>500</v>
      </c>
      <c r="AA7" s="154">
        <f t="shared" si="13"/>
        <v>21700</v>
      </c>
      <c r="AB7" s="64"/>
      <c r="AC7" s="304" t="s">
        <v>329</v>
      </c>
      <c r="AD7" s="307">
        <f>AA5/4</f>
        <v>6100</v>
      </c>
      <c r="AE7" s="156">
        <v>1</v>
      </c>
      <c r="AF7" s="106">
        <f>ROUNDDOWN(AD$7*AE7*1.1, -1)</f>
        <v>6710</v>
      </c>
      <c r="AG7" s="106"/>
      <c r="AH7" s="109">
        <v>6710</v>
      </c>
      <c r="AI7" s="106"/>
    </row>
    <row r="8" spans="2:35" x14ac:dyDescent="0.3">
      <c r="B8" s="80" t="s">
        <v>234</v>
      </c>
      <c r="C8" s="135">
        <v>19250</v>
      </c>
      <c r="D8" s="81">
        <v>18940</v>
      </c>
      <c r="E8" s="81">
        <f>'신규거래처)판매가'!E11</f>
        <v>16044</v>
      </c>
      <c r="F8" s="84">
        <f t="shared" si="8"/>
        <v>2896</v>
      </c>
      <c r="G8" s="83">
        <f t="shared" si="0"/>
        <v>15.290390707497359</v>
      </c>
      <c r="I8" s="99" t="s">
        <v>320</v>
      </c>
      <c r="J8" s="70">
        <v>3</v>
      </c>
      <c r="K8" s="68">
        <f>온라인판매가!E8</f>
        <v>16044</v>
      </c>
      <c r="L8" s="76">
        <f>온라인판매가!D8</f>
        <v>18940</v>
      </c>
      <c r="M8" s="106">
        <f t="shared" si="9"/>
        <v>2896</v>
      </c>
      <c r="N8" s="106">
        <f t="shared" si="1"/>
        <v>26730</v>
      </c>
      <c r="O8" s="109">
        <f t="shared" si="2"/>
        <v>26300</v>
      </c>
      <c r="P8" s="111">
        <v>28</v>
      </c>
      <c r="Q8" s="68">
        <v>3500</v>
      </c>
      <c r="R8" s="68">
        <f t="shared" si="10"/>
        <v>675.59999999999991</v>
      </c>
      <c r="S8" s="68">
        <f t="shared" si="3"/>
        <v>736</v>
      </c>
      <c r="T8" s="68">
        <f t="shared" si="4"/>
        <v>1817.4</v>
      </c>
      <c r="U8" s="68">
        <f t="shared" si="11"/>
        <v>2051.4</v>
      </c>
      <c r="V8" s="68">
        <f t="shared" si="12"/>
        <v>1367</v>
      </c>
      <c r="W8" s="69">
        <f t="shared" si="5"/>
        <v>5.1977186311787067</v>
      </c>
      <c r="X8" s="108">
        <f t="shared" si="6"/>
        <v>4263</v>
      </c>
      <c r="Y8" s="88">
        <v>25800</v>
      </c>
      <c r="Z8" s="88">
        <f t="shared" si="7"/>
        <v>500</v>
      </c>
      <c r="AA8" s="154">
        <f t="shared" si="13"/>
        <v>23300</v>
      </c>
      <c r="AB8" s="64"/>
      <c r="AC8" s="305"/>
      <c r="AD8" s="308"/>
      <c r="AE8" s="156">
        <v>3</v>
      </c>
      <c r="AF8" s="106">
        <f>AF7*AE8</f>
        <v>20130</v>
      </c>
      <c r="AG8" s="106">
        <f>AD$7*AE8</f>
        <v>18300</v>
      </c>
      <c r="AH8" s="109">
        <f>AD$7*AE8+ROUNDUP(AD$7/20, -1)</f>
        <v>18610</v>
      </c>
      <c r="AI8" s="106">
        <f>AF8-AH8</f>
        <v>1520</v>
      </c>
    </row>
    <row r="9" spans="2:35" x14ac:dyDescent="0.3">
      <c r="B9" s="80" t="s">
        <v>184</v>
      </c>
      <c r="C9" s="135">
        <v>19850</v>
      </c>
      <c r="D9" s="81">
        <v>19597</v>
      </c>
      <c r="E9" s="81">
        <f>'신규거래처)판매가'!E12</f>
        <v>16519</v>
      </c>
      <c r="F9" s="84">
        <f t="shared" si="8"/>
        <v>3078</v>
      </c>
      <c r="G9" s="83">
        <f t="shared" si="0"/>
        <v>15.706485686584681</v>
      </c>
      <c r="I9" s="99" t="s">
        <v>1</v>
      </c>
      <c r="J9" s="70">
        <v>3</v>
      </c>
      <c r="K9" s="68">
        <f>온라인판매가!E9</f>
        <v>16519</v>
      </c>
      <c r="L9" s="76">
        <f>온라인판매가!D9</f>
        <v>19597</v>
      </c>
      <c r="M9" s="106">
        <f t="shared" si="9"/>
        <v>3078</v>
      </c>
      <c r="N9" s="106">
        <f t="shared" si="1"/>
        <v>27760</v>
      </c>
      <c r="O9" s="109">
        <f t="shared" si="2"/>
        <v>27400</v>
      </c>
      <c r="P9" s="111">
        <v>28.5</v>
      </c>
      <c r="Q9" s="68">
        <v>3500</v>
      </c>
      <c r="R9" s="68">
        <f t="shared" si="10"/>
        <v>738.09999999999991</v>
      </c>
      <c r="S9" s="68">
        <f t="shared" si="3"/>
        <v>780.3</v>
      </c>
      <c r="T9" s="68">
        <f t="shared" si="4"/>
        <v>1903.2</v>
      </c>
      <c r="U9" s="68">
        <f t="shared" si="11"/>
        <v>2137.1999999999998</v>
      </c>
      <c r="V9" s="68">
        <f t="shared" si="12"/>
        <v>1661.6999999999998</v>
      </c>
      <c r="W9" s="69">
        <f t="shared" si="5"/>
        <v>6.0645985401459841</v>
      </c>
      <c r="X9" s="108">
        <f t="shared" si="6"/>
        <v>4739.7</v>
      </c>
      <c r="Y9" s="88">
        <v>26900</v>
      </c>
      <c r="Z9" s="88">
        <f t="shared" si="7"/>
        <v>500</v>
      </c>
      <c r="AA9" s="154">
        <f t="shared" si="13"/>
        <v>24400</v>
      </c>
      <c r="AB9" s="64"/>
      <c r="AC9" s="306"/>
      <c r="AD9" s="309"/>
      <c r="AE9" s="156">
        <v>4</v>
      </c>
      <c r="AF9" s="106">
        <f>AF7*AE9</f>
        <v>26840</v>
      </c>
      <c r="AG9" s="106">
        <f>AD$7*AE9</f>
        <v>24400</v>
      </c>
      <c r="AH9" s="109">
        <f>AD$7*AE9</f>
        <v>24400</v>
      </c>
      <c r="AI9" s="106">
        <f>AF9-AH9</f>
        <v>2440</v>
      </c>
    </row>
    <row r="10" spans="2:35" x14ac:dyDescent="0.3">
      <c r="B10" s="80" t="s">
        <v>235</v>
      </c>
      <c r="C10" s="135">
        <v>20500</v>
      </c>
      <c r="D10" s="81">
        <v>20050</v>
      </c>
      <c r="E10" s="81">
        <f>'신규거래처)판매가'!E13</f>
        <v>16906</v>
      </c>
      <c r="F10" s="84">
        <f t="shared" si="8"/>
        <v>3144</v>
      </c>
      <c r="G10" s="83">
        <f t="shared" si="0"/>
        <v>15.680798004987532</v>
      </c>
      <c r="I10" s="99" t="s">
        <v>321</v>
      </c>
      <c r="J10" s="70">
        <v>3</v>
      </c>
      <c r="K10" s="68">
        <f>온라인판매가!E10</f>
        <v>16906</v>
      </c>
      <c r="L10" s="76">
        <f>온라인판매가!D10</f>
        <v>20050</v>
      </c>
      <c r="M10" s="106">
        <f t="shared" si="9"/>
        <v>3144</v>
      </c>
      <c r="N10" s="106">
        <f t="shared" si="1"/>
        <v>28630</v>
      </c>
      <c r="O10" s="109">
        <f t="shared" si="2"/>
        <v>28000</v>
      </c>
      <c r="P10" s="111">
        <v>28.4</v>
      </c>
      <c r="Q10" s="106">
        <v>3500</v>
      </c>
      <c r="R10" s="106">
        <f t="shared" si="10"/>
        <v>759.39999999999986</v>
      </c>
      <c r="S10" s="106">
        <f t="shared" si="3"/>
        <v>795</v>
      </c>
      <c r="T10" s="106">
        <f t="shared" si="4"/>
        <v>1950</v>
      </c>
      <c r="U10" s="68">
        <f t="shared" si="11"/>
        <v>2184</v>
      </c>
      <c r="V10" s="106">
        <f t="shared" si="12"/>
        <v>1740.6000000000004</v>
      </c>
      <c r="W10" s="155">
        <f t="shared" si="5"/>
        <v>6.2164285714285725</v>
      </c>
      <c r="X10" s="108">
        <f t="shared" si="6"/>
        <v>4884.6000000000004</v>
      </c>
      <c r="Y10" s="88">
        <v>27500</v>
      </c>
      <c r="Z10" s="88">
        <f t="shared" si="7"/>
        <v>500</v>
      </c>
      <c r="AA10" s="154">
        <f t="shared" si="13"/>
        <v>25000</v>
      </c>
      <c r="AC10" s="304" t="s">
        <v>106</v>
      </c>
      <c r="AD10" s="307">
        <f>AA6/3</f>
        <v>5800</v>
      </c>
      <c r="AE10" s="156">
        <v>1</v>
      </c>
      <c r="AF10" s="106">
        <f>ROUNDDOWN(AD$10*AE10*1.1, -1)</f>
        <v>6380</v>
      </c>
      <c r="AG10" s="106"/>
      <c r="AH10" s="109">
        <v>5800</v>
      </c>
      <c r="AI10" s="106"/>
    </row>
    <row r="11" spans="2:35" x14ac:dyDescent="0.3">
      <c r="B11" s="80">
        <v>150</v>
      </c>
      <c r="C11" s="135">
        <v>15000</v>
      </c>
      <c r="D11" s="81">
        <v>14500</v>
      </c>
      <c r="E11" s="81">
        <v>12151</v>
      </c>
      <c r="F11" s="84">
        <f t="shared" ref="F11" si="14">D11-E11</f>
        <v>2349</v>
      </c>
      <c r="G11" s="83">
        <f t="shared" si="0"/>
        <v>16.2</v>
      </c>
      <c r="I11" s="113">
        <v>150</v>
      </c>
      <c r="J11" s="70">
        <v>150</v>
      </c>
      <c r="K11" s="68">
        <v>11983</v>
      </c>
      <c r="L11" s="76">
        <f>온라인판매가!D11</f>
        <v>14500</v>
      </c>
      <c r="M11" s="106">
        <f t="shared" si="9"/>
        <v>2517</v>
      </c>
      <c r="N11" s="106">
        <f t="shared" si="1"/>
        <v>21420</v>
      </c>
      <c r="O11" s="109">
        <f t="shared" si="2"/>
        <v>20710</v>
      </c>
      <c r="P11" s="111">
        <v>30</v>
      </c>
      <c r="Q11" s="106">
        <v>3000</v>
      </c>
      <c r="R11" s="106">
        <f t="shared" si="10"/>
        <v>572.70000000000005</v>
      </c>
      <c r="S11" s="106">
        <f t="shared" si="3"/>
        <v>621</v>
      </c>
      <c r="T11" s="106">
        <f t="shared" si="4"/>
        <v>1381.38</v>
      </c>
      <c r="U11" s="68">
        <f t="shared" si="11"/>
        <v>1615.38</v>
      </c>
      <c r="V11" s="106">
        <f t="shared" si="12"/>
        <v>1255.92</v>
      </c>
      <c r="W11" s="155">
        <f t="shared" si="5"/>
        <v>6.0643167551907293</v>
      </c>
      <c r="X11" s="108">
        <f t="shared" si="6"/>
        <v>3772.92</v>
      </c>
      <c r="Y11" s="88">
        <v>0</v>
      </c>
      <c r="Z11" s="88">
        <f t="shared" si="7"/>
        <v>20710</v>
      </c>
      <c r="AA11" s="154">
        <f t="shared" si="13"/>
        <v>17710</v>
      </c>
      <c r="AC11" s="306"/>
      <c r="AD11" s="309"/>
      <c r="AE11" s="156">
        <v>3</v>
      </c>
      <c r="AF11" s="106">
        <f>AF10*AE11</f>
        <v>19140</v>
      </c>
      <c r="AG11" s="106">
        <f>AD10*AE11</f>
        <v>17400</v>
      </c>
      <c r="AH11" s="109">
        <f>AD10*AE11</f>
        <v>17400</v>
      </c>
      <c r="AI11" s="106">
        <f>AF11-AH11</f>
        <v>1740</v>
      </c>
    </row>
    <row r="12" spans="2:35" x14ac:dyDescent="0.3">
      <c r="B12" s="80">
        <v>160</v>
      </c>
      <c r="C12" s="135">
        <v>15800</v>
      </c>
      <c r="D12" s="81">
        <f>C12*0.97-70</f>
        <v>15256</v>
      </c>
      <c r="E12" s="81" t="e">
        <f>'신규거래처)판매가'!#REF!</f>
        <v>#REF!</v>
      </c>
      <c r="F12" s="84" t="e">
        <f t="shared" si="8"/>
        <v>#REF!</v>
      </c>
      <c r="G12" s="83" t="e">
        <f t="shared" si="0"/>
        <v>#REF!</v>
      </c>
      <c r="I12" s="119">
        <v>160</v>
      </c>
      <c r="J12" s="120">
        <v>160</v>
      </c>
      <c r="K12" s="121" t="e">
        <f>온라인판매가!E12</f>
        <v>#REF!</v>
      </c>
      <c r="L12" s="121">
        <f>온라인판매가!D12</f>
        <v>15256</v>
      </c>
      <c r="M12" s="121" t="e">
        <f t="shared" si="9"/>
        <v>#REF!</v>
      </c>
      <c r="N12" s="121">
        <f t="shared" si="1"/>
        <v>22570</v>
      </c>
      <c r="O12" s="121">
        <f t="shared" si="2"/>
        <v>21790</v>
      </c>
      <c r="P12" s="121">
        <v>30</v>
      </c>
      <c r="Q12" s="121">
        <v>3000</v>
      </c>
      <c r="R12" s="121" t="e">
        <f t="shared" si="10"/>
        <v>#REF!</v>
      </c>
      <c r="S12" s="121">
        <f t="shared" si="3"/>
        <v>653.39999999999986</v>
      </c>
      <c r="T12" s="121">
        <f t="shared" si="4"/>
        <v>1465.62</v>
      </c>
      <c r="U12" s="68">
        <f t="shared" si="11"/>
        <v>1699.62</v>
      </c>
      <c r="V12" s="121" t="e">
        <f t="shared" si="12"/>
        <v>#REF!</v>
      </c>
      <c r="W12" s="123" t="e">
        <f t="shared" si="5"/>
        <v>#REF!</v>
      </c>
      <c r="X12" s="124" t="e">
        <f t="shared" si="6"/>
        <v>#REF!</v>
      </c>
      <c r="Y12" s="125">
        <v>20990</v>
      </c>
      <c r="Z12" s="125">
        <f t="shared" si="7"/>
        <v>800</v>
      </c>
      <c r="AA12" s="154">
        <f t="shared" si="13"/>
        <v>18790</v>
      </c>
      <c r="AC12" s="304" t="s">
        <v>379</v>
      </c>
      <c r="AD12" s="307">
        <f>AA7/3</f>
        <v>7233.333333333333</v>
      </c>
      <c r="AE12" s="156">
        <v>1</v>
      </c>
      <c r="AF12" s="106">
        <f>ROUND(AD$12*AE12*1.1, -1)</f>
        <v>7960</v>
      </c>
      <c r="AG12" s="106"/>
      <c r="AH12" s="109">
        <v>7230</v>
      </c>
      <c r="AI12" s="106"/>
    </row>
    <row r="13" spans="2:35" x14ac:dyDescent="0.3">
      <c r="B13" s="80">
        <v>180</v>
      </c>
      <c r="C13" s="135">
        <v>17300</v>
      </c>
      <c r="D13" s="81">
        <f>C13*0.97+15</f>
        <v>16796</v>
      </c>
      <c r="E13" s="81">
        <f>'신규거래처)판매가'!E15</f>
        <v>13777</v>
      </c>
      <c r="F13" s="84">
        <f>D13-E13</f>
        <v>3019</v>
      </c>
      <c r="G13" s="83">
        <f t="shared" si="0"/>
        <v>17.974517742319602</v>
      </c>
      <c r="I13" s="113">
        <v>180</v>
      </c>
      <c r="J13" s="70">
        <v>180</v>
      </c>
      <c r="K13" s="68">
        <f>온라인판매가!E13</f>
        <v>13777</v>
      </c>
      <c r="L13" s="76">
        <f>온라인판매가!D13</f>
        <v>16796</v>
      </c>
      <c r="M13" s="106">
        <f t="shared" si="9"/>
        <v>3019</v>
      </c>
      <c r="N13" s="106">
        <f t="shared" si="1"/>
        <v>24710</v>
      </c>
      <c r="O13" s="109">
        <f t="shared" si="2"/>
        <v>23990</v>
      </c>
      <c r="P13" s="111">
        <v>30</v>
      </c>
      <c r="Q13" s="106">
        <v>3000</v>
      </c>
      <c r="R13" s="106">
        <f t="shared" si="10"/>
        <v>721.3</v>
      </c>
      <c r="S13" s="106">
        <f t="shared" si="3"/>
        <v>719.39999999999986</v>
      </c>
      <c r="T13" s="106">
        <f t="shared" si="4"/>
        <v>1637.22</v>
      </c>
      <c r="U13" s="68">
        <f t="shared" si="11"/>
        <v>1871.22</v>
      </c>
      <c r="V13" s="106">
        <f t="shared" si="12"/>
        <v>1835.4799999999996</v>
      </c>
      <c r="W13" s="155">
        <f t="shared" si="5"/>
        <v>7.6510212588578552</v>
      </c>
      <c r="X13" s="108">
        <f t="shared" si="6"/>
        <v>4854.4799999999996</v>
      </c>
      <c r="Y13" s="88">
        <v>23490</v>
      </c>
      <c r="Z13" s="88">
        <f t="shared" si="7"/>
        <v>500</v>
      </c>
      <c r="AA13" s="154">
        <f t="shared" si="13"/>
        <v>20990</v>
      </c>
      <c r="AC13" s="306"/>
      <c r="AD13" s="309"/>
      <c r="AE13" s="156">
        <v>3</v>
      </c>
      <c r="AF13" s="106">
        <f>AF12*AE13</f>
        <v>23880</v>
      </c>
      <c r="AG13" s="106">
        <f>AD12*AE13</f>
        <v>21700</v>
      </c>
      <c r="AH13" s="109">
        <f>AD12*AE13</f>
        <v>21700</v>
      </c>
      <c r="AI13" s="106">
        <f>AF13-AH13</f>
        <v>2180</v>
      </c>
    </row>
    <row r="14" spans="2:35" x14ac:dyDescent="0.3">
      <c r="B14" s="80">
        <v>200</v>
      </c>
      <c r="C14" s="135">
        <v>18800</v>
      </c>
      <c r="D14" s="81">
        <f>C14*0.97-100</f>
        <v>18136</v>
      </c>
      <c r="E14" s="81">
        <f>'신규거래처)판매가'!E16</f>
        <v>14963</v>
      </c>
      <c r="F14" s="84">
        <f t="shared" si="8"/>
        <v>3173</v>
      </c>
      <c r="G14" s="83">
        <f t="shared" si="0"/>
        <v>17.495588883987647</v>
      </c>
      <c r="I14" s="113">
        <v>200</v>
      </c>
      <c r="J14" s="70">
        <v>200</v>
      </c>
      <c r="K14" s="68">
        <f>온라인판매가!E14</f>
        <v>14963</v>
      </c>
      <c r="L14" s="76">
        <f>온라인판매가!D14</f>
        <v>18136</v>
      </c>
      <c r="M14" s="106">
        <f t="shared" si="9"/>
        <v>3173</v>
      </c>
      <c r="N14" s="106">
        <f t="shared" si="1"/>
        <v>26850</v>
      </c>
      <c r="O14" s="109">
        <f t="shared" si="2"/>
        <v>25900</v>
      </c>
      <c r="P14" s="111">
        <v>30</v>
      </c>
      <c r="Q14" s="106">
        <v>3000</v>
      </c>
      <c r="R14" s="106">
        <f t="shared" si="10"/>
        <v>793.69999999999982</v>
      </c>
      <c r="S14" s="106">
        <f t="shared" si="3"/>
        <v>776.39999999999986</v>
      </c>
      <c r="T14" s="106">
        <f t="shared" si="4"/>
        <v>1786.2</v>
      </c>
      <c r="U14" s="68">
        <f t="shared" si="11"/>
        <v>2020.2</v>
      </c>
      <c r="V14" s="106">
        <f t="shared" si="12"/>
        <v>2184.1000000000004</v>
      </c>
      <c r="W14" s="155">
        <f t="shared" si="5"/>
        <v>8.4328185328185334</v>
      </c>
      <c r="X14" s="108">
        <f t="shared" si="6"/>
        <v>5357.1</v>
      </c>
      <c r="Y14" s="88">
        <v>25490</v>
      </c>
      <c r="Z14" s="88">
        <f t="shared" si="7"/>
        <v>410</v>
      </c>
      <c r="AA14" s="154">
        <f t="shared" si="13"/>
        <v>22900</v>
      </c>
      <c r="AC14" s="304" t="s">
        <v>0</v>
      </c>
      <c r="AD14" s="307">
        <f>AA8/3</f>
        <v>7766.666666666667</v>
      </c>
      <c r="AE14" s="156">
        <v>1</v>
      </c>
      <c r="AF14" s="106">
        <f>ROUND(AD$14*AE14*1.1, -1)</f>
        <v>8540</v>
      </c>
      <c r="AG14" s="106"/>
      <c r="AH14" s="109">
        <v>7770</v>
      </c>
      <c r="AI14" s="106"/>
    </row>
    <row r="15" spans="2:35" x14ac:dyDescent="0.3">
      <c r="B15" s="80">
        <v>300</v>
      </c>
      <c r="C15" s="135">
        <v>26600</v>
      </c>
      <c r="D15" s="81">
        <f>C15*0.97-800-85</f>
        <v>24917</v>
      </c>
      <c r="E15" s="81">
        <f>'신규거래처)판매가'!E17</f>
        <v>21207</v>
      </c>
      <c r="F15" s="84">
        <f t="shared" si="8"/>
        <v>3710</v>
      </c>
      <c r="G15" s="83">
        <f t="shared" si="0"/>
        <v>14.889432917285387</v>
      </c>
      <c r="I15" s="113">
        <v>300</v>
      </c>
      <c r="J15" s="70">
        <v>300</v>
      </c>
      <c r="K15" s="68">
        <f>온라인판매가!E15</f>
        <v>21207</v>
      </c>
      <c r="L15" s="76">
        <f>온라인판매가!D15</f>
        <v>24917</v>
      </c>
      <c r="M15" s="106">
        <f t="shared" si="9"/>
        <v>3710</v>
      </c>
      <c r="N15" s="106">
        <f t="shared" si="1"/>
        <v>36830</v>
      </c>
      <c r="O15" s="109">
        <f t="shared" si="2"/>
        <v>34500</v>
      </c>
      <c r="P15" s="111">
        <v>27.78</v>
      </c>
      <c r="Q15" s="106">
        <v>3000</v>
      </c>
      <c r="R15" s="106">
        <f t="shared" si="10"/>
        <v>1029.2999999999997</v>
      </c>
      <c r="S15" s="106">
        <f t="shared" si="3"/>
        <v>958.29999999999973</v>
      </c>
      <c r="T15" s="106">
        <f t="shared" si="4"/>
        <v>2457</v>
      </c>
      <c r="U15" s="68">
        <f t="shared" si="11"/>
        <v>2691</v>
      </c>
      <c r="V15" s="106">
        <f t="shared" si="12"/>
        <v>3096.7000000000007</v>
      </c>
      <c r="W15" s="155">
        <f t="shared" si="5"/>
        <v>8.975942028985509</v>
      </c>
      <c r="X15" s="108">
        <f t="shared" si="6"/>
        <v>6806.7000000000007</v>
      </c>
      <c r="Y15" s="88">
        <v>32990</v>
      </c>
      <c r="Z15" s="88">
        <f t="shared" si="7"/>
        <v>1510</v>
      </c>
      <c r="AA15" s="154">
        <f t="shared" si="13"/>
        <v>31500</v>
      </c>
      <c r="AC15" s="305"/>
      <c r="AD15" s="308"/>
      <c r="AE15" s="156">
        <v>2</v>
      </c>
      <c r="AF15" s="106">
        <f>AF14*AE15</f>
        <v>17080</v>
      </c>
      <c r="AG15" s="106">
        <f>AD$14*AE15</f>
        <v>15533.333333333334</v>
      </c>
      <c r="AH15" s="109">
        <f>AD$14*AE15+ROUNDUP(AD$14/20, -1)+7</f>
        <v>15930.333333333334</v>
      </c>
      <c r="AI15" s="106">
        <f>AF15-AH15</f>
        <v>1149.6666666666661</v>
      </c>
    </row>
    <row r="16" spans="2:35" x14ac:dyDescent="0.3">
      <c r="B16" s="80">
        <v>150</v>
      </c>
      <c r="C16" s="135">
        <v>15800</v>
      </c>
      <c r="D16" s="81">
        <f>C16*0.97-280</f>
        <v>15046</v>
      </c>
      <c r="E16" s="81">
        <f>'신규거래처)판매가'!E18</f>
        <v>12568</v>
      </c>
      <c r="F16" s="84">
        <f t="shared" si="8"/>
        <v>2478</v>
      </c>
      <c r="G16" s="83">
        <f t="shared" si="0"/>
        <v>16.469493553103813</v>
      </c>
      <c r="I16" s="113">
        <v>150</v>
      </c>
      <c r="J16" s="70">
        <v>160</v>
      </c>
      <c r="K16" s="68">
        <f>온라인판매가!E16</f>
        <v>12568</v>
      </c>
      <c r="L16" s="76">
        <f>온라인판매가!D16</f>
        <v>15046</v>
      </c>
      <c r="M16" s="106">
        <f t="shared" si="9"/>
        <v>2478</v>
      </c>
      <c r="N16" s="106">
        <f t="shared" si="1"/>
        <v>22570</v>
      </c>
      <c r="O16" s="109">
        <f t="shared" si="2"/>
        <v>21490</v>
      </c>
      <c r="P16" s="111">
        <v>30</v>
      </c>
      <c r="Q16" s="106">
        <v>3000</v>
      </c>
      <c r="R16" s="106">
        <f t="shared" si="10"/>
        <v>592.19999999999982</v>
      </c>
      <c r="S16" s="106">
        <f t="shared" si="3"/>
        <v>644.39999999999986</v>
      </c>
      <c r="T16" s="106">
        <f t="shared" si="4"/>
        <v>1442.22</v>
      </c>
      <c r="U16" s="68">
        <f t="shared" si="11"/>
        <v>1676.22</v>
      </c>
      <c r="V16" s="106">
        <f t="shared" si="12"/>
        <v>1409.58</v>
      </c>
      <c r="W16" s="155">
        <f t="shared" si="5"/>
        <v>6.5592368543508615</v>
      </c>
      <c r="X16" s="108">
        <f t="shared" si="6"/>
        <v>3887.58</v>
      </c>
      <c r="Y16" s="88">
        <v>21990</v>
      </c>
      <c r="Z16" s="88">
        <f t="shared" si="7"/>
        <v>-500</v>
      </c>
      <c r="AA16" s="154">
        <f t="shared" si="13"/>
        <v>18490</v>
      </c>
      <c r="AC16" s="306"/>
      <c r="AD16" s="309"/>
      <c r="AE16" s="156">
        <v>3</v>
      </c>
      <c r="AF16" s="106">
        <f>AF14*AE16</f>
        <v>25620</v>
      </c>
      <c r="AG16" s="106">
        <f>AD$14*AE16</f>
        <v>23300</v>
      </c>
      <c r="AH16" s="109">
        <f>AD14*AE16</f>
        <v>23300</v>
      </c>
      <c r="AI16" s="106">
        <f>AF16-AH16</f>
        <v>2320</v>
      </c>
    </row>
    <row r="17" spans="2:35" x14ac:dyDescent="0.3">
      <c r="B17" s="80">
        <v>180</v>
      </c>
      <c r="C17" s="135">
        <v>18200</v>
      </c>
      <c r="D17" s="81">
        <f>C17*0.97-160</f>
        <v>17494</v>
      </c>
      <c r="E17" s="81">
        <f>'신규거래처)판매가'!E19</f>
        <v>14459</v>
      </c>
      <c r="F17" s="84">
        <f t="shared" si="8"/>
        <v>3035</v>
      </c>
      <c r="G17" s="83">
        <f t="shared" si="0"/>
        <v>17.348805304675889</v>
      </c>
      <c r="I17" s="113">
        <v>180</v>
      </c>
      <c r="J17" s="70">
        <v>180</v>
      </c>
      <c r="K17" s="68">
        <f>온라인판매가!E17</f>
        <v>14459</v>
      </c>
      <c r="L17" s="76">
        <f>온라인판매가!D17</f>
        <v>17494</v>
      </c>
      <c r="M17" s="106">
        <f t="shared" si="9"/>
        <v>3035</v>
      </c>
      <c r="N17" s="106">
        <f t="shared" si="1"/>
        <v>26000</v>
      </c>
      <c r="O17" s="109">
        <f t="shared" si="2"/>
        <v>24990</v>
      </c>
      <c r="P17" s="111">
        <v>30</v>
      </c>
      <c r="Q17" s="106">
        <v>3000</v>
      </c>
      <c r="R17" s="106">
        <f t="shared" si="10"/>
        <v>753.09999999999991</v>
      </c>
      <c r="S17" s="106">
        <f t="shared" si="3"/>
        <v>749.59999999999991</v>
      </c>
      <c r="T17" s="106">
        <f t="shared" si="4"/>
        <v>1715.22</v>
      </c>
      <c r="U17" s="68">
        <f t="shared" si="11"/>
        <v>1949.22</v>
      </c>
      <c r="V17" s="106">
        <f t="shared" si="12"/>
        <v>2027.6799999999994</v>
      </c>
      <c r="W17" s="155">
        <f t="shared" si="5"/>
        <v>8.1139655862344906</v>
      </c>
      <c r="X17" s="108">
        <f t="shared" si="6"/>
        <v>5062.6799999999994</v>
      </c>
      <c r="Y17" s="88">
        <v>24490</v>
      </c>
      <c r="Z17" s="88">
        <f t="shared" si="7"/>
        <v>500</v>
      </c>
      <c r="AA17" s="154">
        <f t="shared" si="13"/>
        <v>21990</v>
      </c>
      <c r="AC17" s="304" t="s">
        <v>1</v>
      </c>
      <c r="AD17" s="307">
        <f>AA9/3</f>
        <v>8133.333333333333</v>
      </c>
      <c r="AE17" s="156">
        <v>1</v>
      </c>
      <c r="AF17" s="106">
        <f>ROUND(AD$17*AE17*1.1, -1)</f>
        <v>8950</v>
      </c>
      <c r="AG17" s="106"/>
      <c r="AH17" s="109">
        <v>8130</v>
      </c>
      <c r="AI17" s="106"/>
    </row>
    <row r="18" spans="2:35" x14ac:dyDescent="0.3">
      <c r="B18" s="80">
        <v>200</v>
      </c>
      <c r="C18" s="135">
        <v>19800</v>
      </c>
      <c r="D18" s="81">
        <f>C18*0.97-300</f>
        <v>18906</v>
      </c>
      <c r="E18" s="81">
        <f>'신규거래처)판매가'!E20</f>
        <v>15710</v>
      </c>
      <c r="F18" s="84">
        <f t="shared" si="8"/>
        <v>3196</v>
      </c>
      <c r="G18" s="83">
        <f t="shared" si="0"/>
        <v>16.904686342959906</v>
      </c>
      <c r="I18" s="113">
        <v>200</v>
      </c>
      <c r="J18" s="70">
        <v>200</v>
      </c>
      <c r="K18" s="68">
        <f>온라인판매가!E18</f>
        <v>15710</v>
      </c>
      <c r="L18" s="76">
        <f>온라인판매가!D18</f>
        <v>18906</v>
      </c>
      <c r="M18" s="106">
        <f t="shared" si="9"/>
        <v>3196</v>
      </c>
      <c r="N18" s="106">
        <f t="shared" si="1"/>
        <v>28280</v>
      </c>
      <c r="O18" s="109">
        <f t="shared" si="2"/>
        <v>27000</v>
      </c>
      <c r="P18" s="111">
        <v>30</v>
      </c>
      <c r="Q18" s="106">
        <v>3000</v>
      </c>
      <c r="R18" s="106">
        <f t="shared" si="10"/>
        <v>829</v>
      </c>
      <c r="S18" s="106">
        <f t="shared" si="3"/>
        <v>809.39999999999986</v>
      </c>
      <c r="T18" s="106">
        <f t="shared" si="4"/>
        <v>1872</v>
      </c>
      <c r="U18" s="68">
        <f t="shared" si="11"/>
        <v>2106</v>
      </c>
      <c r="V18" s="106">
        <f t="shared" si="12"/>
        <v>2393</v>
      </c>
      <c r="W18" s="155">
        <f t="shared" si="5"/>
        <v>8.8629629629629623</v>
      </c>
      <c r="X18" s="108">
        <f t="shared" si="6"/>
        <v>5589</v>
      </c>
      <c r="Y18" s="88">
        <v>26490</v>
      </c>
      <c r="Z18" s="88">
        <f t="shared" si="7"/>
        <v>510</v>
      </c>
      <c r="AA18" s="154">
        <f t="shared" si="13"/>
        <v>24000</v>
      </c>
      <c r="AC18" s="305"/>
      <c r="AD18" s="308"/>
      <c r="AE18" s="156">
        <v>2</v>
      </c>
      <c r="AF18" s="106">
        <f>AF17*AE18</f>
        <v>17900</v>
      </c>
      <c r="AG18" s="106">
        <f>AD17*AE18</f>
        <v>16266.666666666666</v>
      </c>
      <c r="AH18" s="109">
        <f>AD$17*AE18+ROUNDUP(AD$17/20, -1)+3</f>
        <v>16679.666666666664</v>
      </c>
      <c r="AI18" s="106">
        <f>AF18-AH18</f>
        <v>1220.3333333333358</v>
      </c>
    </row>
    <row r="19" spans="2:35" x14ac:dyDescent="0.3">
      <c r="B19" s="80">
        <v>300</v>
      </c>
      <c r="C19" s="135">
        <v>27600</v>
      </c>
      <c r="D19" s="81">
        <f>C19*0.97-800-50</f>
        <v>25922</v>
      </c>
      <c r="E19" s="81">
        <f>'신규거래처)판매가'!E21</f>
        <v>21993</v>
      </c>
      <c r="F19" s="84">
        <f t="shared" si="8"/>
        <v>3929</v>
      </c>
      <c r="G19" s="83">
        <f t="shared" si="0"/>
        <v>15.157009490008486</v>
      </c>
      <c r="I19" s="113">
        <v>300</v>
      </c>
      <c r="J19" s="70">
        <v>300</v>
      </c>
      <c r="K19" s="68">
        <f>온라인판매가!E19</f>
        <v>21993</v>
      </c>
      <c r="L19" s="76">
        <f>온라인판매가!D19</f>
        <v>25922</v>
      </c>
      <c r="M19" s="106">
        <f t="shared" si="9"/>
        <v>3929</v>
      </c>
      <c r="N19" s="106">
        <f t="shared" si="1"/>
        <v>37800</v>
      </c>
      <c r="O19" s="109">
        <f t="shared" si="2"/>
        <v>35500</v>
      </c>
      <c r="P19" s="111">
        <v>27</v>
      </c>
      <c r="Q19" s="106">
        <v>3000</v>
      </c>
      <c r="R19" s="106">
        <f t="shared" si="10"/>
        <v>1050.6999999999998</v>
      </c>
      <c r="S19" s="106">
        <f t="shared" si="3"/>
        <v>957.79999999999973</v>
      </c>
      <c r="T19" s="106">
        <f t="shared" si="4"/>
        <v>2535</v>
      </c>
      <c r="U19" s="68">
        <f t="shared" si="11"/>
        <v>2769</v>
      </c>
      <c r="V19" s="106">
        <f t="shared" si="12"/>
        <v>2992.2999999999993</v>
      </c>
      <c r="W19" s="155">
        <f t="shared" si="5"/>
        <v>8.42901408450704</v>
      </c>
      <c r="X19" s="108">
        <f t="shared" si="6"/>
        <v>6921.2999999999993</v>
      </c>
      <c r="Y19" s="88">
        <v>33990</v>
      </c>
      <c r="Z19" s="88">
        <f t="shared" si="7"/>
        <v>1510</v>
      </c>
      <c r="AA19" s="154">
        <f t="shared" si="13"/>
        <v>32500</v>
      </c>
      <c r="AC19" s="306"/>
      <c r="AD19" s="309"/>
      <c r="AE19" s="156">
        <v>3</v>
      </c>
      <c r="AF19" s="106">
        <f>AF17*AE19</f>
        <v>26850</v>
      </c>
      <c r="AG19" s="106">
        <f>AD17*AE19</f>
        <v>24400</v>
      </c>
      <c r="AH19" s="109">
        <f>AD17*AE19</f>
        <v>24400</v>
      </c>
      <c r="AI19" s="106">
        <f>AF19-AH19</f>
        <v>2450</v>
      </c>
    </row>
    <row r="20" spans="2:35" x14ac:dyDescent="0.3">
      <c r="B20" s="80" t="s">
        <v>236</v>
      </c>
      <c r="C20" s="135">
        <v>12000</v>
      </c>
      <c r="D20" s="81">
        <v>11305</v>
      </c>
      <c r="E20" s="81">
        <f>'신규거래처)판매가'!E22</f>
        <v>9000</v>
      </c>
      <c r="F20" s="84">
        <f t="shared" si="8"/>
        <v>2305</v>
      </c>
      <c r="G20" s="83">
        <f t="shared" si="0"/>
        <v>20.389208314904909</v>
      </c>
      <c r="I20" s="99" t="s">
        <v>114</v>
      </c>
      <c r="J20" s="70">
        <v>10000</v>
      </c>
      <c r="K20" s="68">
        <f>온라인판매가!E20</f>
        <v>9000</v>
      </c>
      <c r="L20" s="76">
        <f>온라인판매가!D20</f>
        <v>11305</v>
      </c>
      <c r="M20" s="106">
        <f t="shared" si="9"/>
        <v>2305</v>
      </c>
      <c r="N20" s="106">
        <f t="shared" si="1"/>
        <v>18040</v>
      </c>
      <c r="O20" s="109">
        <f t="shared" si="2"/>
        <v>17000</v>
      </c>
      <c r="P20" s="111">
        <v>33.5</v>
      </c>
      <c r="Q20" s="106">
        <v>3000</v>
      </c>
      <c r="R20" s="106">
        <f t="shared" si="10"/>
        <v>500</v>
      </c>
      <c r="S20" s="106">
        <f t="shared" si="3"/>
        <v>569.5</v>
      </c>
      <c r="T20" s="106">
        <f t="shared" si="4"/>
        <v>1092</v>
      </c>
      <c r="U20" s="68">
        <f t="shared" si="11"/>
        <v>1326</v>
      </c>
      <c r="V20" s="106">
        <f t="shared" si="12"/>
        <v>1103</v>
      </c>
      <c r="W20" s="155">
        <f t="shared" si="5"/>
        <v>6.4882352941176471</v>
      </c>
      <c r="X20" s="108">
        <f t="shared" si="6"/>
        <v>3408</v>
      </c>
      <c r="Y20" s="88">
        <v>0</v>
      </c>
      <c r="Z20" s="88">
        <f t="shared" si="7"/>
        <v>17000</v>
      </c>
      <c r="AA20" s="154">
        <f t="shared" si="13"/>
        <v>14000</v>
      </c>
      <c r="AC20" s="304" t="s">
        <v>113</v>
      </c>
      <c r="AD20" s="307">
        <f>AA10/3</f>
        <v>8333.3333333333339</v>
      </c>
      <c r="AE20" s="156">
        <v>1</v>
      </c>
      <c r="AF20" s="106">
        <f>ROUND(AD$20*AE20*1.1, -1)</f>
        <v>9170</v>
      </c>
      <c r="AG20" s="106"/>
      <c r="AH20" s="109">
        <v>8330</v>
      </c>
      <c r="AI20" s="106"/>
    </row>
    <row r="21" spans="2:35" x14ac:dyDescent="0.3">
      <c r="B21" s="80" t="s">
        <v>237</v>
      </c>
      <c r="C21" s="135">
        <v>20000</v>
      </c>
      <c r="D21" s="81">
        <v>18255</v>
      </c>
      <c r="E21" s="81">
        <f>'신규거래처)판매가'!E23</f>
        <v>16000</v>
      </c>
      <c r="F21" s="84">
        <f t="shared" si="8"/>
        <v>2255</v>
      </c>
      <c r="G21" s="83">
        <f t="shared" si="0"/>
        <v>12.352780060257464</v>
      </c>
      <c r="I21" s="99" t="s">
        <v>54</v>
      </c>
      <c r="J21" s="70">
        <v>5000</v>
      </c>
      <c r="K21" s="68">
        <f>온라인판매가!E21</f>
        <v>16000</v>
      </c>
      <c r="L21" s="76">
        <f>온라인판매가!D21</f>
        <v>18255</v>
      </c>
      <c r="M21" s="106">
        <f t="shared" si="9"/>
        <v>2255</v>
      </c>
      <c r="N21" s="106">
        <f t="shared" si="1"/>
        <v>27390</v>
      </c>
      <c r="O21" s="109">
        <f t="shared" si="2"/>
        <v>25000</v>
      </c>
      <c r="P21" s="111">
        <v>27</v>
      </c>
      <c r="Q21" s="106">
        <v>3000</v>
      </c>
      <c r="R21" s="106">
        <f t="shared" si="10"/>
        <v>600</v>
      </c>
      <c r="S21" s="106">
        <f t="shared" si="3"/>
        <v>674.5</v>
      </c>
      <c r="T21" s="106">
        <f t="shared" si="4"/>
        <v>1716</v>
      </c>
      <c r="U21" s="68">
        <f t="shared" si="11"/>
        <v>1950</v>
      </c>
      <c r="V21" s="106">
        <f t="shared" si="12"/>
        <v>1429</v>
      </c>
      <c r="W21" s="155">
        <f t="shared" si="5"/>
        <v>5.7160000000000002</v>
      </c>
      <c r="X21" s="108">
        <f t="shared" si="6"/>
        <v>3684</v>
      </c>
      <c r="Y21" s="88">
        <v>0</v>
      </c>
      <c r="Z21" s="88">
        <f t="shared" si="7"/>
        <v>25000</v>
      </c>
      <c r="AA21" s="154">
        <f t="shared" si="13"/>
        <v>22000</v>
      </c>
      <c r="AC21" s="305"/>
      <c r="AD21" s="308"/>
      <c r="AE21" s="156">
        <v>2</v>
      </c>
      <c r="AF21" s="106">
        <f>AF$20*AE21</f>
        <v>18340</v>
      </c>
      <c r="AG21" s="106">
        <f>AD$20*AE21</f>
        <v>16666.666666666668</v>
      </c>
      <c r="AH21" s="109">
        <f>AD$20*AE21+ROUNDUP(AD$20/20, -1)+3</f>
        <v>17089.666666666668</v>
      </c>
      <c r="AI21" s="106">
        <f>AF21-AH21</f>
        <v>1250.3333333333321</v>
      </c>
    </row>
    <row r="22" spans="2:35" x14ac:dyDescent="0.3">
      <c r="C22" s="64"/>
      <c r="E22" s="64"/>
      <c r="I22" s="64"/>
      <c r="AC22" s="306"/>
      <c r="AD22" s="309"/>
      <c r="AE22" s="156">
        <v>3</v>
      </c>
      <c r="AF22" s="106">
        <f>AF$20*AE22</f>
        <v>27510</v>
      </c>
      <c r="AG22" s="106">
        <f>AD$20*AE22</f>
        <v>25000</v>
      </c>
      <c r="AH22" s="109">
        <f>AD$20*AE22</f>
        <v>25000</v>
      </c>
      <c r="AI22" s="106">
        <f>AF22-AH22</f>
        <v>2510</v>
      </c>
    </row>
    <row r="23" spans="2:35" ht="18.75" customHeight="1" x14ac:dyDescent="0.3">
      <c r="C23" s="64"/>
      <c r="E23" s="64"/>
      <c r="I23" s="99" t="s">
        <v>314</v>
      </c>
      <c r="J23" s="70">
        <v>10</v>
      </c>
      <c r="K23" s="64">
        <v>19680</v>
      </c>
      <c r="L23" s="100">
        <v>28900</v>
      </c>
      <c r="M23" s="100">
        <f>O4-L23</f>
        <v>1800</v>
      </c>
      <c r="N23" s="64">
        <v>3500</v>
      </c>
      <c r="O23" s="64">
        <f t="shared" ref="O23:O40" si="15">(L23*0.1)-(K23*0.1)</f>
        <v>922</v>
      </c>
      <c r="P23" s="100">
        <f t="shared" ref="P23:P40" si="16">L23-K23-N23-O23</f>
        <v>4798</v>
      </c>
      <c r="Q23" s="64">
        <f t="shared" ref="Q23:Q40" si="17">P23/L23*100</f>
        <v>16.602076124567475</v>
      </c>
    </row>
    <row r="24" spans="2:35" x14ac:dyDescent="0.3">
      <c r="C24" s="64"/>
      <c r="E24" s="64"/>
      <c r="I24" s="99" t="s">
        <v>319</v>
      </c>
      <c r="J24" s="70">
        <v>4</v>
      </c>
      <c r="K24" s="64">
        <v>17046</v>
      </c>
      <c r="L24" s="100">
        <v>25500</v>
      </c>
      <c r="M24" s="100">
        <f t="shared" ref="M24:M40" si="18">O5-L24</f>
        <v>1900</v>
      </c>
      <c r="N24" s="64">
        <v>3500</v>
      </c>
      <c r="O24" s="64">
        <f t="shared" si="15"/>
        <v>845.39999999999986</v>
      </c>
      <c r="P24" s="100">
        <f t="shared" si="16"/>
        <v>4108.6000000000004</v>
      </c>
      <c r="Q24" s="64">
        <f t="shared" si="17"/>
        <v>16.112156862745099</v>
      </c>
    </row>
    <row r="25" spans="2:35" x14ac:dyDescent="0.3">
      <c r="C25" s="64"/>
      <c r="E25" s="64"/>
      <c r="I25" s="99" t="s">
        <v>106</v>
      </c>
      <c r="J25" s="70">
        <v>3</v>
      </c>
      <c r="K25" s="64">
        <v>12248</v>
      </c>
      <c r="L25" s="100">
        <v>18990</v>
      </c>
      <c r="M25" s="100">
        <f t="shared" si="18"/>
        <v>1410</v>
      </c>
      <c r="N25" s="64">
        <v>3000</v>
      </c>
      <c r="O25" s="64">
        <f t="shared" si="15"/>
        <v>674.2</v>
      </c>
      <c r="P25" s="100">
        <f t="shared" si="16"/>
        <v>3067.8</v>
      </c>
      <c r="Q25" s="64">
        <f t="shared" si="17"/>
        <v>16.154818325434441</v>
      </c>
    </row>
    <row r="26" spans="2:35" x14ac:dyDescent="0.3">
      <c r="C26" s="64"/>
      <c r="E26" s="64"/>
      <c r="I26" s="99" t="s">
        <v>207</v>
      </c>
      <c r="J26" s="70">
        <v>3</v>
      </c>
      <c r="K26" s="64">
        <v>14190</v>
      </c>
      <c r="L26" s="100">
        <v>22500</v>
      </c>
      <c r="M26" s="100">
        <f t="shared" si="18"/>
        <v>2200</v>
      </c>
      <c r="N26" s="64">
        <v>3500</v>
      </c>
      <c r="O26" s="64">
        <f t="shared" si="15"/>
        <v>831</v>
      </c>
      <c r="P26" s="100">
        <f t="shared" si="16"/>
        <v>3979</v>
      </c>
      <c r="Q26" s="64">
        <f t="shared" si="17"/>
        <v>17.684444444444445</v>
      </c>
    </row>
    <row r="27" spans="2:35" x14ac:dyDescent="0.3">
      <c r="C27" s="64"/>
      <c r="E27" s="64"/>
      <c r="I27" s="260" t="s">
        <v>208</v>
      </c>
      <c r="J27" s="261">
        <v>3</v>
      </c>
      <c r="K27" s="262">
        <v>16044</v>
      </c>
      <c r="L27" s="263">
        <f>O8-U8</f>
        <v>24248.6</v>
      </c>
      <c r="M27" s="263">
        <f t="shared" si="18"/>
        <v>2051.4000000000015</v>
      </c>
      <c r="N27" s="262">
        <v>3500</v>
      </c>
      <c r="O27" s="262">
        <f t="shared" si="15"/>
        <v>820.46</v>
      </c>
      <c r="P27" s="263">
        <f t="shared" si="16"/>
        <v>3884.1399999999985</v>
      </c>
      <c r="Q27" s="262">
        <f t="shared" si="17"/>
        <v>16.017996915285828</v>
      </c>
    </row>
    <row r="28" spans="2:35" x14ac:dyDescent="0.3">
      <c r="C28" s="64"/>
      <c r="E28" s="64"/>
      <c r="I28" s="99" t="s">
        <v>1</v>
      </c>
      <c r="J28" s="70">
        <v>3</v>
      </c>
      <c r="K28" s="64">
        <v>16519</v>
      </c>
      <c r="L28" s="100">
        <v>25400</v>
      </c>
      <c r="M28" s="100">
        <f t="shared" si="18"/>
        <v>2000</v>
      </c>
      <c r="N28" s="64">
        <v>3500</v>
      </c>
      <c r="O28" s="64">
        <f t="shared" si="15"/>
        <v>888.09999999999991</v>
      </c>
      <c r="P28" s="100">
        <f t="shared" si="16"/>
        <v>4492.8999999999996</v>
      </c>
      <c r="Q28" s="64">
        <f t="shared" si="17"/>
        <v>17.688582677165353</v>
      </c>
    </row>
    <row r="29" spans="2:35" x14ac:dyDescent="0.3">
      <c r="C29" s="64"/>
      <c r="E29" s="64"/>
      <c r="I29" s="99" t="s">
        <v>209</v>
      </c>
      <c r="J29" s="70">
        <v>3</v>
      </c>
      <c r="K29" s="64">
        <v>16906</v>
      </c>
      <c r="L29" s="100">
        <v>25900</v>
      </c>
      <c r="M29" s="100">
        <f t="shared" si="18"/>
        <v>2100</v>
      </c>
      <c r="N29" s="64">
        <v>3500</v>
      </c>
      <c r="O29" s="64">
        <f t="shared" si="15"/>
        <v>899.39999999999986</v>
      </c>
      <c r="P29" s="100">
        <f t="shared" si="16"/>
        <v>4594.6000000000004</v>
      </c>
      <c r="Q29" s="64">
        <f t="shared" si="17"/>
        <v>17.739768339768343</v>
      </c>
    </row>
    <row r="30" spans="2:35" x14ac:dyDescent="0.3">
      <c r="C30" s="64"/>
      <c r="E30" s="64"/>
      <c r="I30" s="113">
        <v>150</v>
      </c>
      <c r="J30" s="70">
        <v>150</v>
      </c>
      <c r="K30" s="64">
        <v>12151</v>
      </c>
      <c r="L30" s="100">
        <v>19100</v>
      </c>
      <c r="M30" s="100">
        <f t="shared" si="18"/>
        <v>1610</v>
      </c>
      <c r="N30" s="64">
        <v>3000</v>
      </c>
      <c r="O30" s="64">
        <f t="shared" si="15"/>
        <v>694.89999999999986</v>
      </c>
      <c r="P30" s="100">
        <f t="shared" si="16"/>
        <v>3254.1000000000004</v>
      </c>
      <c r="Q30" s="64">
        <f t="shared" si="17"/>
        <v>17.037172774869109</v>
      </c>
    </row>
    <row r="31" spans="2:35" x14ac:dyDescent="0.3">
      <c r="C31" s="64"/>
      <c r="E31" s="64"/>
      <c r="I31" s="264">
        <v>160</v>
      </c>
      <c r="J31" s="261">
        <v>160</v>
      </c>
      <c r="K31" s="262">
        <v>12590</v>
      </c>
      <c r="L31" s="263">
        <v>19990</v>
      </c>
      <c r="M31" s="263">
        <f t="shared" si="18"/>
        <v>1800</v>
      </c>
      <c r="N31" s="262">
        <v>3000</v>
      </c>
      <c r="O31" s="262">
        <f t="shared" si="15"/>
        <v>740</v>
      </c>
      <c r="P31" s="263">
        <f t="shared" si="16"/>
        <v>3660</v>
      </c>
      <c r="Q31" s="262">
        <f t="shared" si="17"/>
        <v>18.309154577288645</v>
      </c>
    </row>
    <row r="32" spans="2:35" x14ac:dyDescent="0.3">
      <c r="C32" s="64"/>
      <c r="E32" s="64"/>
      <c r="I32" s="113">
        <v>180</v>
      </c>
      <c r="J32" s="70">
        <v>180</v>
      </c>
      <c r="K32" s="64">
        <v>13777</v>
      </c>
      <c r="L32" s="100">
        <f>L30+((K32-K30)*1.3)</f>
        <v>21213.8</v>
      </c>
      <c r="M32" s="100">
        <f t="shared" si="18"/>
        <v>2776.2000000000007</v>
      </c>
      <c r="N32" s="64">
        <v>3000</v>
      </c>
      <c r="O32" s="64">
        <f t="shared" si="15"/>
        <v>743.68000000000006</v>
      </c>
      <c r="P32" s="100">
        <f t="shared" si="16"/>
        <v>3693.119999999999</v>
      </c>
      <c r="Q32" s="64">
        <f t="shared" si="17"/>
        <v>17.409045055577028</v>
      </c>
    </row>
    <row r="33" spans="3:17" x14ac:dyDescent="0.3">
      <c r="C33" s="64"/>
      <c r="E33" s="64"/>
      <c r="I33" s="113">
        <v>200</v>
      </c>
      <c r="J33" s="70">
        <v>200</v>
      </c>
      <c r="K33" s="64">
        <v>14963</v>
      </c>
      <c r="L33" s="100">
        <v>22990</v>
      </c>
      <c r="M33" s="100">
        <f t="shared" si="18"/>
        <v>2910</v>
      </c>
      <c r="N33" s="64">
        <v>3000</v>
      </c>
      <c r="O33" s="64">
        <f t="shared" si="15"/>
        <v>802.69999999999982</v>
      </c>
      <c r="P33" s="100">
        <f t="shared" si="16"/>
        <v>4224.3</v>
      </c>
      <c r="Q33" s="64">
        <f t="shared" si="17"/>
        <v>18.37451065680731</v>
      </c>
    </row>
    <row r="34" spans="3:17" x14ac:dyDescent="0.3">
      <c r="C34" s="64"/>
      <c r="E34" s="64"/>
      <c r="I34" s="113">
        <v>300</v>
      </c>
      <c r="J34" s="70">
        <v>300</v>
      </c>
      <c r="K34" s="64">
        <v>21207</v>
      </c>
      <c r="L34" s="100">
        <f t="shared" ref="L34:L40" si="19">O15-U15</f>
        <v>31809</v>
      </c>
      <c r="M34" s="100">
        <f t="shared" si="18"/>
        <v>2691</v>
      </c>
      <c r="N34" s="64">
        <v>3000</v>
      </c>
      <c r="O34" s="64">
        <f t="shared" si="15"/>
        <v>1060.1999999999998</v>
      </c>
      <c r="P34" s="100">
        <f t="shared" si="16"/>
        <v>6541.8</v>
      </c>
      <c r="Q34" s="64">
        <f t="shared" si="17"/>
        <v>20.565877581816466</v>
      </c>
    </row>
    <row r="35" spans="3:17" x14ac:dyDescent="0.3">
      <c r="C35" s="64"/>
      <c r="E35" s="64"/>
      <c r="I35" s="113">
        <v>160</v>
      </c>
      <c r="J35" s="70">
        <v>160</v>
      </c>
      <c r="K35" s="64">
        <v>13208</v>
      </c>
      <c r="L35" s="100">
        <f t="shared" si="19"/>
        <v>19813.78</v>
      </c>
      <c r="M35" s="100">
        <f t="shared" si="18"/>
        <v>1676.2200000000012</v>
      </c>
      <c r="N35" s="64">
        <v>3000</v>
      </c>
      <c r="O35" s="64">
        <f t="shared" si="15"/>
        <v>660.57799999999975</v>
      </c>
      <c r="P35" s="100">
        <f t="shared" si="16"/>
        <v>2945.2019999999993</v>
      </c>
      <c r="Q35" s="64">
        <f t="shared" si="17"/>
        <v>14.864412545208433</v>
      </c>
    </row>
    <row r="36" spans="3:17" x14ac:dyDescent="0.3">
      <c r="C36" s="64"/>
      <c r="E36" s="64"/>
      <c r="I36" s="113">
        <v>180</v>
      </c>
      <c r="J36" s="70">
        <v>180</v>
      </c>
      <c r="K36" s="64">
        <v>14459</v>
      </c>
      <c r="L36" s="100">
        <f t="shared" si="19"/>
        <v>23040.78</v>
      </c>
      <c r="M36" s="100">
        <f t="shared" si="18"/>
        <v>1949.2200000000012</v>
      </c>
      <c r="N36" s="64">
        <v>3000</v>
      </c>
      <c r="O36" s="64">
        <f t="shared" si="15"/>
        <v>858.17799999999988</v>
      </c>
      <c r="P36" s="100">
        <f t="shared" si="16"/>
        <v>4723.601999999999</v>
      </c>
      <c r="Q36" s="64">
        <f t="shared" si="17"/>
        <v>20.501050745677876</v>
      </c>
    </row>
    <row r="37" spans="3:17" x14ac:dyDescent="0.3">
      <c r="C37" s="64"/>
      <c r="E37" s="64"/>
      <c r="I37" s="113">
        <v>200</v>
      </c>
      <c r="J37" s="70">
        <v>200</v>
      </c>
      <c r="K37" s="64">
        <v>15710</v>
      </c>
      <c r="L37" s="100">
        <f t="shared" si="19"/>
        <v>24894</v>
      </c>
      <c r="M37" s="100">
        <f t="shared" si="18"/>
        <v>2106</v>
      </c>
      <c r="N37" s="64">
        <v>3000</v>
      </c>
      <c r="O37" s="64">
        <f t="shared" si="15"/>
        <v>918.40000000000009</v>
      </c>
      <c r="P37" s="100">
        <f t="shared" si="16"/>
        <v>5265.6</v>
      </c>
      <c r="Q37" s="64">
        <f t="shared" si="17"/>
        <v>21.152084839720416</v>
      </c>
    </row>
    <row r="38" spans="3:17" x14ac:dyDescent="0.3">
      <c r="C38" s="64"/>
      <c r="E38" s="64"/>
      <c r="I38" s="113">
        <v>300</v>
      </c>
      <c r="J38" s="70">
        <v>300</v>
      </c>
      <c r="K38" s="64">
        <v>21993</v>
      </c>
      <c r="L38" s="100">
        <f t="shared" si="19"/>
        <v>32731</v>
      </c>
      <c r="M38" s="100">
        <f t="shared" si="18"/>
        <v>2769</v>
      </c>
      <c r="N38" s="64">
        <v>3000</v>
      </c>
      <c r="O38" s="64">
        <f t="shared" si="15"/>
        <v>1073.8000000000002</v>
      </c>
      <c r="P38" s="100">
        <f t="shared" si="16"/>
        <v>6664.2</v>
      </c>
      <c r="Q38" s="64">
        <f t="shared" si="17"/>
        <v>20.360514496960068</v>
      </c>
    </row>
    <row r="39" spans="3:17" x14ac:dyDescent="0.3">
      <c r="C39" s="64"/>
      <c r="E39" s="64"/>
      <c r="I39" s="99" t="s">
        <v>53</v>
      </c>
      <c r="J39" s="70">
        <v>10000</v>
      </c>
      <c r="K39" s="64">
        <v>9000</v>
      </c>
      <c r="L39" s="100">
        <f t="shared" si="19"/>
        <v>15674</v>
      </c>
      <c r="M39" s="100">
        <f t="shared" si="18"/>
        <v>1326</v>
      </c>
      <c r="N39" s="64">
        <v>3000</v>
      </c>
      <c r="O39" s="64">
        <f t="shared" si="15"/>
        <v>667.40000000000009</v>
      </c>
      <c r="P39" s="100">
        <f t="shared" si="16"/>
        <v>3006.6</v>
      </c>
      <c r="Q39" s="64">
        <f t="shared" si="17"/>
        <v>19.182084981498022</v>
      </c>
    </row>
    <row r="40" spans="3:17" x14ac:dyDescent="0.3">
      <c r="C40" s="64"/>
      <c r="E40" s="64"/>
      <c r="I40" s="99" t="s">
        <v>54</v>
      </c>
      <c r="J40" s="70">
        <v>5000</v>
      </c>
      <c r="K40" s="64">
        <v>16000</v>
      </c>
      <c r="L40" s="100">
        <f t="shared" si="19"/>
        <v>23050</v>
      </c>
      <c r="M40" s="100">
        <f t="shared" si="18"/>
        <v>1950</v>
      </c>
      <c r="N40" s="64">
        <v>3000</v>
      </c>
      <c r="O40" s="64">
        <f t="shared" si="15"/>
        <v>705</v>
      </c>
      <c r="P40" s="100">
        <f t="shared" si="16"/>
        <v>3345</v>
      </c>
      <c r="Q40" s="64">
        <f t="shared" si="17"/>
        <v>14.511930585683297</v>
      </c>
    </row>
    <row r="41" spans="3:17" x14ac:dyDescent="0.3">
      <c r="C41" s="64"/>
      <c r="E41" s="64"/>
      <c r="I41" s="64"/>
    </row>
    <row r="42" spans="3:17" x14ac:dyDescent="0.3">
      <c r="C42" s="64"/>
      <c r="E42" s="64"/>
      <c r="I42" s="64"/>
    </row>
    <row r="43" spans="3:17" x14ac:dyDescent="0.3">
      <c r="C43" s="64"/>
      <c r="E43" s="64"/>
      <c r="I43" s="64"/>
    </row>
    <row r="44" spans="3:17" x14ac:dyDescent="0.3">
      <c r="C44" s="64"/>
      <c r="E44" s="64"/>
      <c r="I44" s="64"/>
    </row>
    <row r="45" spans="3:17" x14ac:dyDescent="0.3">
      <c r="C45" s="64"/>
      <c r="E45" s="64"/>
      <c r="I45" s="64"/>
    </row>
  </sheetData>
  <mergeCells count="16">
    <mergeCell ref="AC17:AC19"/>
    <mergeCell ref="AD17:AD19"/>
    <mergeCell ref="B2:G2"/>
    <mergeCell ref="I2:AA2"/>
    <mergeCell ref="AC20:AC22"/>
    <mergeCell ref="AD20:AD22"/>
    <mergeCell ref="AC7:AC9"/>
    <mergeCell ref="AC4:AC6"/>
    <mergeCell ref="AD4:AD6"/>
    <mergeCell ref="AD7:AD9"/>
    <mergeCell ref="AD14:AD16"/>
    <mergeCell ref="AC14:AC16"/>
    <mergeCell ref="AD10:AD11"/>
    <mergeCell ref="AD12:AD13"/>
    <mergeCell ref="AC10:AC11"/>
    <mergeCell ref="AC12:AC13"/>
  </mergeCells>
  <phoneticPr fontId="1" type="noConversion"/>
  <pageMargins left="0.7" right="0.7" top="0.75" bottom="0.75" header="0.3" footer="0.3"/>
  <pageSetup paperSize="9" orientation="portrait" verticalDpi="20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G27"/>
  <sheetViews>
    <sheetView workbookViewId="0">
      <selection activeCell="O4" sqref="O4"/>
    </sheetView>
  </sheetViews>
  <sheetFormatPr defaultColWidth="9.125" defaultRowHeight="16.5" x14ac:dyDescent="0.3"/>
  <cols>
    <col min="1" max="1" width="5" style="64" customWidth="1"/>
    <col min="2" max="2" width="7.875" style="64" bestFit="1" customWidth="1"/>
    <col min="3" max="3" width="6.75" style="64" bestFit="1" customWidth="1"/>
    <col min="4" max="4" width="6.75" style="74" bestFit="1" customWidth="1"/>
    <col min="5" max="5" width="6.75" style="64" bestFit="1" customWidth="1"/>
    <col min="6" max="6" width="6" style="64" bestFit="1" customWidth="1"/>
    <col min="7" max="7" width="5" style="64" customWidth="1"/>
    <col min="8" max="8" width="7.875" style="114" bestFit="1" customWidth="1"/>
    <col min="9" max="9" width="5.875" style="64" bestFit="1" customWidth="1"/>
    <col min="10" max="11" width="6.875" style="64" bestFit="1" customWidth="1"/>
    <col min="12" max="12" width="6.375" style="64" bestFit="1" customWidth="1"/>
    <col min="13" max="13" width="6.375" style="64" customWidth="1"/>
    <col min="14" max="14" width="7.5" style="64" bestFit="1" customWidth="1"/>
    <col min="15" max="15" width="8.125" style="64" bestFit="1" customWidth="1"/>
    <col min="16" max="16" width="7.25" style="112" bestFit="1" customWidth="1"/>
    <col min="17" max="17" width="6.375" style="64" bestFit="1" customWidth="1"/>
    <col min="18" max="18" width="7.5" style="64" bestFit="1" customWidth="1"/>
    <col min="19" max="21" width="6.375" style="64" bestFit="1" customWidth="1"/>
    <col min="22" max="22" width="6.5" style="74" bestFit="1" customWidth="1"/>
    <col min="23" max="23" width="6.75" style="64" bestFit="1" customWidth="1"/>
    <col min="24" max="24" width="6.75" style="74" bestFit="1" customWidth="1"/>
    <col min="25" max="25" width="4.125" style="74" customWidth="1"/>
    <col min="26" max="26" width="6.375" style="74" bestFit="1" customWidth="1"/>
    <col min="27" max="28" width="10.125" style="74" bestFit="1" customWidth="1"/>
    <col min="29" max="29" width="4" style="74" customWidth="1"/>
    <col min="30" max="30" width="6.375" style="64" bestFit="1" customWidth="1"/>
    <col min="31" max="31" width="10.125" style="64" bestFit="1" customWidth="1"/>
    <col min="32" max="32" width="10.125" style="100" bestFit="1" customWidth="1"/>
    <col min="33" max="16384" width="9.125" style="64"/>
  </cols>
  <sheetData>
    <row r="2" spans="2:33" ht="19.5" x14ac:dyDescent="0.3">
      <c r="B2" s="298" t="s">
        <v>312</v>
      </c>
      <c r="C2" s="299"/>
      <c r="D2" s="299"/>
      <c r="E2" s="299"/>
      <c r="F2" s="300"/>
      <c r="H2" s="310" t="s">
        <v>210</v>
      </c>
      <c r="I2" s="311"/>
      <c r="J2" s="311"/>
      <c r="K2" s="311"/>
      <c r="L2" s="311"/>
      <c r="M2" s="311"/>
      <c r="N2" s="311"/>
      <c r="O2" s="311"/>
      <c r="P2" s="311"/>
      <c r="Q2" s="311"/>
      <c r="R2" s="311"/>
      <c r="S2" s="311"/>
      <c r="T2" s="311"/>
      <c r="U2" s="311"/>
      <c r="V2" s="311"/>
      <c r="W2" s="311"/>
      <c r="X2" s="311"/>
      <c r="Z2" s="312" t="s">
        <v>346</v>
      </c>
      <c r="AA2" s="312"/>
      <c r="AB2" s="312"/>
      <c r="AD2" s="312" t="s">
        <v>346</v>
      </c>
      <c r="AE2" s="312"/>
      <c r="AF2" s="312"/>
    </row>
    <row r="3" spans="2:33" ht="27" x14ac:dyDescent="0.3">
      <c r="B3" s="92" t="s">
        <v>229</v>
      </c>
      <c r="C3" s="93" t="s">
        <v>211</v>
      </c>
      <c r="D3" s="93" t="s">
        <v>212</v>
      </c>
      <c r="E3" s="96" t="s">
        <v>214</v>
      </c>
      <c r="F3" s="96" t="s">
        <v>215</v>
      </c>
      <c r="H3" s="65" t="s">
        <v>42</v>
      </c>
      <c r="I3" s="65" t="s">
        <v>64</v>
      </c>
      <c r="J3" s="66" t="s">
        <v>212</v>
      </c>
      <c r="K3" s="75" t="s">
        <v>224</v>
      </c>
      <c r="L3" s="105" t="s">
        <v>340</v>
      </c>
      <c r="M3" s="105" t="s">
        <v>351</v>
      </c>
      <c r="N3" s="104" t="s">
        <v>350</v>
      </c>
      <c r="O3" s="104" t="s">
        <v>341</v>
      </c>
      <c r="P3" s="110" t="s">
        <v>202</v>
      </c>
      <c r="Q3" s="66" t="s">
        <v>58</v>
      </c>
      <c r="R3" s="66" t="s">
        <v>213</v>
      </c>
      <c r="S3" s="66" t="s">
        <v>216</v>
      </c>
      <c r="T3" s="66" t="s">
        <v>214</v>
      </c>
      <c r="U3" s="67" t="s">
        <v>215</v>
      </c>
      <c r="V3" s="107" t="s">
        <v>221</v>
      </c>
      <c r="W3" s="87" t="s">
        <v>342</v>
      </c>
      <c r="X3" s="87" t="s">
        <v>343</v>
      </c>
      <c r="Z3" s="87" t="s">
        <v>345</v>
      </c>
      <c r="AA3" s="87" t="s">
        <v>347</v>
      </c>
      <c r="AB3" s="87" t="s">
        <v>348</v>
      </c>
      <c r="AD3" s="87" t="s">
        <v>345</v>
      </c>
      <c r="AE3" s="87" t="s">
        <v>347</v>
      </c>
      <c r="AF3" s="87" t="s">
        <v>348</v>
      </c>
    </row>
    <row r="4" spans="2:33" x14ac:dyDescent="0.3">
      <c r="B4" s="80" t="s">
        <v>88</v>
      </c>
      <c r="C4" s="81">
        <v>23000</v>
      </c>
      <c r="D4" s="81">
        <f>'신규거래처)판매가'!E5</f>
        <v>19680</v>
      </c>
      <c r="E4" s="84">
        <f>C4-D4</f>
        <v>3320</v>
      </c>
      <c r="F4" s="83">
        <f t="shared" ref="F4:F21" si="0">E4/C4*100</f>
        <v>14.434782608695651</v>
      </c>
      <c r="H4" s="99" t="s">
        <v>314</v>
      </c>
      <c r="I4" s="70">
        <v>10</v>
      </c>
      <c r="J4" s="68">
        <f>'온라인판매가 (2)'!D4</f>
        <v>19680</v>
      </c>
      <c r="K4" s="76">
        <f>'온라인판매가 (2)'!C4</f>
        <v>23000</v>
      </c>
      <c r="L4" s="106">
        <f>K4-J4</f>
        <v>3320</v>
      </c>
      <c r="M4" s="106">
        <f>K4/0.88</f>
        <v>26136.363636363636</v>
      </c>
      <c r="N4" s="109">
        <f>M4*1.2</f>
        <v>31363.63636363636</v>
      </c>
      <c r="O4" s="109">
        <f>ROUNDDOWN(K4/(1-(P4/100)), -2)</f>
        <v>31000</v>
      </c>
      <c r="P4" s="111">
        <v>26</v>
      </c>
      <c r="Q4" s="68">
        <v>3500</v>
      </c>
      <c r="R4" s="68">
        <f t="shared" ref="R4:R21" si="1">((O4-Q4)*0.1)-J4*0.1</f>
        <v>782</v>
      </c>
      <c r="S4" s="68">
        <f t="shared" ref="S4:S21" si="2">(O4-3000)*0.078</f>
        <v>2184</v>
      </c>
      <c r="T4" s="68">
        <f t="shared" ref="T4:T21" si="3">O4-K4-R4-S4-Q4</f>
        <v>1534</v>
      </c>
      <c r="U4" s="69">
        <f t="shared" ref="U4:U21" si="4">T4/O4*100</f>
        <v>4.9483870967741934</v>
      </c>
      <c r="V4" s="108">
        <f t="shared" ref="V4:V21" si="5">L4+T4</f>
        <v>4854</v>
      </c>
      <c r="W4" s="88">
        <v>30000</v>
      </c>
      <c r="X4" s="88">
        <f t="shared" ref="X4:X21" si="6">O4-W4</f>
        <v>1000</v>
      </c>
      <c r="Z4" s="115">
        <v>200</v>
      </c>
      <c r="AA4" s="88">
        <f t="shared" ref="AA4:AA21" si="7">$Z4*$L4</f>
        <v>664000</v>
      </c>
      <c r="AB4" s="88">
        <f>$Z4*$T4</f>
        <v>306800</v>
      </c>
      <c r="AD4" s="115">
        <v>11.6</v>
      </c>
      <c r="AE4" s="88">
        <f>$AD4*$L4</f>
        <v>38512</v>
      </c>
      <c r="AF4" s="88">
        <f>$AD4*$T4</f>
        <v>17794.399999999998</v>
      </c>
    </row>
    <row r="5" spans="2:33" x14ac:dyDescent="0.3">
      <c r="B5" s="80" t="s">
        <v>230</v>
      </c>
      <c r="C5" s="81">
        <v>19930</v>
      </c>
      <c r="D5" s="81">
        <f>'신규거래처)판매가'!E8</f>
        <v>17046</v>
      </c>
      <c r="E5" s="84">
        <f t="shared" ref="E5:E21" si="8">C5-D5</f>
        <v>2884</v>
      </c>
      <c r="F5" s="83">
        <f t="shared" si="0"/>
        <v>14.470647265429001</v>
      </c>
      <c r="H5" s="99" t="s">
        <v>319</v>
      </c>
      <c r="I5" s="70">
        <v>4</v>
      </c>
      <c r="J5" s="68">
        <f>'온라인판매가 (2)'!D5</f>
        <v>17046</v>
      </c>
      <c r="K5" s="76">
        <f>'온라인판매가 (2)'!C5</f>
        <v>19930</v>
      </c>
      <c r="L5" s="106">
        <f t="shared" ref="L5:L21" si="9">K5-J5</f>
        <v>2884</v>
      </c>
      <c r="M5" s="106">
        <f t="shared" ref="M5:M21" si="10">K5/0.88</f>
        <v>22647.727272727272</v>
      </c>
      <c r="N5" s="109">
        <f t="shared" ref="N5:N21" si="11">M5*1.2</f>
        <v>27177.272727272724</v>
      </c>
      <c r="O5" s="109">
        <f>ROUNDDOWN(K5/(1-(P5/100)), -2)</f>
        <v>27400</v>
      </c>
      <c r="P5" s="111">
        <v>27.5</v>
      </c>
      <c r="Q5" s="68">
        <v>3500</v>
      </c>
      <c r="R5" s="68">
        <f t="shared" si="1"/>
        <v>685.39999999999986</v>
      </c>
      <c r="S5" s="68">
        <f t="shared" si="2"/>
        <v>1903.2</v>
      </c>
      <c r="T5" s="68">
        <f t="shared" si="3"/>
        <v>1381.4000000000005</v>
      </c>
      <c r="U5" s="69">
        <f t="shared" si="4"/>
        <v>5.0416058394160608</v>
      </c>
      <c r="V5" s="108">
        <f t="shared" si="5"/>
        <v>4265.4000000000005</v>
      </c>
      <c r="W5" s="88">
        <v>26620</v>
      </c>
      <c r="X5" s="88">
        <f t="shared" si="6"/>
        <v>780</v>
      </c>
      <c r="Z5" s="88">
        <v>2</v>
      </c>
      <c r="AA5" s="88">
        <f t="shared" si="7"/>
        <v>5768</v>
      </c>
      <c r="AB5" s="88">
        <f t="shared" ref="AB5:AB21" si="12">$Z5*$T5</f>
        <v>2762.8000000000011</v>
      </c>
      <c r="AD5" s="88">
        <v>0</v>
      </c>
      <c r="AE5" s="88">
        <f t="shared" ref="AE5:AE21" si="13">$AD5*L5</f>
        <v>0</v>
      </c>
      <c r="AF5" s="88">
        <f t="shared" ref="AF5:AF21" si="14">$AD5*$T5</f>
        <v>0</v>
      </c>
    </row>
    <row r="6" spans="2:33" x14ac:dyDescent="0.3">
      <c r="B6" s="80" t="s">
        <v>106</v>
      </c>
      <c r="C6" s="81">
        <v>14340</v>
      </c>
      <c r="D6" s="81">
        <f>'신규거래처)판매가'!E9</f>
        <v>12248</v>
      </c>
      <c r="E6" s="84">
        <f t="shared" si="8"/>
        <v>2092</v>
      </c>
      <c r="F6" s="83">
        <f t="shared" si="0"/>
        <v>14.588563458856346</v>
      </c>
      <c r="H6" s="99" t="s">
        <v>106</v>
      </c>
      <c r="I6" s="70">
        <v>3</v>
      </c>
      <c r="J6" s="68">
        <f>'온라인판매가 (2)'!D6</f>
        <v>12248</v>
      </c>
      <c r="K6" s="76">
        <f>'온라인판매가 (2)'!C6</f>
        <v>14340</v>
      </c>
      <c r="L6" s="106">
        <f t="shared" si="9"/>
        <v>2092</v>
      </c>
      <c r="M6" s="106">
        <f t="shared" si="10"/>
        <v>16295.454545454546</v>
      </c>
      <c r="N6" s="109">
        <f t="shared" si="11"/>
        <v>19554.545454545456</v>
      </c>
      <c r="O6" s="109">
        <f t="shared" ref="O6:O21" si="15">ROUNDDOWN(K6/(1-(P6/100)), -2)</f>
        <v>19900</v>
      </c>
      <c r="P6" s="111">
        <v>28</v>
      </c>
      <c r="Q6" s="68">
        <v>3000</v>
      </c>
      <c r="R6" s="68">
        <f t="shared" si="1"/>
        <v>465.20000000000005</v>
      </c>
      <c r="S6" s="68">
        <f t="shared" si="2"/>
        <v>1318.2</v>
      </c>
      <c r="T6" s="68">
        <f t="shared" si="3"/>
        <v>776.60000000000036</v>
      </c>
      <c r="U6" s="69">
        <f t="shared" si="4"/>
        <v>3.902512562814072</v>
      </c>
      <c r="V6" s="108">
        <f t="shared" si="5"/>
        <v>2868.6000000000004</v>
      </c>
      <c r="W6" s="88">
        <v>19900</v>
      </c>
      <c r="X6" s="88">
        <f t="shared" si="6"/>
        <v>0</v>
      </c>
      <c r="Z6" s="88">
        <v>300</v>
      </c>
      <c r="AA6" s="88">
        <f t="shared" si="7"/>
        <v>627600</v>
      </c>
      <c r="AB6" s="88">
        <f t="shared" si="12"/>
        <v>232980.00000000012</v>
      </c>
      <c r="AD6" s="88">
        <v>203</v>
      </c>
      <c r="AE6" s="88">
        <f t="shared" si="13"/>
        <v>424676</v>
      </c>
      <c r="AF6" s="88">
        <f t="shared" si="14"/>
        <v>157649.80000000008</v>
      </c>
      <c r="AG6" s="89"/>
    </row>
    <row r="7" spans="2:33" x14ac:dyDescent="0.3">
      <c r="B7" s="80" t="s">
        <v>233</v>
      </c>
      <c r="C7" s="81">
        <v>16600</v>
      </c>
      <c r="D7" s="81">
        <f>'신규거래처)판매가'!E10</f>
        <v>14190</v>
      </c>
      <c r="E7" s="84">
        <f t="shared" si="8"/>
        <v>2410</v>
      </c>
      <c r="F7" s="83">
        <f t="shared" si="0"/>
        <v>14.518072289156628</v>
      </c>
      <c r="H7" s="99" t="s">
        <v>207</v>
      </c>
      <c r="I7" s="70">
        <v>3</v>
      </c>
      <c r="J7" s="68">
        <f>'온라인판매가 (2)'!D7</f>
        <v>14190</v>
      </c>
      <c r="K7" s="76">
        <f>'온라인판매가 (2)'!C7</f>
        <v>16600</v>
      </c>
      <c r="L7" s="106">
        <f t="shared" si="9"/>
        <v>2410</v>
      </c>
      <c r="M7" s="106">
        <f t="shared" si="10"/>
        <v>18863.636363636364</v>
      </c>
      <c r="N7" s="109">
        <f t="shared" si="11"/>
        <v>22636.363636363636</v>
      </c>
      <c r="O7" s="109">
        <f t="shared" si="15"/>
        <v>24000</v>
      </c>
      <c r="P7" s="111">
        <v>31</v>
      </c>
      <c r="Q7" s="68">
        <v>3500</v>
      </c>
      <c r="R7" s="68">
        <f t="shared" si="1"/>
        <v>631</v>
      </c>
      <c r="S7" s="68">
        <f t="shared" si="2"/>
        <v>1638</v>
      </c>
      <c r="T7" s="68">
        <f t="shared" si="3"/>
        <v>1631</v>
      </c>
      <c r="U7" s="69">
        <f t="shared" si="4"/>
        <v>6.7958333333333325</v>
      </c>
      <c r="V7" s="108">
        <f t="shared" si="5"/>
        <v>4041</v>
      </c>
      <c r="W7" s="88">
        <v>24200</v>
      </c>
      <c r="X7" s="88">
        <f t="shared" si="6"/>
        <v>-200</v>
      </c>
      <c r="Z7" s="88">
        <v>150</v>
      </c>
      <c r="AA7" s="88">
        <f t="shared" si="7"/>
        <v>361500</v>
      </c>
      <c r="AB7" s="88">
        <f t="shared" si="12"/>
        <v>244650</v>
      </c>
      <c r="AD7" s="88">
        <v>36</v>
      </c>
      <c r="AE7" s="88">
        <f t="shared" si="13"/>
        <v>86760</v>
      </c>
      <c r="AF7" s="88">
        <f t="shared" si="14"/>
        <v>58716</v>
      </c>
      <c r="AG7" s="89"/>
    </row>
    <row r="8" spans="2:33" x14ac:dyDescent="0.3">
      <c r="B8" s="80" t="s">
        <v>234</v>
      </c>
      <c r="C8" s="81">
        <v>18750</v>
      </c>
      <c r="D8" s="81">
        <f>'신규거래처)판매가'!E11</f>
        <v>16044</v>
      </c>
      <c r="E8" s="84">
        <f t="shared" si="8"/>
        <v>2706</v>
      </c>
      <c r="F8" s="83">
        <f t="shared" si="0"/>
        <v>14.432</v>
      </c>
      <c r="H8" s="99" t="s">
        <v>208</v>
      </c>
      <c r="I8" s="70">
        <v>3</v>
      </c>
      <c r="J8" s="68">
        <f>'온라인판매가 (2)'!D8</f>
        <v>16044</v>
      </c>
      <c r="K8" s="76">
        <f>'온라인판매가 (2)'!C8</f>
        <v>18750</v>
      </c>
      <c r="L8" s="106">
        <f t="shared" si="9"/>
        <v>2706</v>
      </c>
      <c r="M8" s="106">
        <f t="shared" si="10"/>
        <v>21306.81818181818</v>
      </c>
      <c r="N8" s="109">
        <f t="shared" si="11"/>
        <v>25568.181818181816</v>
      </c>
      <c r="O8" s="109">
        <f t="shared" si="15"/>
        <v>26000</v>
      </c>
      <c r="P8" s="111">
        <v>28</v>
      </c>
      <c r="Q8" s="68">
        <v>3500</v>
      </c>
      <c r="R8" s="68">
        <f t="shared" si="1"/>
        <v>645.59999999999991</v>
      </c>
      <c r="S8" s="68">
        <f t="shared" si="2"/>
        <v>1794</v>
      </c>
      <c r="T8" s="68">
        <f t="shared" si="3"/>
        <v>1310.3999999999996</v>
      </c>
      <c r="U8" s="69">
        <f t="shared" si="4"/>
        <v>5.0399999999999983</v>
      </c>
      <c r="V8" s="108">
        <f t="shared" si="5"/>
        <v>4016.3999999999996</v>
      </c>
      <c r="W8" s="88">
        <v>25800</v>
      </c>
      <c r="X8" s="88">
        <f t="shared" si="6"/>
        <v>200</v>
      </c>
      <c r="Z8" s="88">
        <v>7.7</v>
      </c>
      <c r="AA8" s="88">
        <f t="shared" si="7"/>
        <v>20836.2</v>
      </c>
      <c r="AB8" s="88">
        <f t="shared" si="12"/>
        <v>10090.079999999998</v>
      </c>
      <c r="AD8" s="88">
        <v>10</v>
      </c>
      <c r="AE8" s="88">
        <f t="shared" si="13"/>
        <v>27060</v>
      </c>
      <c r="AF8" s="88">
        <f t="shared" si="14"/>
        <v>13103.999999999996</v>
      </c>
      <c r="AG8" s="89"/>
    </row>
    <row r="9" spans="2:33" x14ac:dyDescent="0.3">
      <c r="B9" s="80" t="s">
        <v>184</v>
      </c>
      <c r="C9" s="81">
        <v>19300</v>
      </c>
      <c r="D9" s="81">
        <f>'신규거래처)판매가'!E12</f>
        <v>16519</v>
      </c>
      <c r="E9" s="84">
        <f t="shared" si="8"/>
        <v>2781</v>
      </c>
      <c r="F9" s="83">
        <f t="shared" si="0"/>
        <v>14.409326424870466</v>
      </c>
      <c r="H9" s="99" t="s">
        <v>1</v>
      </c>
      <c r="I9" s="70">
        <v>3</v>
      </c>
      <c r="J9" s="68">
        <f>'온라인판매가 (2)'!D9</f>
        <v>16519</v>
      </c>
      <c r="K9" s="76">
        <f>'온라인판매가 (2)'!C9</f>
        <v>19300</v>
      </c>
      <c r="L9" s="106">
        <f t="shared" si="9"/>
        <v>2781</v>
      </c>
      <c r="M9" s="106">
        <f t="shared" si="10"/>
        <v>21931.81818181818</v>
      </c>
      <c r="N9" s="109">
        <f t="shared" si="11"/>
        <v>26318.181818181816</v>
      </c>
      <c r="O9" s="109">
        <f t="shared" si="15"/>
        <v>26900</v>
      </c>
      <c r="P9" s="111">
        <v>28.5</v>
      </c>
      <c r="Q9" s="68">
        <v>3500</v>
      </c>
      <c r="R9" s="68">
        <f t="shared" si="1"/>
        <v>688.09999999999991</v>
      </c>
      <c r="S9" s="68">
        <f t="shared" si="2"/>
        <v>1864.2</v>
      </c>
      <c r="T9" s="68">
        <f t="shared" si="3"/>
        <v>1547.6999999999998</v>
      </c>
      <c r="U9" s="69">
        <f t="shared" si="4"/>
        <v>5.7535315985130104</v>
      </c>
      <c r="V9" s="108">
        <f t="shared" si="5"/>
        <v>4328.7</v>
      </c>
      <c r="W9" s="88">
        <v>26900</v>
      </c>
      <c r="X9" s="88">
        <f t="shared" si="6"/>
        <v>0</v>
      </c>
      <c r="Z9" s="88">
        <v>1</v>
      </c>
      <c r="AA9" s="88">
        <f t="shared" si="7"/>
        <v>2781</v>
      </c>
      <c r="AB9" s="88">
        <f t="shared" si="12"/>
        <v>1547.6999999999998</v>
      </c>
      <c r="AD9" s="88">
        <v>1</v>
      </c>
      <c r="AE9" s="88">
        <f t="shared" si="13"/>
        <v>2781</v>
      </c>
      <c r="AF9" s="88">
        <f t="shared" si="14"/>
        <v>1547.6999999999998</v>
      </c>
      <c r="AG9" s="89"/>
    </row>
    <row r="10" spans="2:33" x14ac:dyDescent="0.3">
      <c r="B10" s="80" t="s">
        <v>235</v>
      </c>
      <c r="C10" s="81">
        <v>19750</v>
      </c>
      <c r="D10" s="81">
        <f>'신규거래처)판매가'!E13</f>
        <v>16906</v>
      </c>
      <c r="E10" s="84">
        <f t="shared" si="8"/>
        <v>2844</v>
      </c>
      <c r="F10" s="83">
        <f t="shared" si="0"/>
        <v>14.399999999999999</v>
      </c>
      <c r="H10" s="99" t="s">
        <v>209</v>
      </c>
      <c r="I10" s="70">
        <v>3</v>
      </c>
      <c r="J10" s="68">
        <f>'온라인판매가 (2)'!D10</f>
        <v>16906</v>
      </c>
      <c r="K10" s="76">
        <f>'온라인판매가 (2)'!C10</f>
        <v>19750</v>
      </c>
      <c r="L10" s="106">
        <f t="shared" si="9"/>
        <v>2844</v>
      </c>
      <c r="M10" s="106">
        <f t="shared" si="10"/>
        <v>22443.18181818182</v>
      </c>
      <c r="N10" s="109">
        <f t="shared" si="11"/>
        <v>26931.818181818184</v>
      </c>
      <c r="O10" s="109">
        <f t="shared" si="15"/>
        <v>27500</v>
      </c>
      <c r="P10" s="111">
        <v>28.4</v>
      </c>
      <c r="Q10" s="68">
        <v>3500</v>
      </c>
      <c r="R10" s="68">
        <f t="shared" si="1"/>
        <v>709.39999999999986</v>
      </c>
      <c r="S10" s="68">
        <f t="shared" si="2"/>
        <v>1911</v>
      </c>
      <c r="T10" s="68">
        <f t="shared" si="3"/>
        <v>1629.6000000000004</v>
      </c>
      <c r="U10" s="69">
        <f t="shared" si="4"/>
        <v>5.9258181818181832</v>
      </c>
      <c r="V10" s="108">
        <f t="shared" si="5"/>
        <v>4473.6000000000004</v>
      </c>
      <c r="W10" s="88">
        <v>27500</v>
      </c>
      <c r="X10" s="88">
        <f t="shared" si="6"/>
        <v>0</v>
      </c>
      <c r="Z10" s="88">
        <v>3</v>
      </c>
      <c r="AA10" s="88">
        <f t="shared" si="7"/>
        <v>8532</v>
      </c>
      <c r="AB10" s="88">
        <f t="shared" si="12"/>
        <v>4888.8000000000011</v>
      </c>
      <c r="AD10" s="88">
        <v>0</v>
      </c>
      <c r="AE10" s="88">
        <f t="shared" si="13"/>
        <v>0</v>
      </c>
      <c r="AF10" s="88">
        <f t="shared" si="14"/>
        <v>0</v>
      </c>
    </row>
    <row r="11" spans="2:33" x14ac:dyDescent="0.3">
      <c r="B11" s="80">
        <v>150</v>
      </c>
      <c r="C11" s="81">
        <v>14140</v>
      </c>
      <c r="D11" s="81">
        <v>12151</v>
      </c>
      <c r="E11" s="84">
        <f t="shared" si="8"/>
        <v>1989</v>
      </c>
      <c r="F11" s="83">
        <f t="shared" si="0"/>
        <v>14.066478076379067</v>
      </c>
      <c r="H11" s="113">
        <v>150</v>
      </c>
      <c r="I11" s="70">
        <v>150</v>
      </c>
      <c r="J11" s="68">
        <f>'온라인판매가 (2)'!D11</f>
        <v>12151</v>
      </c>
      <c r="K11" s="76">
        <f>'온라인판매가 (2)'!C11</f>
        <v>14140</v>
      </c>
      <c r="L11" s="106">
        <f t="shared" si="9"/>
        <v>1989</v>
      </c>
      <c r="M11" s="106">
        <f t="shared" si="10"/>
        <v>16068.181818181818</v>
      </c>
      <c r="N11" s="109">
        <f t="shared" si="11"/>
        <v>19281.81818181818</v>
      </c>
      <c r="O11" s="109">
        <f>ROUNDDOWN(K11/(1-(P11/100)), -1)</f>
        <v>20200</v>
      </c>
      <c r="P11" s="111">
        <v>30</v>
      </c>
      <c r="Q11" s="68">
        <v>3000</v>
      </c>
      <c r="R11" s="68">
        <f t="shared" si="1"/>
        <v>504.89999999999986</v>
      </c>
      <c r="S11" s="68">
        <f t="shared" si="2"/>
        <v>1341.6</v>
      </c>
      <c r="T11" s="68">
        <f t="shared" si="3"/>
        <v>1213.5</v>
      </c>
      <c r="U11" s="69">
        <f t="shared" si="4"/>
        <v>6.0074257425742577</v>
      </c>
      <c r="V11" s="108">
        <f t="shared" si="5"/>
        <v>3202.5</v>
      </c>
      <c r="W11" s="88">
        <v>0</v>
      </c>
      <c r="X11" s="88">
        <f t="shared" si="6"/>
        <v>20200</v>
      </c>
      <c r="Z11" s="88">
        <v>500</v>
      </c>
      <c r="AA11" s="88">
        <f t="shared" si="7"/>
        <v>994500</v>
      </c>
      <c r="AB11" s="88">
        <f t="shared" si="12"/>
        <v>606750</v>
      </c>
      <c r="AD11" s="88">
        <v>241</v>
      </c>
      <c r="AE11" s="88">
        <f t="shared" si="13"/>
        <v>479349</v>
      </c>
      <c r="AF11" s="88">
        <f t="shared" si="14"/>
        <v>292453.5</v>
      </c>
    </row>
    <row r="12" spans="2:33" x14ac:dyDescent="0.3">
      <c r="B12" s="80">
        <v>160</v>
      </c>
      <c r="C12" s="81">
        <v>14840</v>
      </c>
      <c r="D12" s="81" t="e">
        <f>'신규거래처)판매가'!#REF!</f>
        <v>#REF!</v>
      </c>
      <c r="E12" s="84" t="e">
        <f t="shared" si="8"/>
        <v>#REF!</v>
      </c>
      <c r="F12" s="83" t="e">
        <f t="shared" si="0"/>
        <v>#REF!</v>
      </c>
      <c r="H12" s="119">
        <v>160</v>
      </c>
      <c r="I12" s="120">
        <v>160</v>
      </c>
      <c r="J12" s="121" t="e">
        <f>'온라인판매가 (2)'!D12</f>
        <v>#REF!</v>
      </c>
      <c r="K12" s="121">
        <f>'온라인판매가 (2)'!C12</f>
        <v>14840</v>
      </c>
      <c r="L12" s="121" t="e">
        <f t="shared" si="9"/>
        <v>#REF!</v>
      </c>
      <c r="M12" s="106">
        <f t="shared" si="10"/>
        <v>16863.636363636364</v>
      </c>
      <c r="N12" s="109">
        <f t="shared" si="11"/>
        <v>20236.363636363636</v>
      </c>
      <c r="O12" s="109">
        <f t="shared" ref="O12:O19" si="16">ROUNDDOWN(K12/(1-(P12/100)), -1)</f>
        <v>21200</v>
      </c>
      <c r="P12" s="122">
        <v>30</v>
      </c>
      <c r="Q12" s="121">
        <v>3000</v>
      </c>
      <c r="R12" s="121" t="e">
        <f t="shared" si="1"/>
        <v>#REF!</v>
      </c>
      <c r="S12" s="121">
        <f t="shared" si="2"/>
        <v>1419.6</v>
      </c>
      <c r="T12" s="121" t="e">
        <f t="shared" si="3"/>
        <v>#REF!</v>
      </c>
      <c r="U12" s="123" t="e">
        <f t="shared" si="4"/>
        <v>#REF!</v>
      </c>
      <c r="V12" s="124" t="e">
        <f t="shared" si="5"/>
        <v>#REF!</v>
      </c>
      <c r="W12" s="125">
        <v>20990</v>
      </c>
      <c r="X12" s="125">
        <f t="shared" si="6"/>
        <v>210</v>
      </c>
      <c r="Z12" s="88">
        <v>0</v>
      </c>
      <c r="AA12" s="88" t="e">
        <f t="shared" si="7"/>
        <v>#REF!</v>
      </c>
      <c r="AB12" s="88" t="e">
        <f t="shared" si="12"/>
        <v>#REF!</v>
      </c>
      <c r="AD12" s="88">
        <v>0</v>
      </c>
      <c r="AE12" s="88" t="e">
        <f t="shared" si="13"/>
        <v>#REF!</v>
      </c>
      <c r="AF12" s="88" t="e">
        <f t="shared" si="14"/>
        <v>#REF!</v>
      </c>
    </row>
    <row r="13" spans="2:33" x14ac:dyDescent="0.3">
      <c r="B13" s="80">
        <v>180</v>
      </c>
      <c r="C13" s="81">
        <v>16220</v>
      </c>
      <c r="D13" s="81">
        <f>'신규거래처)판매가'!E15</f>
        <v>13777</v>
      </c>
      <c r="E13" s="84">
        <f t="shared" si="8"/>
        <v>2443</v>
      </c>
      <c r="F13" s="83">
        <f t="shared" si="0"/>
        <v>15.061652281134402</v>
      </c>
      <c r="H13" s="113">
        <v>180</v>
      </c>
      <c r="I13" s="70">
        <v>180</v>
      </c>
      <c r="J13" s="68">
        <f>'온라인판매가 (2)'!D13</f>
        <v>13777</v>
      </c>
      <c r="K13" s="76">
        <f>'온라인판매가 (2)'!C13</f>
        <v>16220</v>
      </c>
      <c r="L13" s="106">
        <f t="shared" si="9"/>
        <v>2443</v>
      </c>
      <c r="M13" s="106">
        <f t="shared" si="10"/>
        <v>18431.81818181818</v>
      </c>
      <c r="N13" s="109">
        <f t="shared" si="11"/>
        <v>22118.181818181816</v>
      </c>
      <c r="O13" s="109">
        <f t="shared" si="16"/>
        <v>23170</v>
      </c>
      <c r="P13" s="111">
        <v>30</v>
      </c>
      <c r="Q13" s="68">
        <v>3000</v>
      </c>
      <c r="R13" s="68">
        <f t="shared" si="1"/>
        <v>639.29999999999995</v>
      </c>
      <c r="S13" s="68">
        <f t="shared" si="2"/>
        <v>1573.26</v>
      </c>
      <c r="T13" s="68">
        <f t="shared" si="3"/>
        <v>1737.4399999999996</v>
      </c>
      <c r="U13" s="69">
        <f t="shared" si="4"/>
        <v>7.4986620630125147</v>
      </c>
      <c r="V13" s="108">
        <f t="shared" si="5"/>
        <v>4180.4399999999996</v>
      </c>
      <c r="W13" s="88">
        <v>23490</v>
      </c>
      <c r="X13" s="88">
        <f t="shared" si="6"/>
        <v>-320</v>
      </c>
      <c r="Z13" s="88">
        <v>0</v>
      </c>
      <c r="AA13" s="88">
        <f t="shared" si="7"/>
        <v>0</v>
      </c>
      <c r="AB13" s="88">
        <f t="shared" si="12"/>
        <v>0</v>
      </c>
      <c r="AD13" s="88">
        <v>0</v>
      </c>
      <c r="AE13" s="88">
        <f t="shared" si="13"/>
        <v>0</v>
      </c>
      <c r="AF13" s="88">
        <f t="shared" si="14"/>
        <v>0</v>
      </c>
    </row>
    <row r="14" spans="2:33" x14ac:dyDescent="0.3">
      <c r="B14" s="80">
        <v>200</v>
      </c>
      <c r="C14" s="81">
        <v>17600</v>
      </c>
      <c r="D14" s="81">
        <f>'신규거래처)판매가'!E16</f>
        <v>14963</v>
      </c>
      <c r="E14" s="84">
        <f t="shared" si="8"/>
        <v>2637</v>
      </c>
      <c r="F14" s="83">
        <f t="shared" si="0"/>
        <v>14.982954545454547</v>
      </c>
      <c r="H14" s="113">
        <v>200</v>
      </c>
      <c r="I14" s="70">
        <v>200</v>
      </c>
      <c r="J14" s="68">
        <f>'온라인판매가 (2)'!D14</f>
        <v>14963</v>
      </c>
      <c r="K14" s="76">
        <f>'온라인판매가 (2)'!C14</f>
        <v>17600</v>
      </c>
      <c r="L14" s="106">
        <f t="shared" si="9"/>
        <v>2637</v>
      </c>
      <c r="M14" s="106">
        <f t="shared" si="10"/>
        <v>20000</v>
      </c>
      <c r="N14" s="109">
        <f t="shared" si="11"/>
        <v>24000</v>
      </c>
      <c r="O14" s="109">
        <f t="shared" si="16"/>
        <v>25140</v>
      </c>
      <c r="P14" s="111">
        <v>30</v>
      </c>
      <c r="Q14" s="68">
        <v>3000</v>
      </c>
      <c r="R14" s="68">
        <f t="shared" si="1"/>
        <v>717.69999999999982</v>
      </c>
      <c r="S14" s="68">
        <f t="shared" si="2"/>
        <v>1726.92</v>
      </c>
      <c r="T14" s="68">
        <f t="shared" si="3"/>
        <v>2095.38</v>
      </c>
      <c r="U14" s="69">
        <f t="shared" si="4"/>
        <v>8.3348448687350842</v>
      </c>
      <c r="V14" s="108">
        <f t="shared" si="5"/>
        <v>4732.38</v>
      </c>
      <c r="W14" s="88">
        <v>25490</v>
      </c>
      <c r="X14" s="88">
        <f t="shared" si="6"/>
        <v>-350</v>
      </c>
      <c r="Z14" s="88">
        <v>1</v>
      </c>
      <c r="AA14" s="88">
        <f t="shared" si="7"/>
        <v>2637</v>
      </c>
      <c r="AB14" s="88">
        <f t="shared" si="12"/>
        <v>2095.38</v>
      </c>
      <c r="AD14" s="88">
        <v>0</v>
      </c>
      <c r="AE14" s="88">
        <f t="shared" si="13"/>
        <v>0</v>
      </c>
      <c r="AF14" s="88">
        <f t="shared" si="14"/>
        <v>0</v>
      </c>
    </row>
    <row r="15" spans="2:33" x14ac:dyDescent="0.3">
      <c r="B15" s="80">
        <v>300</v>
      </c>
      <c r="C15" s="81">
        <v>24550</v>
      </c>
      <c r="D15" s="81">
        <f>'신규거래처)판매가'!E17</f>
        <v>21207</v>
      </c>
      <c r="E15" s="84">
        <f t="shared" si="8"/>
        <v>3343</v>
      </c>
      <c r="F15" s="83">
        <f t="shared" si="0"/>
        <v>13.617107942973524</v>
      </c>
      <c r="H15" s="113">
        <v>300</v>
      </c>
      <c r="I15" s="70">
        <v>300</v>
      </c>
      <c r="J15" s="68">
        <f>'온라인판매가 (2)'!D15</f>
        <v>21207</v>
      </c>
      <c r="K15" s="76">
        <f>'온라인판매가 (2)'!C15</f>
        <v>24550</v>
      </c>
      <c r="L15" s="106">
        <f t="shared" si="9"/>
        <v>3343</v>
      </c>
      <c r="M15" s="106">
        <f t="shared" si="10"/>
        <v>27897.727272727272</v>
      </c>
      <c r="N15" s="109">
        <f t="shared" si="11"/>
        <v>33477.272727272728</v>
      </c>
      <c r="O15" s="109">
        <f t="shared" si="16"/>
        <v>33990</v>
      </c>
      <c r="P15" s="111">
        <v>27.78</v>
      </c>
      <c r="Q15" s="68">
        <v>3000</v>
      </c>
      <c r="R15" s="68">
        <f t="shared" si="1"/>
        <v>978.29999999999973</v>
      </c>
      <c r="S15" s="68">
        <f t="shared" si="2"/>
        <v>2417.2199999999998</v>
      </c>
      <c r="T15" s="68">
        <f t="shared" si="3"/>
        <v>3044.4800000000014</v>
      </c>
      <c r="U15" s="69">
        <f t="shared" si="4"/>
        <v>8.9569873492203627</v>
      </c>
      <c r="V15" s="108">
        <f t="shared" si="5"/>
        <v>6387.4800000000014</v>
      </c>
      <c r="W15" s="88">
        <v>32990</v>
      </c>
      <c r="X15" s="88">
        <f t="shared" si="6"/>
        <v>1000</v>
      </c>
      <c r="Z15" s="88">
        <v>3</v>
      </c>
      <c r="AA15" s="88">
        <f t="shared" si="7"/>
        <v>10029</v>
      </c>
      <c r="AB15" s="88">
        <f t="shared" si="12"/>
        <v>9133.4400000000041</v>
      </c>
      <c r="AD15" s="88">
        <v>0</v>
      </c>
      <c r="AE15" s="88">
        <f t="shared" si="13"/>
        <v>0</v>
      </c>
      <c r="AF15" s="88">
        <f t="shared" si="14"/>
        <v>0</v>
      </c>
    </row>
    <row r="16" spans="2:33" x14ac:dyDescent="0.3">
      <c r="B16" s="80">
        <v>160</v>
      </c>
      <c r="C16" s="81">
        <v>15550</v>
      </c>
      <c r="D16" s="81">
        <f>'신규거래처)판매가'!E18</f>
        <v>12568</v>
      </c>
      <c r="E16" s="84">
        <f t="shared" si="8"/>
        <v>2982</v>
      </c>
      <c r="F16" s="83">
        <f t="shared" si="0"/>
        <v>19.176848874598072</v>
      </c>
      <c r="H16" s="113">
        <v>160</v>
      </c>
      <c r="I16" s="70">
        <v>160</v>
      </c>
      <c r="J16" s="68">
        <f>'온라인판매가 (2)'!D16</f>
        <v>12568</v>
      </c>
      <c r="K16" s="76">
        <f>'온라인판매가 (2)'!C16</f>
        <v>15550</v>
      </c>
      <c r="L16" s="106">
        <f t="shared" si="9"/>
        <v>2982</v>
      </c>
      <c r="M16" s="106">
        <f t="shared" si="10"/>
        <v>17670.454545454544</v>
      </c>
      <c r="N16" s="109">
        <f t="shared" si="11"/>
        <v>21204.545454545452</v>
      </c>
      <c r="O16" s="109">
        <f t="shared" si="16"/>
        <v>22210</v>
      </c>
      <c r="P16" s="111">
        <v>30</v>
      </c>
      <c r="Q16" s="68">
        <v>3000</v>
      </c>
      <c r="R16" s="68">
        <f t="shared" si="1"/>
        <v>664.19999999999982</v>
      </c>
      <c r="S16" s="68">
        <f t="shared" si="2"/>
        <v>1498.38</v>
      </c>
      <c r="T16" s="68">
        <f t="shared" si="3"/>
        <v>1497.42</v>
      </c>
      <c r="U16" s="69">
        <f t="shared" si="4"/>
        <v>6.742098153984692</v>
      </c>
      <c r="V16" s="108">
        <f t="shared" si="5"/>
        <v>4479.42</v>
      </c>
      <c r="W16" s="88">
        <v>21990</v>
      </c>
      <c r="X16" s="88">
        <f t="shared" si="6"/>
        <v>220</v>
      </c>
      <c r="Z16" s="88">
        <v>100</v>
      </c>
      <c r="AA16" s="88">
        <f t="shared" si="7"/>
        <v>298200</v>
      </c>
      <c r="AB16" s="88">
        <f t="shared" si="12"/>
        <v>149742</v>
      </c>
      <c r="AD16" s="88">
        <v>37</v>
      </c>
      <c r="AE16" s="88">
        <f t="shared" si="13"/>
        <v>110334</v>
      </c>
      <c r="AF16" s="88">
        <f t="shared" si="14"/>
        <v>55404.54</v>
      </c>
    </row>
    <row r="17" spans="2:32" x14ac:dyDescent="0.3">
      <c r="B17" s="80">
        <v>180</v>
      </c>
      <c r="C17" s="81">
        <v>17000</v>
      </c>
      <c r="D17" s="81">
        <f>'신규거래처)판매가'!E19</f>
        <v>14459</v>
      </c>
      <c r="E17" s="84">
        <f t="shared" si="8"/>
        <v>2541</v>
      </c>
      <c r="F17" s="83">
        <f t="shared" si="0"/>
        <v>14.94705882352941</v>
      </c>
      <c r="H17" s="113">
        <v>180</v>
      </c>
      <c r="I17" s="70">
        <v>180</v>
      </c>
      <c r="J17" s="68">
        <f>'온라인판매가 (2)'!D17</f>
        <v>14459</v>
      </c>
      <c r="K17" s="76">
        <f>'온라인판매가 (2)'!C17</f>
        <v>17000</v>
      </c>
      <c r="L17" s="106">
        <f t="shared" si="9"/>
        <v>2541</v>
      </c>
      <c r="M17" s="106">
        <f t="shared" si="10"/>
        <v>19318.18181818182</v>
      </c>
      <c r="N17" s="109">
        <f t="shared" si="11"/>
        <v>23181.818181818184</v>
      </c>
      <c r="O17" s="109">
        <f t="shared" si="16"/>
        <v>24280</v>
      </c>
      <c r="P17" s="111">
        <v>30</v>
      </c>
      <c r="Q17" s="68">
        <v>3000</v>
      </c>
      <c r="R17" s="68">
        <f t="shared" si="1"/>
        <v>682.09999999999991</v>
      </c>
      <c r="S17" s="68">
        <f t="shared" si="2"/>
        <v>1659.84</v>
      </c>
      <c r="T17" s="68">
        <f t="shared" si="3"/>
        <v>1938.0599999999995</v>
      </c>
      <c r="U17" s="69">
        <f t="shared" si="4"/>
        <v>7.9821252059308057</v>
      </c>
      <c r="V17" s="108">
        <f t="shared" si="5"/>
        <v>4479.0599999999995</v>
      </c>
      <c r="W17" s="88">
        <v>24490</v>
      </c>
      <c r="X17" s="88">
        <f t="shared" si="6"/>
        <v>-210</v>
      </c>
      <c r="Z17" s="88">
        <v>0</v>
      </c>
      <c r="AA17" s="88">
        <f t="shared" si="7"/>
        <v>0</v>
      </c>
      <c r="AB17" s="88">
        <f t="shared" si="12"/>
        <v>0</v>
      </c>
      <c r="AD17" s="88">
        <v>0</v>
      </c>
      <c r="AE17" s="88">
        <f t="shared" si="13"/>
        <v>0</v>
      </c>
      <c r="AF17" s="88">
        <f t="shared" si="14"/>
        <v>0</v>
      </c>
    </row>
    <row r="18" spans="2:32" x14ac:dyDescent="0.3">
      <c r="B18" s="80">
        <v>200</v>
      </c>
      <c r="C18" s="81">
        <v>18500</v>
      </c>
      <c r="D18" s="81">
        <f>'신규거래처)판매가'!E20</f>
        <v>15710</v>
      </c>
      <c r="E18" s="84">
        <f t="shared" si="8"/>
        <v>2790</v>
      </c>
      <c r="F18" s="83">
        <f t="shared" si="0"/>
        <v>15.081081081081079</v>
      </c>
      <c r="H18" s="113">
        <v>200</v>
      </c>
      <c r="I18" s="70">
        <v>200</v>
      </c>
      <c r="J18" s="68">
        <f>'온라인판매가 (2)'!D18</f>
        <v>15710</v>
      </c>
      <c r="K18" s="76">
        <f>'온라인판매가 (2)'!C18</f>
        <v>18500</v>
      </c>
      <c r="L18" s="106">
        <f t="shared" si="9"/>
        <v>2790</v>
      </c>
      <c r="M18" s="106">
        <f t="shared" si="10"/>
        <v>21022.727272727272</v>
      </c>
      <c r="N18" s="109">
        <f t="shared" si="11"/>
        <v>25227.272727272724</v>
      </c>
      <c r="O18" s="109">
        <f t="shared" si="16"/>
        <v>26420</v>
      </c>
      <c r="P18" s="111">
        <v>30</v>
      </c>
      <c r="Q18" s="68">
        <v>3000</v>
      </c>
      <c r="R18" s="68">
        <f t="shared" si="1"/>
        <v>771</v>
      </c>
      <c r="S18" s="68">
        <f t="shared" si="2"/>
        <v>1826.76</v>
      </c>
      <c r="T18" s="68">
        <f t="shared" si="3"/>
        <v>2322.2399999999998</v>
      </c>
      <c r="U18" s="69">
        <f t="shared" si="4"/>
        <v>8.7897047691143069</v>
      </c>
      <c r="V18" s="108">
        <f t="shared" si="5"/>
        <v>5112.24</v>
      </c>
      <c r="W18" s="88">
        <v>26490</v>
      </c>
      <c r="X18" s="88">
        <f t="shared" si="6"/>
        <v>-70</v>
      </c>
      <c r="Z18" s="88">
        <v>1</v>
      </c>
      <c r="AA18" s="88">
        <f t="shared" si="7"/>
        <v>2790</v>
      </c>
      <c r="AB18" s="88">
        <f t="shared" si="12"/>
        <v>2322.2399999999998</v>
      </c>
      <c r="AD18" s="88">
        <v>1</v>
      </c>
      <c r="AE18" s="88">
        <f t="shared" si="13"/>
        <v>2790</v>
      </c>
      <c r="AF18" s="88">
        <f t="shared" si="14"/>
        <v>2322.2399999999998</v>
      </c>
    </row>
    <row r="19" spans="2:32" x14ac:dyDescent="0.3">
      <c r="B19" s="80">
        <v>300</v>
      </c>
      <c r="C19" s="81">
        <v>25800</v>
      </c>
      <c r="D19" s="81">
        <f>'신규거래처)판매가'!E21</f>
        <v>21993</v>
      </c>
      <c r="E19" s="84">
        <f t="shared" si="8"/>
        <v>3807</v>
      </c>
      <c r="F19" s="83">
        <f t="shared" si="0"/>
        <v>14.755813953488373</v>
      </c>
      <c r="H19" s="113">
        <v>300</v>
      </c>
      <c r="I19" s="70">
        <v>300</v>
      </c>
      <c r="J19" s="68">
        <f>'온라인판매가 (2)'!D19</f>
        <v>21993</v>
      </c>
      <c r="K19" s="76">
        <f>'온라인판매가 (2)'!C19</f>
        <v>25800</v>
      </c>
      <c r="L19" s="106">
        <f t="shared" si="9"/>
        <v>3807</v>
      </c>
      <c r="M19" s="106">
        <f t="shared" si="10"/>
        <v>29318.18181818182</v>
      </c>
      <c r="N19" s="109">
        <f t="shared" si="11"/>
        <v>35181.818181818184</v>
      </c>
      <c r="O19" s="109">
        <f t="shared" si="16"/>
        <v>35340</v>
      </c>
      <c r="P19" s="111">
        <v>27</v>
      </c>
      <c r="Q19" s="68">
        <v>3000</v>
      </c>
      <c r="R19" s="68">
        <f t="shared" si="1"/>
        <v>1034.6999999999998</v>
      </c>
      <c r="S19" s="68">
        <f t="shared" si="2"/>
        <v>2522.52</v>
      </c>
      <c r="T19" s="68">
        <f t="shared" si="3"/>
        <v>2982.7799999999988</v>
      </c>
      <c r="U19" s="69">
        <f t="shared" si="4"/>
        <v>8.4402376910016947</v>
      </c>
      <c r="V19" s="108">
        <f t="shared" si="5"/>
        <v>6789.7799999999988</v>
      </c>
      <c r="W19" s="88">
        <v>33990</v>
      </c>
      <c r="X19" s="88">
        <f t="shared" si="6"/>
        <v>1350</v>
      </c>
      <c r="Z19" s="88">
        <v>0</v>
      </c>
      <c r="AA19" s="88">
        <f t="shared" si="7"/>
        <v>0</v>
      </c>
      <c r="AB19" s="88">
        <f t="shared" si="12"/>
        <v>0</v>
      </c>
      <c r="AD19" s="88">
        <v>0</v>
      </c>
      <c r="AE19" s="88">
        <f t="shared" si="13"/>
        <v>0</v>
      </c>
      <c r="AF19" s="88">
        <f t="shared" si="14"/>
        <v>0</v>
      </c>
    </row>
    <row r="20" spans="2:32" x14ac:dyDescent="0.3">
      <c r="B20" s="80" t="s">
        <v>236</v>
      </c>
      <c r="C20" s="81">
        <v>11000</v>
      </c>
      <c r="D20" s="81">
        <f>'신규거래처)판매가'!E22</f>
        <v>9000</v>
      </c>
      <c r="E20" s="84">
        <f t="shared" si="8"/>
        <v>2000</v>
      </c>
      <c r="F20" s="83">
        <f t="shared" si="0"/>
        <v>18.181818181818183</v>
      </c>
      <c r="H20" s="99" t="s">
        <v>114</v>
      </c>
      <c r="I20" s="70">
        <v>10000</v>
      </c>
      <c r="J20" s="68">
        <f>'온라인판매가 (2)'!D20</f>
        <v>9000</v>
      </c>
      <c r="K20" s="76">
        <f>'온라인판매가 (2)'!C20</f>
        <v>11000</v>
      </c>
      <c r="L20" s="106">
        <f t="shared" si="9"/>
        <v>2000</v>
      </c>
      <c r="M20" s="106">
        <f t="shared" si="10"/>
        <v>12500</v>
      </c>
      <c r="N20" s="109">
        <f t="shared" si="11"/>
        <v>15000</v>
      </c>
      <c r="O20" s="109">
        <f t="shared" si="15"/>
        <v>16500</v>
      </c>
      <c r="P20" s="111">
        <v>33.5</v>
      </c>
      <c r="Q20" s="68">
        <v>3000</v>
      </c>
      <c r="R20" s="68">
        <f t="shared" si="1"/>
        <v>450</v>
      </c>
      <c r="S20" s="68">
        <f t="shared" si="2"/>
        <v>1053</v>
      </c>
      <c r="T20" s="68">
        <f t="shared" si="3"/>
        <v>997</v>
      </c>
      <c r="U20" s="69">
        <f t="shared" si="4"/>
        <v>6.042424242424242</v>
      </c>
      <c r="V20" s="108">
        <f t="shared" si="5"/>
        <v>2997</v>
      </c>
      <c r="W20" s="88">
        <v>0</v>
      </c>
      <c r="X20" s="88">
        <f t="shared" si="6"/>
        <v>16500</v>
      </c>
      <c r="Z20" s="88">
        <v>0</v>
      </c>
      <c r="AA20" s="88">
        <f t="shared" si="7"/>
        <v>0</v>
      </c>
      <c r="AB20" s="88">
        <f t="shared" si="12"/>
        <v>0</v>
      </c>
      <c r="AD20" s="88">
        <v>0</v>
      </c>
      <c r="AE20" s="88">
        <f t="shared" si="13"/>
        <v>0</v>
      </c>
      <c r="AF20" s="88">
        <f t="shared" si="14"/>
        <v>0</v>
      </c>
    </row>
    <row r="21" spans="2:32" x14ac:dyDescent="0.3">
      <c r="B21" s="80" t="s">
        <v>237</v>
      </c>
      <c r="C21" s="81">
        <v>18500</v>
      </c>
      <c r="D21" s="81">
        <f>'신규거래처)판매가'!E23</f>
        <v>16000</v>
      </c>
      <c r="E21" s="84">
        <f t="shared" si="8"/>
        <v>2500</v>
      </c>
      <c r="F21" s="83">
        <f t="shared" si="0"/>
        <v>13.513513513513514</v>
      </c>
      <c r="H21" s="99" t="s">
        <v>54</v>
      </c>
      <c r="I21" s="70">
        <v>5000</v>
      </c>
      <c r="J21" s="68">
        <f>'온라인판매가 (2)'!D21</f>
        <v>16000</v>
      </c>
      <c r="K21" s="76">
        <f>'온라인판매가 (2)'!C21</f>
        <v>18500</v>
      </c>
      <c r="L21" s="106">
        <f t="shared" si="9"/>
        <v>2500</v>
      </c>
      <c r="M21" s="106">
        <f t="shared" si="10"/>
        <v>21022.727272727272</v>
      </c>
      <c r="N21" s="109">
        <f t="shared" si="11"/>
        <v>25227.272727272724</v>
      </c>
      <c r="O21" s="109">
        <f t="shared" si="15"/>
        <v>25300</v>
      </c>
      <c r="P21" s="111">
        <v>27</v>
      </c>
      <c r="Q21" s="68">
        <v>3000</v>
      </c>
      <c r="R21" s="68">
        <f t="shared" si="1"/>
        <v>630</v>
      </c>
      <c r="S21" s="68">
        <f t="shared" si="2"/>
        <v>1739.4</v>
      </c>
      <c r="T21" s="68">
        <f t="shared" si="3"/>
        <v>1430.6000000000004</v>
      </c>
      <c r="U21" s="69">
        <f t="shared" si="4"/>
        <v>5.6545454545454561</v>
      </c>
      <c r="V21" s="108">
        <f t="shared" si="5"/>
        <v>3930.6000000000004</v>
      </c>
      <c r="W21" s="88">
        <v>0</v>
      </c>
      <c r="X21" s="88">
        <f t="shared" si="6"/>
        <v>25300</v>
      </c>
      <c r="Z21" s="88">
        <v>0</v>
      </c>
      <c r="AA21" s="88">
        <f t="shared" si="7"/>
        <v>0</v>
      </c>
      <c r="AB21" s="88">
        <f t="shared" si="12"/>
        <v>0</v>
      </c>
      <c r="AD21" s="88">
        <v>0</v>
      </c>
      <c r="AE21" s="88">
        <f t="shared" si="13"/>
        <v>0</v>
      </c>
      <c r="AF21" s="88">
        <f t="shared" si="14"/>
        <v>0</v>
      </c>
    </row>
    <row r="22" spans="2:32" x14ac:dyDescent="0.3">
      <c r="Z22" s="118">
        <f>SUM(Z4:Z21)</f>
        <v>1268.7</v>
      </c>
      <c r="AA22" s="116" t="e">
        <f>SUM(AA4:AA21)</f>
        <v>#REF!</v>
      </c>
      <c r="AB22" s="116" t="e">
        <f>SUM(AB4:AB21)</f>
        <v>#REF!</v>
      </c>
      <c r="AD22" s="118">
        <f>SUM(AD4:AD21)</f>
        <v>540.6</v>
      </c>
      <c r="AE22" s="116" t="e">
        <f>SUM(AE4:AE21)</f>
        <v>#REF!</v>
      </c>
      <c r="AF22" s="116" t="e">
        <f>SUM(AF4:AF21)</f>
        <v>#REF!</v>
      </c>
    </row>
    <row r="23" spans="2:32" x14ac:dyDescent="0.3">
      <c r="J23" s="100" t="e">
        <f>J12-J11</f>
        <v>#REF!</v>
      </c>
      <c r="K23" s="64" t="e">
        <f>J23/0.7</f>
        <v>#REF!</v>
      </c>
      <c r="Z23" s="313" t="s">
        <v>349</v>
      </c>
      <c r="AA23" s="313"/>
      <c r="AB23" s="117" t="e">
        <f>AA22+AB22</f>
        <v>#REF!</v>
      </c>
      <c r="AD23" s="313" t="s">
        <v>349</v>
      </c>
      <c r="AE23" s="313"/>
      <c r="AF23" s="117" t="e">
        <f>AE22+AF22</f>
        <v>#REF!</v>
      </c>
    </row>
    <row r="24" spans="2:32" x14ac:dyDescent="0.3">
      <c r="J24" s="100"/>
      <c r="K24" s="64">
        <f>K11/0.7</f>
        <v>20200</v>
      </c>
      <c r="R24" s="68">
        <f>(O6)*0.078</f>
        <v>1552.2</v>
      </c>
    </row>
    <row r="25" spans="2:32" x14ac:dyDescent="0.3">
      <c r="R25" s="100">
        <f>O6-R24</f>
        <v>18347.8</v>
      </c>
    </row>
    <row r="26" spans="2:32" x14ac:dyDescent="0.3">
      <c r="R26" s="100">
        <f>R25-K6</f>
        <v>4007.7999999999993</v>
      </c>
    </row>
    <row r="27" spans="2:32" x14ac:dyDescent="0.3">
      <c r="J27" s="100"/>
      <c r="R27" s="100">
        <f>R26-3000</f>
        <v>1007.7999999999993</v>
      </c>
    </row>
  </sheetData>
  <mergeCells count="6">
    <mergeCell ref="B2:F2"/>
    <mergeCell ref="H2:X2"/>
    <mergeCell ref="Z2:AB2"/>
    <mergeCell ref="AD2:AF2"/>
    <mergeCell ref="Z23:AA23"/>
    <mergeCell ref="AD23:AE23"/>
  </mergeCells>
  <phoneticPr fontId="1" type="noConversion"/>
  <pageMargins left="0.7" right="0.7" top="0.75" bottom="0.75" header="0.3" footer="0.3"/>
  <pageSetup paperSize="9" orientation="portrait" verticalDpi="20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A34"/>
  <sheetViews>
    <sheetView topLeftCell="A4" workbookViewId="0">
      <selection activeCell="AD22" sqref="AD22"/>
    </sheetView>
  </sheetViews>
  <sheetFormatPr defaultColWidth="9" defaultRowHeight="16.5" x14ac:dyDescent="0.3"/>
  <cols>
    <col min="1" max="2" width="4.375" style="64" customWidth="1"/>
    <col min="3" max="3" width="9" style="64" bestFit="1" customWidth="1"/>
    <col min="4" max="5" width="4.5" style="114" bestFit="1" customWidth="1"/>
    <col min="6" max="6" width="6.75" style="114" bestFit="1" customWidth="1"/>
    <col min="7" max="7" width="6.75" style="100" bestFit="1" customWidth="1"/>
    <col min="8" max="8" width="6" style="100" bestFit="1" customWidth="1"/>
    <col min="9" max="9" width="3.625" style="64" customWidth="1"/>
    <col min="10" max="10" width="6.75" style="74" bestFit="1" customWidth="1"/>
    <col min="11" max="11" width="6.75" style="74" customWidth="1"/>
    <col min="12" max="12" width="6" style="74" bestFit="1" customWidth="1"/>
    <col min="13" max="13" width="3.125" style="74" customWidth="1"/>
    <col min="14" max="14" width="8.25" style="74" bestFit="1" customWidth="1"/>
    <col min="15" max="15" width="4.5" style="74" bestFit="1" customWidth="1"/>
    <col min="16" max="16" width="6" style="74" bestFit="1" customWidth="1"/>
    <col min="17" max="17" width="4.375" style="64" customWidth="1"/>
    <col min="18" max="18" width="9" style="64"/>
    <col min="19" max="19" width="11.375" style="74" bestFit="1" customWidth="1"/>
    <col min="20" max="20" width="2.125" style="64" customWidth="1"/>
    <col min="21" max="21" width="8.25" style="64" bestFit="1" customWidth="1"/>
    <col min="22" max="22" width="5.875" style="64" bestFit="1" customWidth="1"/>
    <col min="23" max="23" width="2.125" style="64" customWidth="1"/>
    <col min="24" max="24" width="9.5" style="64" bestFit="1" customWidth="1"/>
    <col min="25" max="25" width="2.25" style="64" customWidth="1"/>
    <col min="26" max="26" width="7.5" style="64" bestFit="1" customWidth="1"/>
    <col min="27" max="16384" width="9" style="64"/>
  </cols>
  <sheetData>
    <row r="2" spans="1:27" x14ac:dyDescent="0.3">
      <c r="B2" s="159"/>
      <c r="C2" s="159"/>
      <c r="D2" s="169"/>
      <c r="E2" s="169"/>
      <c r="F2" s="169"/>
      <c r="G2" s="160"/>
      <c r="H2" s="160"/>
      <c r="I2" s="159"/>
      <c r="J2" s="211"/>
      <c r="K2" s="211"/>
      <c r="L2" s="211"/>
      <c r="M2" s="211"/>
      <c r="N2" s="211"/>
      <c r="O2" s="211"/>
      <c r="P2" s="211"/>
      <c r="Q2" s="159"/>
    </row>
    <row r="3" spans="1:27" ht="14.25" customHeight="1" x14ac:dyDescent="0.3">
      <c r="B3" s="159"/>
      <c r="C3" s="320"/>
      <c r="D3" s="320"/>
      <c r="E3" s="320"/>
      <c r="F3" s="320"/>
      <c r="G3" s="320"/>
      <c r="H3" s="320"/>
      <c r="I3" s="320"/>
      <c r="J3" s="320"/>
      <c r="K3" s="320"/>
      <c r="L3" s="320"/>
      <c r="M3" s="212"/>
      <c r="N3" s="212"/>
      <c r="O3" s="212"/>
      <c r="P3" s="212"/>
      <c r="Q3" s="159"/>
    </row>
    <row r="4" spans="1:27" ht="20.25" x14ac:dyDescent="0.3">
      <c r="B4" s="159"/>
      <c r="C4" s="321" t="s">
        <v>383</v>
      </c>
      <c r="D4" s="321"/>
      <c r="E4" s="321"/>
      <c r="F4" s="321"/>
      <c r="G4" s="321"/>
      <c r="H4" s="321"/>
      <c r="I4" s="321"/>
      <c r="J4" s="321"/>
      <c r="K4" s="321"/>
      <c r="L4" s="321"/>
      <c r="M4" s="213"/>
      <c r="N4" s="213"/>
      <c r="O4" s="213"/>
      <c r="P4" s="213"/>
      <c r="Q4" s="159"/>
    </row>
    <row r="5" spans="1:27" x14ac:dyDescent="0.3">
      <c r="B5" s="159"/>
      <c r="C5" s="166"/>
      <c r="D5" s="319" t="s">
        <v>384</v>
      </c>
      <c r="E5" s="319"/>
      <c r="F5" s="319"/>
      <c r="G5" s="319"/>
      <c r="H5" s="319"/>
      <c r="I5" s="319"/>
      <c r="J5" s="319"/>
      <c r="K5" s="319"/>
      <c r="L5" s="319"/>
      <c r="M5" s="214"/>
      <c r="N5" s="214"/>
      <c r="O5" s="214"/>
      <c r="P5" s="214"/>
      <c r="Q5" s="159"/>
    </row>
    <row r="6" spans="1:27" x14ac:dyDescent="0.3">
      <c r="B6" s="159"/>
      <c r="C6" s="166"/>
      <c r="D6" s="170"/>
      <c r="E6" s="318" t="s">
        <v>402</v>
      </c>
      <c r="F6" s="318"/>
      <c r="G6" s="318"/>
      <c r="H6" s="318"/>
      <c r="I6" s="318"/>
      <c r="J6" s="318"/>
      <c r="K6" s="318"/>
      <c r="L6" s="318"/>
      <c r="M6" s="215"/>
      <c r="N6" s="215"/>
      <c r="O6" s="215"/>
      <c r="P6" s="215"/>
      <c r="Q6" s="159"/>
    </row>
    <row r="7" spans="1:27" x14ac:dyDescent="0.3">
      <c r="B7" s="159"/>
      <c r="C7" s="167"/>
      <c r="D7" s="170"/>
      <c r="E7" s="318"/>
      <c r="F7" s="318"/>
      <c r="G7" s="318"/>
      <c r="H7" s="318"/>
      <c r="I7" s="318"/>
      <c r="J7" s="318"/>
      <c r="K7" s="318"/>
      <c r="L7" s="318"/>
      <c r="M7" s="215"/>
      <c r="N7" s="215"/>
      <c r="O7" s="215"/>
      <c r="P7" s="215"/>
      <c r="Q7" s="159"/>
    </row>
    <row r="8" spans="1:27" ht="11.25" customHeight="1" x14ac:dyDescent="0.3">
      <c r="B8" s="159"/>
      <c r="C8" s="167"/>
      <c r="D8" s="170"/>
      <c r="E8" s="171"/>
      <c r="F8" s="171"/>
      <c r="G8" s="168"/>
      <c r="H8" s="168"/>
      <c r="I8" s="168"/>
      <c r="J8" s="215"/>
      <c r="K8" s="215"/>
      <c r="L8" s="215"/>
      <c r="M8" s="215"/>
      <c r="N8" s="215"/>
      <c r="O8" s="215"/>
      <c r="P8" s="215"/>
      <c r="Q8" s="159"/>
    </row>
    <row r="9" spans="1:27" x14ac:dyDescent="0.3">
      <c r="B9" s="159"/>
      <c r="C9" s="157"/>
      <c r="E9" s="172"/>
      <c r="F9" s="172"/>
      <c r="G9" s="165"/>
      <c r="H9" s="165"/>
      <c r="I9" s="165"/>
      <c r="J9" s="216"/>
      <c r="K9" s="216"/>
      <c r="L9" s="216"/>
      <c r="M9" s="216"/>
      <c r="N9" s="216"/>
      <c r="O9" s="216"/>
      <c r="P9" s="216"/>
      <c r="Q9" s="159"/>
    </row>
    <row r="10" spans="1:27" x14ac:dyDescent="0.3">
      <c r="B10" s="159"/>
      <c r="C10" s="163"/>
      <c r="D10" s="173"/>
      <c r="E10" s="174"/>
      <c r="F10" s="323" t="s">
        <v>385</v>
      </c>
      <c r="G10" s="324"/>
      <c r="H10" s="325"/>
      <c r="I10" s="162"/>
      <c r="J10" s="322" t="s">
        <v>400</v>
      </c>
      <c r="K10" s="322"/>
      <c r="L10" s="317"/>
      <c r="M10" s="217"/>
      <c r="N10" s="217"/>
      <c r="O10" s="316" t="s">
        <v>404</v>
      </c>
      <c r="P10" s="317"/>
      <c r="Q10" s="159"/>
      <c r="S10" s="221" t="s">
        <v>418</v>
      </c>
      <c r="T10" s="256"/>
      <c r="U10" s="314" t="s">
        <v>419</v>
      </c>
      <c r="V10" s="315"/>
      <c r="W10" s="256"/>
      <c r="X10" s="259" t="s">
        <v>420</v>
      </c>
      <c r="Y10" s="256"/>
      <c r="Z10" s="219" t="s">
        <v>422</v>
      </c>
      <c r="AA10" s="258" t="s">
        <v>422</v>
      </c>
    </row>
    <row r="11" spans="1:27" s="183" customFormat="1" ht="18" customHeight="1" x14ac:dyDescent="0.3">
      <c r="A11" s="164"/>
      <c r="B11" s="178"/>
      <c r="C11" s="175" t="s">
        <v>386</v>
      </c>
      <c r="D11" s="175" t="s">
        <v>388</v>
      </c>
      <c r="E11" s="175" t="s">
        <v>387</v>
      </c>
      <c r="F11" s="179" t="s">
        <v>199</v>
      </c>
      <c r="G11" s="179" t="s">
        <v>399</v>
      </c>
      <c r="H11" s="180" t="s">
        <v>377</v>
      </c>
      <c r="I11" s="181"/>
      <c r="J11" s="218" t="s">
        <v>199</v>
      </c>
      <c r="K11" s="218" t="s">
        <v>297</v>
      </c>
      <c r="L11" s="219" t="s">
        <v>401</v>
      </c>
      <c r="M11" s="220"/>
      <c r="N11" s="221" t="s">
        <v>406</v>
      </c>
      <c r="O11" s="222" t="s">
        <v>403</v>
      </c>
      <c r="P11" s="219" t="s">
        <v>405</v>
      </c>
      <c r="Q11" s="182"/>
      <c r="S11" s="221">
        <f>F12-F$13</f>
        <v>-5540</v>
      </c>
      <c r="T11" s="256"/>
      <c r="U11" s="222">
        <f t="shared" ref="U11:U18" si="0">F18-F$20</f>
        <v>1470</v>
      </c>
      <c r="V11" s="222">
        <f t="shared" ref="V11:V18" si="1">F18-F$22</f>
        <v>720</v>
      </c>
      <c r="W11" s="256"/>
      <c r="X11" s="259">
        <f t="shared" ref="X11:X18" si="2">F26-F$26</f>
        <v>0</v>
      </c>
      <c r="Y11" s="256"/>
      <c r="Z11" s="219">
        <f>F12-F$26</f>
        <v>-3570</v>
      </c>
      <c r="AA11" s="258"/>
    </row>
    <row r="12" spans="1:27" x14ac:dyDescent="0.3">
      <c r="A12" s="158"/>
      <c r="B12" s="161"/>
      <c r="C12" s="196" t="s">
        <v>389</v>
      </c>
      <c r="D12" s="197">
        <v>10</v>
      </c>
      <c r="E12" s="197">
        <v>5</v>
      </c>
      <c r="F12" s="177">
        <v>17130</v>
      </c>
      <c r="G12" s="177">
        <v>18200</v>
      </c>
      <c r="H12" s="176">
        <f>G12-F12</f>
        <v>1070</v>
      </c>
      <c r="I12" s="198"/>
      <c r="J12" s="229">
        <f>F12-3000</f>
        <v>14130</v>
      </c>
      <c r="K12" s="230">
        <f>G12-3000</f>
        <v>15200</v>
      </c>
      <c r="L12" s="231">
        <f>K12-J12</f>
        <v>1070</v>
      </c>
      <c r="M12" s="249"/>
      <c r="N12" s="237" t="s">
        <v>407</v>
      </c>
      <c r="O12" s="223">
        <v>1</v>
      </c>
      <c r="P12" s="238">
        <v>3040</v>
      </c>
      <c r="Q12" s="159"/>
      <c r="S12" s="257">
        <f t="shared" ref="S12:S13" si="3">F13-F$13</f>
        <v>0</v>
      </c>
      <c r="T12" s="256"/>
      <c r="U12" s="222">
        <f t="shared" si="0"/>
        <v>5770</v>
      </c>
      <c r="V12" s="222">
        <f t="shared" si="1"/>
        <v>5020</v>
      </c>
      <c r="W12" s="256"/>
      <c r="X12" s="259">
        <f t="shared" si="2"/>
        <v>3290</v>
      </c>
      <c r="Y12" s="256"/>
      <c r="Z12" s="219">
        <f t="shared" ref="Z12:Z31" si="4">F14-F$26</f>
        <v>10000</v>
      </c>
      <c r="AA12" s="258">
        <f t="shared" ref="AA12:AA31" si="5">F12-F$26</f>
        <v>-3570</v>
      </c>
    </row>
    <row r="13" spans="1:27" x14ac:dyDescent="0.3">
      <c r="A13" s="158"/>
      <c r="B13" s="161"/>
      <c r="C13" s="196" t="s">
        <v>433</v>
      </c>
      <c r="D13" s="197">
        <v>10</v>
      </c>
      <c r="E13" s="197">
        <v>7</v>
      </c>
      <c r="F13" s="177">
        <v>22670</v>
      </c>
      <c r="G13" s="177">
        <v>24280</v>
      </c>
      <c r="H13" s="176">
        <f>G13-F13</f>
        <v>1610</v>
      </c>
      <c r="I13" s="198"/>
      <c r="J13" s="229"/>
      <c r="K13" s="230"/>
      <c r="L13" s="231"/>
      <c r="M13" s="249"/>
      <c r="N13" s="237"/>
      <c r="O13" s="223"/>
      <c r="P13" s="238"/>
      <c r="Q13" s="159"/>
      <c r="S13" s="257">
        <f t="shared" si="3"/>
        <v>8030</v>
      </c>
      <c r="T13" s="256"/>
      <c r="U13" s="222">
        <f t="shared" si="0"/>
        <v>0</v>
      </c>
      <c r="V13" s="222">
        <f t="shared" si="1"/>
        <v>-750</v>
      </c>
      <c r="W13" s="256"/>
      <c r="X13" s="259">
        <f t="shared" si="2"/>
        <v>5290</v>
      </c>
      <c r="Y13" s="256"/>
      <c r="Z13" s="219">
        <f t="shared" si="4"/>
        <v>-5190</v>
      </c>
      <c r="AA13" s="258">
        <f t="shared" si="5"/>
        <v>1970</v>
      </c>
    </row>
    <row r="14" spans="1:27" x14ac:dyDescent="0.3">
      <c r="A14" s="158"/>
      <c r="B14" s="161"/>
      <c r="C14" s="196" t="s">
        <v>390</v>
      </c>
      <c r="D14" s="197">
        <v>10</v>
      </c>
      <c r="E14" s="197">
        <v>10</v>
      </c>
      <c r="F14" s="177">
        <v>30700</v>
      </c>
      <c r="G14" s="177">
        <v>33400</v>
      </c>
      <c r="H14" s="176">
        <f t="shared" ref="H14:H33" si="6">G14-F14</f>
        <v>2700</v>
      </c>
      <c r="I14" s="198"/>
      <c r="J14" s="229">
        <f t="shared" ref="J14:J33" si="7">F14-3000</f>
        <v>27700</v>
      </c>
      <c r="K14" s="230">
        <f t="shared" ref="K14:K33" si="8">G14-3000</f>
        <v>30400</v>
      </c>
      <c r="L14" s="231">
        <f t="shared" ref="L14:L33" si="9">K14-J14</f>
        <v>2700</v>
      </c>
      <c r="M14" s="249"/>
      <c r="N14" s="237" t="s">
        <v>408</v>
      </c>
      <c r="O14" s="223">
        <v>1</v>
      </c>
      <c r="P14" s="238">
        <v>6710</v>
      </c>
      <c r="Q14" s="159"/>
      <c r="S14" s="221" t="s">
        <v>423</v>
      </c>
      <c r="T14" s="256"/>
      <c r="U14" s="222">
        <f t="shared" si="0"/>
        <v>7370</v>
      </c>
      <c r="V14" s="222">
        <f t="shared" si="1"/>
        <v>6620</v>
      </c>
      <c r="W14" s="256"/>
      <c r="X14" s="259">
        <f t="shared" si="2"/>
        <v>14290</v>
      </c>
      <c r="Y14" s="256"/>
      <c r="Z14" s="219">
        <f t="shared" si="4"/>
        <v>890</v>
      </c>
      <c r="AA14" s="258">
        <f t="shared" si="5"/>
        <v>10000</v>
      </c>
    </row>
    <row r="15" spans="1:27" x14ac:dyDescent="0.3">
      <c r="A15" s="158"/>
      <c r="B15" s="161"/>
      <c r="C15" s="184" t="s">
        <v>391</v>
      </c>
      <c r="D15" s="185">
        <v>24</v>
      </c>
      <c r="E15" s="185">
        <v>2</v>
      </c>
      <c r="F15" s="177">
        <v>15510</v>
      </c>
      <c r="G15" s="177">
        <v>16420</v>
      </c>
      <c r="H15" s="176">
        <f t="shared" si="6"/>
        <v>910</v>
      </c>
      <c r="I15" s="186"/>
      <c r="J15" s="229">
        <f t="shared" si="7"/>
        <v>12510</v>
      </c>
      <c r="K15" s="230">
        <f t="shared" si="8"/>
        <v>13420</v>
      </c>
      <c r="L15" s="232">
        <f t="shared" si="9"/>
        <v>910</v>
      </c>
      <c r="M15" s="250"/>
      <c r="N15" s="239" t="s">
        <v>409</v>
      </c>
      <c r="O15" s="224">
        <v>1</v>
      </c>
      <c r="P15" s="240">
        <v>6380</v>
      </c>
      <c r="Q15" s="159"/>
      <c r="S15" s="221">
        <f>F15-F16</f>
        <v>-6080</v>
      </c>
      <c r="T15" s="256"/>
      <c r="U15" s="222">
        <f t="shared" si="0"/>
        <v>750</v>
      </c>
      <c r="V15" s="222">
        <f t="shared" si="1"/>
        <v>0</v>
      </c>
      <c r="W15" s="256"/>
      <c r="X15" s="259">
        <f t="shared" si="2"/>
        <v>1890</v>
      </c>
      <c r="Y15" s="256"/>
      <c r="Z15" s="219">
        <f t="shared" si="4"/>
        <v>6700</v>
      </c>
      <c r="AA15" s="258">
        <f t="shared" si="5"/>
        <v>-5190</v>
      </c>
    </row>
    <row r="16" spans="1:27" x14ac:dyDescent="0.3">
      <c r="A16" s="158"/>
      <c r="B16" s="161"/>
      <c r="C16" s="184" t="s">
        <v>204</v>
      </c>
      <c r="D16" s="185">
        <v>24</v>
      </c>
      <c r="E16" s="185">
        <v>3</v>
      </c>
      <c r="F16" s="177">
        <v>21590</v>
      </c>
      <c r="G16" s="177">
        <v>23130</v>
      </c>
      <c r="H16" s="176">
        <f t="shared" si="6"/>
        <v>1540</v>
      </c>
      <c r="I16" s="186"/>
      <c r="J16" s="229">
        <f t="shared" si="7"/>
        <v>18590</v>
      </c>
      <c r="K16" s="230">
        <f t="shared" si="8"/>
        <v>20130</v>
      </c>
      <c r="L16" s="232">
        <f t="shared" si="9"/>
        <v>1540</v>
      </c>
      <c r="M16" s="250"/>
      <c r="N16" s="239" t="s">
        <v>410</v>
      </c>
      <c r="O16" s="224">
        <v>1</v>
      </c>
      <c r="P16" s="240">
        <v>7960</v>
      </c>
      <c r="Q16" s="159"/>
      <c r="S16" s="221">
        <v>0</v>
      </c>
      <c r="T16" s="256"/>
      <c r="U16" s="222">
        <f t="shared" si="0"/>
        <v>8470</v>
      </c>
      <c r="V16" s="222">
        <f t="shared" si="1"/>
        <v>7720</v>
      </c>
      <c r="W16" s="256"/>
      <c r="X16" s="259">
        <f t="shared" si="2"/>
        <v>4290</v>
      </c>
      <c r="Y16" s="256"/>
      <c r="Z16" s="219">
        <f t="shared" si="4"/>
        <v>-300</v>
      </c>
      <c r="AA16" s="258">
        <f t="shared" si="5"/>
        <v>890</v>
      </c>
    </row>
    <row r="17" spans="1:27" x14ac:dyDescent="0.3">
      <c r="A17" s="158"/>
      <c r="B17" s="161"/>
      <c r="C17" s="184" t="s">
        <v>204</v>
      </c>
      <c r="D17" s="185">
        <v>24</v>
      </c>
      <c r="E17" s="185">
        <v>4</v>
      </c>
      <c r="F17" s="177">
        <v>27400</v>
      </c>
      <c r="G17" s="177">
        <v>29840</v>
      </c>
      <c r="H17" s="176">
        <f t="shared" si="6"/>
        <v>2440</v>
      </c>
      <c r="I17" s="186"/>
      <c r="J17" s="229">
        <f t="shared" si="7"/>
        <v>24400</v>
      </c>
      <c r="K17" s="230">
        <f t="shared" si="8"/>
        <v>26840</v>
      </c>
      <c r="L17" s="232">
        <f t="shared" si="9"/>
        <v>2440</v>
      </c>
      <c r="M17" s="250"/>
      <c r="N17" s="239" t="s">
        <v>411</v>
      </c>
      <c r="O17" s="224">
        <v>1</v>
      </c>
      <c r="P17" s="240">
        <v>8540</v>
      </c>
      <c r="Q17" s="159"/>
      <c r="S17" s="221">
        <f>F17-F16</f>
        <v>5810</v>
      </c>
      <c r="T17" s="256"/>
      <c r="U17" s="222">
        <f t="shared" si="0"/>
        <v>1160</v>
      </c>
      <c r="V17" s="222">
        <f t="shared" si="1"/>
        <v>410</v>
      </c>
      <c r="W17" s="256"/>
      <c r="X17" s="259">
        <f t="shared" si="2"/>
        <v>6290</v>
      </c>
      <c r="Y17" s="256"/>
      <c r="Z17" s="219">
        <f t="shared" si="4"/>
        <v>4000</v>
      </c>
      <c r="AA17" s="258">
        <f t="shared" si="5"/>
        <v>6700</v>
      </c>
    </row>
    <row r="18" spans="1:27" x14ac:dyDescent="0.3">
      <c r="A18" s="158"/>
      <c r="B18" s="161"/>
      <c r="C18" s="193" t="s">
        <v>106</v>
      </c>
      <c r="D18" s="194">
        <v>30</v>
      </c>
      <c r="E18" s="194">
        <v>3</v>
      </c>
      <c r="F18" s="177">
        <v>20400</v>
      </c>
      <c r="G18" s="177">
        <v>22140</v>
      </c>
      <c r="H18" s="176">
        <f t="shared" si="6"/>
        <v>1740</v>
      </c>
      <c r="I18" s="195"/>
      <c r="J18" s="229">
        <f t="shared" si="7"/>
        <v>17400</v>
      </c>
      <c r="K18" s="230">
        <f t="shared" si="8"/>
        <v>19140</v>
      </c>
      <c r="L18" s="233">
        <f t="shared" si="9"/>
        <v>1740</v>
      </c>
      <c r="M18" s="251"/>
      <c r="N18" s="241" t="s">
        <v>1</v>
      </c>
      <c r="O18" s="225">
        <v>1</v>
      </c>
      <c r="P18" s="242">
        <v>8950</v>
      </c>
      <c r="Q18" s="159"/>
      <c r="R18" s="74"/>
      <c r="S18" s="221" t="s">
        <v>424</v>
      </c>
      <c r="T18" s="256"/>
      <c r="U18" s="222">
        <f t="shared" si="0"/>
        <v>9070</v>
      </c>
      <c r="V18" s="222">
        <f t="shared" si="1"/>
        <v>8320</v>
      </c>
      <c r="W18" s="256"/>
      <c r="X18" s="259">
        <f t="shared" si="2"/>
        <v>15290</v>
      </c>
      <c r="Y18" s="256"/>
      <c r="Z18" s="219">
        <f t="shared" si="4"/>
        <v>-1770</v>
      </c>
      <c r="AA18" s="258">
        <f t="shared" si="5"/>
        <v>-300</v>
      </c>
    </row>
    <row r="19" spans="1:27" x14ac:dyDescent="0.3">
      <c r="A19" s="158"/>
      <c r="B19" s="161"/>
      <c r="C19" s="187" t="s">
        <v>392</v>
      </c>
      <c r="D19" s="188">
        <v>30</v>
      </c>
      <c r="E19" s="188">
        <v>3</v>
      </c>
      <c r="F19" s="177">
        <v>24700</v>
      </c>
      <c r="G19" s="177">
        <v>26880</v>
      </c>
      <c r="H19" s="176">
        <f t="shared" si="6"/>
        <v>2180</v>
      </c>
      <c r="I19" s="189"/>
      <c r="J19" s="229">
        <f t="shared" si="7"/>
        <v>21700</v>
      </c>
      <c r="K19" s="230">
        <f t="shared" si="8"/>
        <v>23880</v>
      </c>
      <c r="L19" s="234">
        <f t="shared" si="9"/>
        <v>2180</v>
      </c>
      <c r="M19" s="252"/>
      <c r="N19" s="243" t="s">
        <v>412</v>
      </c>
      <c r="O19" s="226">
        <v>1</v>
      </c>
      <c r="P19" s="244">
        <v>9170</v>
      </c>
      <c r="Q19" s="159"/>
      <c r="R19" s="74"/>
      <c r="S19" s="221">
        <f>F12-F$16</f>
        <v>-4460</v>
      </c>
      <c r="T19" s="256"/>
      <c r="W19" s="256"/>
      <c r="X19" s="259"/>
      <c r="Y19" s="256"/>
      <c r="Z19" s="219">
        <f t="shared" si="4"/>
        <v>5600</v>
      </c>
      <c r="AA19" s="258">
        <f t="shared" si="5"/>
        <v>4000</v>
      </c>
    </row>
    <row r="20" spans="1:27" x14ac:dyDescent="0.3">
      <c r="A20" s="158"/>
      <c r="B20" s="161"/>
      <c r="C20" s="190" t="s">
        <v>393</v>
      </c>
      <c r="D20" s="191">
        <v>30</v>
      </c>
      <c r="E20" s="191">
        <v>2</v>
      </c>
      <c r="F20" s="177">
        <v>18930</v>
      </c>
      <c r="G20" s="177">
        <v>20080</v>
      </c>
      <c r="H20" s="176">
        <f t="shared" si="6"/>
        <v>1150</v>
      </c>
      <c r="I20" s="192"/>
      <c r="J20" s="229">
        <f t="shared" si="7"/>
        <v>15930</v>
      </c>
      <c r="K20" s="230">
        <f t="shared" si="8"/>
        <v>17080</v>
      </c>
      <c r="L20" s="235">
        <f t="shared" si="9"/>
        <v>1150</v>
      </c>
      <c r="M20" s="253"/>
      <c r="N20" s="245"/>
      <c r="O20" s="227"/>
      <c r="P20" s="246"/>
      <c r="Q20" s="159"/>
      <c r="R20" s="74"/>
      <c r="S20" s="221">
        <f t="shared" ref="S20:S23" si="10">F14-F$16</f>
        <v>9110</v>
      </c>
      <c r="T20" s="256"/>
      <c r="U20" s="222"/>
      <c r="V20" s="222"/>
      <c r="W20" s="256"/>
      <c r="X20" s="259" t="s">
        <v>421</v>
      </c>
      <c r="Y20" s="256"/>
      <c r="Z20" s="219">
        <f t="shared" si="4"/>
        <v>-1020</v>
      </c>
      <c r="AA20" s="258">
        <f t="shared" si="5"/>
        <v>-1770</v>
      </c>
    </row>
    <row r="21" spans="1:27" x14ac:dyDescent="0.3">
      <c r="A21" s="158"/>
      <c r="B21" s="161"/>
      <c r="C21" s="190" t="s">
        <v>394</v>
      </c>
      <c r="D21" s="191">
        <v>30</v>
      </c>
      <c r="E21" s="191">
        <v>3</v>
      </c>
      <c r="F21" s="177">
        <v>26300</v>
      </c>
      <c r="G21" s="177">
        <v>28620</v>
      </c>
      <c r="H21" s="176">
        <f t="shared" si="6"/>
        <v>2320</v>
      </c>
      <c r="I21" s="192"/>
      <c r="J21" s="229">
        <f t="shared" si="7"/>
        <v>23300</v>
      </c>
      <c r="K21" s="230">
        <f t="shared" si="8"/>
        <v>25620</v>
      </c>
      <c r="L21" s="235">
        <f t="shared" si="9"/>
        <v>2320</v>
      </c>
      <c r="M21" s="253"/>
      <c r="N21" s="245"/>
      <c r="O21" s="227"/>
      <c r="P21" s="246"/>
      <c r="Q21" s="159"/>
      <c r="R21" s="74"/>
      <c r="S21" s="221">
        <f t="shared" si="10"/>
        <v>-6080</v>
      </c>
      <c r="T21" s="256"/>
      <c r="U21" s="222"/>
      <c r="V21" s="222"/>
      <c r="W21" s="256"/>
      <c r="X21" s="259">
        <f>F29-F$29</f>
        <v>0</v>
      </c>
      <c r="Y21" s="256"/>
      <c r="Z21" s="219">
        <f t="shared" si="4"/>
        <v>6700</v>
      </c>
      <c r="AA21" s="258">
        <f t="shared" si="5"/>
        <v>5600</v>
      </c>
    </row>
    <row r="22" spans="1:27" x14ac:dyDescent="0.3">
      <c r="A22" s="158"/>
      <c r="B22" s="161"/>
      <c r="C22" s="199" t="s">
        <v>395</v>
      </c>
      <c r="D22" s="200">
        <v>30</v>
      </c>
      <c r="E22" s="200">
        <v>2</v>
      </c>
      <c r="F22" s="177">
        <v>19680</v>
      </c>
      <c r="G22" s="177">
        <v>20900</v>
      </c>
      <c r="H22" s="176">
        <f t="shared" si="6"/>
        <v>1220</v>
      </c>
      <c r="I22" s="201"/>
      <c r="J22" s="229">
        <f t="shared" si="7"/>
        <v>16680</v>
      </c>
      <c r="K22" s="230">
        <f t="shared" si="8"/>
        <v>17900</v>
      </c>
      <c r="L22" s="236">
        <f t="shared" si="9"/>
        <v>1220</v>
      </c>
      <c r="M22" s="254"/>
      <c r="N22" s="247"/>
      <c r="O22" s="228"/>
      <c r="P22" s="248"/>
      <c r="Q22" s="159"/>
      <c r="R22" s="74"/>
      <c r="S22" s="221">
        <f t="shared" si="10"/>
        <v>0</v>
      </c>
      <c r="T22" s="256"/>
      <c r="U22" s="222"/>
      <c r="V22" s="222"/>
      <c r="W22" s="256"/>
      <c r="X22" s="259">
        <f>F33-F$29</f>
        <v>1000</v>
      </c>
      <c r="Y22" s="256"/>
      <c r="Z22" s="219">
        <f t="shared" si="4"/>
        <v>-610</v>
      </c>
      <c r="AA22" s="258">
        <f t="shared" si="5"/>
        <v>-1020</v>
      </c>
    </row>
    <row r="23" spans="1:27" x14ac:dyDescent="0.3">
      <c r="A23" s="158"/>
      <c r="B23" s="161"/>
      <c r="C23" s="199" t="s">
        <v>396</v>
      </c>
      <c r="D23" s="200">
        <v>30</v>
      </c>
      <c r="E23" s="200">
        <v>3</v>
      </c>
      <c r="F23" s="177">
        <v>27400</v>
      </c>
      <c r="G23" s="177">
        <v>29850</v>
      </c>
      <c r="H23" s="176">
        <f t="shared" si="6"/>
        <v>2450</v>
      </c>
      <c r="I23" s="201"/>
      <c r="J23" s="229">
        <f t="shared" si="7"/>
        <v>24400</v>
      </c>
      <c r="K23" s="230">
        <f t="shared" si="8"/>
        <v>26850</v>
      </c>
      <c r="L23" s="236">
        <f t="shared" si="9"/>
        <v>2450</v>
      </c>
      <c r="M23" s="254"/>
      <c r="N23" s="247"/>
      <c r="O23" s="228"/>
      <c r="P23" s="248"/>
      <c r="Q23" s="159"/>
      <c r="R23" s="74"/>
      <c r="S23" s="221">
        <f t="shared" si="10"/>
        <v>5810</v>
      </c>
      <c r="T23" s="256"/>
      <c r="U23" s="222"/>
      <c r="V23" s="222"/>
      <c r="W23" s="256"/>
      <c r="Y23" s="256"/>
      <c r="Z23" s="219">
        <f t="shared" si="4"/>
        <v>7300</v>
      </c>
      <c r="AA23" s="258">
        <f t="shared" si="5"/>
        <v>6700</v>
      </c>
    </row>
    <row r="24" spans="1:27" x14ac:dyDescent="0.3">
      <c r="A24" s="158"/>
      <c r="B24" s="161"/>
      <c r="C24" s="196" t="s">
        <v>113</v>
      </c>
      <c r="D24" s="197">
        <v>30</v>
      </c>
      <c r="E24" s="197">
        <v>2</v>
      </c>
      <c r="F24" s="177">
        <v>20090</v>
      </c>
      <c r="G24" s="177">
        <v>21340</v>
      </c>
      <c r="H24" s="176">
        <f t="shared" si="6"/>
        <v>1250</v>
      </c>
      <c r="I24" s="198"/>
      <c r="J24" s="229">
        <f t="shared" si="7"/>
        <v>17090</v>
      </c>
      <c r="K24" s="230">
        <f t="shared" si="8"/>
        <v>18340</v>
      </c>
      <c r="L24" s="231">
        <f t="shared" si="9"/>
        <v>1250</v>
      </c>
      <c r="M24" s="249"/>
      <c r="N24" s="237"/>
      <c r="O24" s="223"/>
      <c r="P24" s="238"/>
      <c r="Q24" s="159"/>
      <c r="R24" s="74"/>
      <c r="S24" s="221"/>
      <c r="T24" s="256"/>
      <c r="U24" s="222"/>
      <c r="V24" s="222"/>
      <c r="W24" s="256"/>
      <c r="X24" s="259"/>
      <c r="Y24" s="256"/>
      <c r="Z24" s="219">
        <f t="shared" si="4"/>
        <v>0</v>
      </c>
      <c r="AA24" s="258">
        <f t="shared" si="5"/>
        <v>-610</v>
      </c>
    </row>
    <row r="25" spans="1:27" x14ac:dyDescent="0.3">
      <c r="A25" s="158"/>
      <c r="B25" s="161"/>
      <c r="C25" s="196" t="s">
        <v>113</v>
      </c>
      <c r="D25" s="197">
        <v>30</v>
      </c>
      <c r="E25" s="197">
        <v>3</v>
      </c>
      <c r="F25" s="177">
        <v>28000</v>
      </c>
      <c r="G25" s="177">
        <v>30510</v>
      </c>
      <c r="H25" s="176">
        <f t="shared" si="6"/>
        <v>2510</v>
      </c>
      <c r="I25" s="198"/>
      <c r="J25" s="229">
        <f t="shared" si="7"/>
        <v>25000</v>
      </c>
      <c r="K25" s="230">
        <f t="shared" si="8"/>
        <v>27510</v>
      </c>
      <c r="L25" s="231">
        <f t="shared" si="9"/>
        <v>2510</v>
      </c>
      <c r="M25" s="249"/>
      <c r="N25" s="237"/>
      <c r="O25" s="223"/>
      <c r="P25" s="238"/>
      <c r="Q25" s="159"/>
      <c r="R25" s="74"/>
      <c r="S25" s="221"/>
      <c r="T25" s="256"/>
      <c r="U25" s="222"/>
      <c r="V25" s="222"/>
      <c r="W25" s="256"/>
      <c r="X25" s="259"/>
      <c r="Y25" s="256"/>
      <c r="Z25" s="219">
        <f t="shared" si="4"/>
        <v>3290</v>
      </c>
      <c r="AA25" s="258">
        <f t="shared" si="5"/>
        <v>7300</v>
      </c>
    </row>
    <row r="26" spans="1:27" x14ac:dyDescent="0.3">
      <c r="A26" s="158"/>
      <c r="B26" s="161"/>
      <c r="C26" s="193" t="s">
        <v>397</v>
      </c>
      <c r="D26" s="194">
        <v>16</v>
      </c>
      <c r="E26" s="194">
        <v>150</v>
      </c>
      <c r="F26" s="177">
        <v>20700</v>
      </c>
      <c r="G26" s="177">
        <v>21700</v>
      </c>
      <c r="H26" s="176">
        <f t="shared" si="6"/>
        <v>1000</v>
      </c>
      <c r="I26" s="195"/>
      <c r="J26" s="229">
        <f t="shared" si="7"/>
        <v>17700</v>
      </c>
      <c r="K26" s="230">
        <f t="shared" si="8"/>
        <v>18700</v>
      </c>
      <c r="L26" s="233">
        <f t="shared" si="9"/>
        <v>1000</v>
      </c>
      <c r="M26" s="251"/>
      <c r="N26" s="241"/>
      <c r="O26" s="225"/>
      <c r="P26" s="242"/>
      <c r="Q26" s="159"/>
      <c r="R26" s="74"/>
      <c r="S26" s="221"/>
      <c r="T26" s="256"/>
      <c r="U26" s="222"/>
      <c r="V26" s="222"/>
      <c r="W26" s="256"/>
      <c r="X26" s="259"/>
      <c r="Y26" s="256"/>
      <c r="Z26" s="219">
        <f t="shared" si="4"/>
        <v>5290</v>
      </c>
      <c r="AA26" s="258">
        <f t="shared" si="5"/>
        <v>0</v>
      </c>
    </row>
    <row r="27" spans="1:27" x14ac:dyDescent="0.3">
      <c r="A27" s="158"/>
      <c r="B27" s="161"/>
      <c r="C27" s="193" t="s">
        <v>397</v>
      </c>
      <c r="D27" s="194">
        <v>16</v>
      </c>
      <c r="E27" s="194">
        <v>180</v>
      </c>
      <c r="F27" s="177">
        <v>23990</v>
      </c>
      <c r="G27" s="177">
        <v>25200</v>
      </c>
      <c r="H27" s="176">
        <f t="shared" si="6"/>
        <v>1210</v>
      </c>
      <c r="I27" s="195"/>
      <c r="J27" s="229">
        <f t="shared" si="7"/>
        <v>20990</v>
      </c>
      <c r="K27" s="230">
        <f t="shared" si="8"/>
        <v>22200</v>
      </c>
      <c r="L27" s="233">
        <f t="shared" si="9"/>
        <v>1210</v>
      </c>
      <c r="M27" s="251"/>
      <c r="N27" s="241"/>
      <c r="O27" s="225"/>
      <c r="P27" s="242"/>
      <c r="Q27" s="159"/>
      <c r="R27" s="74"/>
      <c r="S27" s="221"/>
      <c r="T27" s="256"/>
      <c r="U27" s="222"/>
      <c r="V27" s="222"/>
      <c r="W27" s="256"/>
      <c r="X27" s="259"/>
      <c r="Y27" s="256"/>
      <c r="Z27" s="219">
        <f t="shared" si="4"/>
        <v>14290</v>
      </c>
      <c r="AA27" s="258">
        <f t="shared" si="5"/>
        <v>3290</v>
      </c>
    </row>
    <row r="28" spans="1:27" x14ac:dyDescent="0.3">
      <c r="A28" s="158"/>
      <c r="B28" s="161"/>
      <c r="C28" s="193" t="s">
        <v>397</v>
      </c>
      <c r="D28" s="194">
        <v>16</v>
      </c>
      <c r="E28" s="194">
        <v>200</v>
      </c>
      <c r="F28" s="177">
        <v>25990</v>
      </c>
      <c r="G28" s="177">
        <v>27200</v>
      </c>
      <c r="H28" s="176">
        <f t="shared" si="6"/>
        <v>1210</v>
      </c>
      <c r="I28" s="195"/>
      <c r="J28" s="229">
        <f t="shared" si="7"/>
        <v>22990</v>
      </c>
      <c r="K28" s="230">
        <f t="shared" si="8"/>
        <v>24200</v>
      </c>
      <c r="L28" s="233">
        <f t="shared" si="9"/>
        <v>1210</v>
      </c>
      <c r="M28" s="251"/>
      <c r="N28" s="241"/>
      <c r="O28" s="225"/>
      <c r="P28" s="242"/>
      <c r="Q28" s="159"/>
      <c r="R28" s="74"/>
      <c r="S28" s="221"/>
      <c r="T28" s="256"/>
      <c r="U28" s="222"/>
      <c r="V28" s="222"/>
      <c r="W28" s="256"/>
      <c r="X28" s="259"/>
      <c r="Y28" s="256"/>
      <c r="Z28" s="219">
        <f t="shared" si="4"/>
        <v>1890</v>
      </c>
      <c r="AA28" s="258">
        <f t="shared" si="5"/>
        <v>5290</v>
      </c>
    </row>
    <row r="29" spans="1:27" x14ac:dyDescent="0.3">
      <c r="A29" s="158"/>
      <c r="B29" s="161"/>
      <c r="C29" s="193" t="s">
        <v>397</v>
      </c>
      <c r="D29" s="194">
        <v>16</v>
      </c>
      <c r="E29" s="194">
        <v>300</v>
      </c>
      <c r="F29" s="177">
        <v>34990</v>
      </c>
      <c r="G29" s="177">
        <v>36990</v>
      </c>
      <c r="H29" s="176">
        <f t="shared" si="6"/>
        <v>2000</v>
      </c>
      <c r="I29" s="195"/>
      <c r="J29" s="229">
        <f t="shared" si="7"/>
        <v>31990</v>
      </c>
      <c r="K29" s="230">
        <f t="shared" si="8"/>
        <v>33990</v>
      </c>
      <c r="L29" s="233">
        <f t="shared" si="9"/>
        <v>2000</v>
      </c>
      <c r="M29" s="251"/>
      <c r="N29" s="241"/>
      <c r="O29" s="225"/>
      <c r="P29" s="242"/>
      <c r="Q29" s="159"/>
      <c r="R29" s="74"/>
      <c r="S29" s="221"/>
      <c r="T29" s="256"/>
      <c r="U29" s="222"/>
      <c r="V29" s="222"/>
      <c r="W29" s="256"/>
      <c r="X29" s="259"/>
      <c r="Y29" s="256"/>
      <c r="Z29" s="219">
        <f t="shared" si="4"/>
        <v>4290</v>
      </c>
      <c r="AA29" s="258">
        <f t="shared" si="5"/>
        <v>14290</v>
      </c>
    </row>
    <row r="30" spans="1:27" x14ac:dyDescent="0.3">
      <c r="A30" s="158"/>
      <c r="B30" s="161"/>
      <c r="C30" s="190" t="s">
        <v>398</v>
      </c>
      <c r="D30" s="191">
        <v>16</v>
      </c>
      <c r="E30" s="191">
        <v>160</v>
      </c>
      <c r="F30" s="177">
        <v>22590</v>
      </c>
      <c r="G30" s="177">
        <v>23700</v>
      </c>
      <c r="H30" s="176">
        <f t="shared" si="6"/>
        <v>1110</v>
      </c>
      <c r="I30" s="192"/>
      <c r="J30" s="229">
        <f t="shared" si="7"/>
        <v>19590</v>
      </c>
      <c r="K30" s="230">
        <f t="shared" si="8"/>
        <v>20700</v>
      </c>
      <c r="L30" s="235">
        <f t="shared" si="9"/>
        <v>1110</v>
      </c>
      <c r="M30" s="253"/>
      <c r="N30" s="245"/>
      <c r="O30" s="227"/>
      <c r="P30" s="246"/>
      <c r="Q30" s="159"/>
      <c r="R30" s="74"/>
      <c r="S30" s="221"/>
      <c r="T30" s="256"/>
      <c r="U30" s="222"/>
      <c r="V30" s="222"/>
      <c r="W30" s="256"/>
      <c r="X30" s="259"/>
      <c r="Y30" s="256"/>
      <c r="Z30" s="219">
        <f t="shared" si="4"/>
        <v>6290</v>
      </c>
      <c r="AA30" s="258">
        <f t="shared" si="5"/>
        <v>1890</v>
      </c>
    </row>
    <row r="31" spans="1:27" x14ac:dyDescent="0.3">
      <c r="A31" s="158"/>
      <c r="B31" s="161"/>
      <c r="C31" s="190" t="s">
        <v>398</v>
      </c>
      <c r="D31" s="191">
        <v>16</v>
      </c>
      <c r="E31" s="191">
        <v>180</v>
      </c>
      <c r="F31" s="177">
        <v>24990</v>
      </c>
      <c r="G31" s="177">
        <v>26200</v>
      </c>
      <c r="H31" s="176">
        <f t="shared" si="6"/>
        <v>1210</v>
      </c>
      <c r="I31" s="192"/>
      <c r="J31" s="229">
        <f t="shared" si="7"/>
        <v>21990</v>
      </c>
      <c r="K31" s="230">
        <f t="shared" si="8"/>
        <v>23200</v>
      </c>
      <c r="L31" s="235">
        <f t="shared" si="9"/>
        <v>1210</v>
      </c>
      <c r="M31" s="253"/>
      <c r="N31" s="245"/>
      <c r="O31" s="227"/>
      <c r="P31" s="246"/>
      <c r="Q31" s="159"/>
      <c r="R31" s="74"/>
      <c r="S31" s="221"/>
      <c r="T31" s="256"/>
      <c r="U31" s="222"/>
      <c r="V31" s="222"/>
      <c r="W31" s="256"/>
      <c r="X31" s="259"/>
      <c r="Y31" s="256"/>
      <c r="Z31" s="219">
        <f t="shared" si="4"/>
        <v>15290</v>
      </c>
      <c r="AA31" s="258">
        <f t="shared" si="5"/>
        <v>4290</v>
      </c>
    </row>
    <row r="32" spans="1:27" x14ac:dyDescent="0.3">
      <c r="A32" s="158"/>
      <c r="B32" s="161"/>
      <c r="C32" s="190" t="s">
        <v>398</v>
      </c>
      <c r="D32" s="191">
        <v>16</v>
      </c>
      <c r="E32" s="191">
        <v>200</v>
      </c>
      <c r="F32" s="177">
        <v>26990</v>
      </c>
      <c r="G32" s="177">
        <v>28200</v>
      </c>
      <c r="H32" s="176">
        <f t="shared" si="6"/>
        <v>1210</v>
      </c>
      <c r="I32" s="192"/>
      <c r="J32" s="229">
        <f t="shared" si="7"/>
        <v>23990</v>
      </c>
      <c r="K32" s="230">
        <f t="shared" si="8"/>
        <v>25200</v>
      </c>
      <c r="L32" s="235">
        <f t="shared" si="9"/>
        <v>1210</v>
      </c>
      <c r="M32" s="253"/>
      <c r="N32" s="245"/>
      <c r="O32" s="227"/>
      <c r="P32" s="246"/>
      <c r="Q32" s="159"/>
      <c r="R32" s="74"/>
      <c r="S32" s="221"/>
      <c r="T32" s="256"/>
      <c r="U32" s="222"/>
      <c r="V32" s="222"/>
      <c r="W32" s="256"/>
      <c r="X32" s="259"/>
      <c r="Y32" s="256"/>
    </row>
    <row r="33" spans="1:19" x14ac:dyDescent="0.3">
      <c r="A33" s="158"/>
      <c r="B33" s="161"/>
      <c r="C33" s="190" t="s">
        <v>398</v>
      </c>
      <c r="D33" s="191">
        <v>16</v>
      </c>
      <c r="E33" s="191">
        <v>300</v>
      </c>
      <c r="F33" s="177">
        <v>35990</v>
      </c>
      <c r="G33" s="177">
        <v>37990</v>
      </c>
      <c r="H33" s="176">
        <f t="shared" si="6"/>
        <v>2000</v>
      </c>
      <c r="I33" s="192"/>
      <c r="J33" s="229">
        <f t="shared" si="7"/>
        <v>32990</v>
      </c>
      <c r="K33" s="230">
        <f t="shared" si="8"/>
        <v>34990</v>
      </c>
      <c r="L33" s="235">
        <f t="shared" si="9"/>
        <v>2000</v>
      </c>
      <c r="M33" s="253"/>
      <c r="N33" s="245"/>
      <c r="O33" s="227"/>
      <c r="P33" s="246"/>
      <c r="Q33" s="159"/>
      <c r="S33" s="64"/>
    </row>
    <row r="34" spans="1:19" x14ac:dyDescent="0.3">
      <c r="B34" s="159"/>
      <c r="C34" s="159"/>
      <c r="D34" s="169"/>
      <c r="E34" s="169"/>
      <c r="F34" s="169"/>
      <c r="G34" s="160"/>
      <c r="H34" s="160"/>
      <c r="I34" s="159"/>
      <c r="J34" s="211"/>
      <c r="K34" s="211"/>
      <c r="L34" s="211"/>
      <c r="M34" s="211"/>
      <c r="N34" s="211"/>
      <c r="O34" s="211"/>
      <c r="P34" s="211"/>
      <c r="Q34" s="159"/>
      <c r="S34" s="64"/>
    </row>
  </sheetData>
  <mergeCells count="8">
    <mergeCell ref="U10:V10"/>
    <mergeCell ref="O10:P10"/>
    <mergeCell ref="E6:L7"/>
    <mergeCell ref="D5:L5"/>
    <mergeCell ref="C3:L3"/>
    <mergeCell ref="C4:L4"/>
    <mergeCell ref="J10:L10"/>
    <mergeCell ref="F10:H10"/>
  </mergeCells>
  <phoneticPr fontId="1" type="noConversion"/>
  <pageMargins left="0.7" right="0.7" top="0.75" bottom="0.75" header="0.3" footer="0.3"/>
  <pageSetup paperSize="256"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I40"/>
  <sheetViews>
    <sheetView workbookViewId="0">
      <pane ySplit="3" topLeftCell="A31" activePane="bottomLeft" state="frozen"/>
      <selection pane="bottomLeft" activeCell="Q13" sqref="Q13"/>
    </sheetView>
  </sheetViews>
  <sheetFormatPr defaultColWidth="9" defaultRowHeight="16.5" x14ac:dyDescent="0.3"/>
  <cols>
    <col min="1" max="1" width="2.875" style="86" customWidth="1"/>
    <col min="2" max="2" width="7.75" style="86" bestFit="1" customWidth="1"/>
    <col min="3" max="4" width="6.75" style="86" customWidth="1"/>
    <col min="5" max="5" width="5.875" style="126" bestFit="1" customWidth="1"/>
    <col min="6" max="6" width="6.375" style="38" bestFit="1" customWidth="1"/>
    <col min="7" max="7" width="6.75" style="22" bestFit="1" customWidth="1"/>
    <col min="8" max="8" width="6.375" style="38" bestFit="1" customWidth="1"/>
    <col min="9" max="9" width="9.625" style="22" bestFit="1" customWidth="1"/>
    <col min="10" max="10" width="6.75" style="22" bestFit="1" customWidth="1"/>
    <col min="11" max="11" width="6.375" style="22" bestFit="1" customWidth="1"/>
    <col min="12" max="12" width="9.625" style="22" bestFit="1" customWidth="1"/>
    <col min="13" max="13" width="6.75" style="22" bestFit="1" customWidth="1"/>
    <col min="14" max="14" width="6.375" style="22" bestFit="1" customWidth="1"/>
    <col min="15" max="15" width="9.625" style="22" bestFit="1" customWidth="1"/>
    <col min="16" max="16" width="10.25" style="130" bestFit="1" customWidth="1"/>
    <col min="17" max="17" width="11.125" style="130" bestFit="1" customWidth="1"/>
    <col min="18" max="18" width="6.375" style="130" bestFit="1" customWidth="1"/>
    <col min="19" max="23" width="6.375" style="130" customWidth="1"/>
    <col min="24" max="24" width="5.125" style="86" customWidth="1"/>
    <col min="25" max="25" width="4.5" style="86" bestFit="1" customWidth="1"/>
    <col min="26" max="26" width="8.125" style="86" bestFit="1" customWidth="1"/>
    <col min="27" max="27" width="9" style="86"/>
    <col min="28" max="28" width="10.5" style="86" bestFit="1" customWidth="1"/>
    <col min="29" max="30" width="9" style="86"/>
    <col min="31" max="31" width="6" style="86" bestFit="1" customWidth="1"/>
    <col min="32" max="32" width="7.5" style="86" bestFit="1" customWidth="1"/>
    <col min="33" max="34" width="9" style="86"/>
    <col min="35" max="35" width="6" style="86" bestFit="1" customWidth="1"/>
    <col min="36" max="16384" width="9" style="86"/>
  </cols>
  <sheetData>
    <row r="2" spans="2:35" ht="24" x14ac:dyDescent="0.3">
      <c r="B2" s="326" t="s">
        <v>119</v>
      </c>
      <c r="C2" s="293"/>
      <c r="D2" s="293"/>
      <c r="E2" s="293"/>
      <c r="F2" s="293"/>
      <c r="G2" s="293"/>
      <c r="H2" s="293"/>
      <c r="I2" s="293"/>
      <c r="J2" s="293"/>
      <c r="K2" s="293"/>
      <c r="L2" s="293"/>
      <c r="M2" s="293"/>
      <c r="N2" s="293"/>
      <c r="O2" s="293"/>
      <c r="P2" s="293"/>
      <c r="Q2" s="293"/>
      <c r="R2" s="293"/>
      <c r="S2" s="293"/>
      <c r="T2" s="293"/>
      <c r="U2" s="293"/>
      <c r="V2" s="293"/>
      <c r="W2" s="293"/>
      <c r="Y2" s="103" t="s">
        <v>98</v>
      </c>
      <c r="Z2" s="46" t="s">
        <v>90</v>
      </c>
      <c r="AA2" s="46" t="s">
        <v>99</v>
      </c>
      <c r="AB2" s="46" t="s">
        <v>100</v>
      </c>
      <c r="AC2" s="46" t="s">
        <v>101</v>
      </c>
      <c r="AD2" s="46" t="s">
        <v>102</v>
      </c>
      <c r="AE2" s="46" t="s">
        <v>103</v>
      </c>
      <c r="AF2" s="46" t="s">
        <v>104</v>
      </c>
      <c r="AG2" s="47" t="s">
        <v>105</v>
      </c>
      <c r="AH2" s="47" t="s">
        <v>116</v>
      </c>
      <c r="AI2" s="47" t="s">
        <v>117</v>
      </c>
    </row>
    <row r="3" spans="2:35" ht="27" x14ac:dyDescent="0.3">
      <c r="B3" s="101" t="s">
        <v>10</v>
      </c>
      <c r="C3" s="101" t="s">
        <v>327</v>
      </c>
      <c r="D3" s="101" t="s">
        <v>322</v>
      </c>
      <c r="E3" s="101"/>
      <c r="F3" s="102" t="s">
        <v>364</v>
      </c>
      <c r="G3" s="132" t="s">
        <v>365</v>
      </c>
      <c r="H3" s="102" t="s">
        <v>366</v>
      </c>
      <c r="I3" s="131" t="s">
        <v>367</v>
      </c>
      <c r="J3" s="132" t="s">
        <v>365</v>
      </c>
      <c r="K3" s="102" t="s">
        <v>366</v>
      </c>
      <c r="L3" s="131" t="s">
        <v>367</v>
      </c>
      <c r="M3" s="132" t="s">
        <v>365</v>
      </c>
      <c r="N3" s="102" t="s">
        <v>366</v>
      </c>
      <c r="O3" s="131" t="s">
        <v>367</v>
      </c>
      <c r="P3" s="127" t="s">
        <v>323</v>
      </c>
      <c r="Q3" s="127" t="s">
        <v>324</v>
      </c>
      <c r="R3" s="128" t="s">
        <v>118</v>
      </c>
      <c r="S3" s="128" t="s">
        <v>337</v>
      </c>
      <c r="T3" s="127" t="s">
        <v>339</v>
      </c>
      <c r="U3" s="128" t="s">
        <v>338</v>
      </c>
      <c r="V3" s="127" t="s">
        <v>325</v>
      </c>
      <c r="W3" s="127" t="s">
        <v>326</v>
      </c>
      <c r="Y3" s="99">
        <v>1</v>
      </c>
      <c r="Z3" s="44" t="s">
        <v>106</v>
      </c>
      <c r="AA3" s="45" t="e">
        <f>원가측정!#REF!</f>
        <v>#REF!</v>
      </c>
      <c r="AB3" s="45">
        <v>14400</v>
      </c>
      <c r="AC3" s="45">
        <v>19900</v>
      </c>
      <c r="AD3" s="45">
        <f t="shared" ref="AD3:AD12" si="0">ROUNDUP(AC3*0.078, 0)</f>
        <v>1553</v>
      </c>
      <c r="AE3" s="45">
        <v>3000</v>
      </c>
      <c r="AF3" s="45">
        <f t="shared" ref="AF3:AF12" si="1">AC3-AB3-AD3-AE3</f>
        <v>947</v>
      </c>
      <c r="AG3" s="45" t="e">
        <f t="shared" ref="AG3:AG12" si="2">AA3*AF3</f>
        <v>#REF!</v>
      </c>
      <c r="AH3" s="45" t="e">
        <f>(AB3-원가측정!#REF!)*AA3</f>
        <v>#REF!</v>
      </c>
      <c r="AI3" s="45" t="e">
        <f t="shared" ref="AI3:AI12" si="3">AG3+AH3</f>
        <v>#REF!</v>
      </c>
    </row>
    <row r="4" spans="2:35" x14ac:dyDescent="0.3">
      <c r="B4" s="45" t="s">
        <v>328</v>
      </c>
      <c r="C4" s="45">
        <v>19764</v>
      </c>
      <c r="D4" s="45">
        <v>23000</v>
      </c>
      <c r="E4" s="45">
        <f>D4-C4</f>
        <v>3236</v>
      </c>
      <c r="F4" s="44">
        <f>(D4-C4)/D4*100</f>
        <v>14.069565217391306</v>
      </c>
      <c r="G4" s="133">
        <f>D4/0.6</f>
        <v>38333.333333333336</v>
      </c>
      <c r="H4" s="44">
        <f>(G4-D4)/G4*100</f>
        <v>40</v>
      </c>
      <c r="I4" s="45">
        <f>G4-30000</f>
        <v>8333.3333333333358</v>
      </c>
      <c r="J4" s="133">
        <f>$D4/0.65</f>
        <v>35384.615384615383</v>
      </c>
      <c r="K4" s="44">
        <f>(J4-$D4)/J4*100</f>
        <v>35</v>
      </c>
      <c r="L4" s="45">
        <f>J4-30000</f>
        <v>5384.6153846153829</v>
      </c>
      <c r="M4" s="133">
        <f>$D4/0.7</f>
        <v>32857.142857142862</v>
      </c>
      <c r="N4" s="44">
        <f>(M4-$D4)/M4*100</f>
        <v>30.000000000000011</v>
      </c>
      <c r="O4" s="45">
        <f>M4-30000</f>
        <v>2857.1428571428623</v>
      </c>
      <c r="P4" s="129">
        <f>D4/0.9</f>
        <v>25555.555555555555</v>
      </c>
      <c r="Q4" s="129">
        <f>P4*1.2</f>
        <v>30666.666666666664</v>
      </c>
      <c r="R4" s="129">
        <f>Q4-D4</f>
        <v>7666.6666666666642</v>
      </c>
      <c r="S4" s="129">
        <f>Q4*0.1-C4*0.1</f>
        <v>1090.2666666666664</v>
      </c>
      <c r="T4" s="129">
        <f>Q4*0.078</f>
        <v>2392</v>
      </c>
      <c r="U4" s="129">
        <v>3500</v>
      </c>
      <c r="V4" s="129">
        <f>D4-C4</f>
        <v>3236</v>
      </c>
      <c r="W4" s="129">
        <f>R4+V4-S4-U4-T4</f>
        <v>3920.3999999999978</v>
      </c>
      <c r="Y4" s="99">
        <f t="shared" ref="Y4:Y12" si="4">Y3+1</f>
        <v>2</v>
      </c>
      <c r="Z4" s="44" t="s">
        <v>107</v>
      </c>
      <c r="AA4" s="45" t="e">
        <f>원가측정!#REF!</f>
        <v>#REF!</v>
      </c>
      <c r="AB4" s="45">
        <v>15000</v>
      </c>
      <c r="AC4" s="45">
        <v>20990</v>
      </c>
      <c r="AD4" s="45">
        <f t="shared" si="0"/>
        <v>1638</v>
      </c>
      <c r="AE4" s="45">
        <v>3000</v>
      </c>
      <c r="AF4" s="45">
        <f t="shared" si="1"/>
        <v>1352</v>
      </c>
      <c r="AG4" s="45" t="e">
        <f t="shared" si="2"/>
        <v>#REF!</v>
      </c>
      <c r="AH4" s="45" t="e">
        <f>(AB4-원가측정!#REF!-500)*AA4</f>
        <v>#REF!</v>
      </c>
      <c r="AI4" s="45" t="e">
        <f t="shared" si="3"/>
        <v>#REF!</v>
      </c>
    </row>
    <row r="5" spans="2:35" x14ac:dyDescent="0.3">
      <c r="B5" s="45" t="s">
        <v>329</v>
      </c>
      <c r="C5" s="45">
        <v>17127</v>
      </c>
      <c r="D5" s="45">
        <v>20000</v>
      </c>
      <c r="E5" s="45">
        <f t="shared" ref="E5:E21" si="5">D5-C5</f>
        <v>2873</v>
      </c>
      <c r="F5" s="44">
        <f t="shared" ref="F5:F21" si="6">(D5-C5)/D5*100</f>
        <v>14.365</v>
      </c>
      <c r="G5" s="133">
        <f t="shared" ref="G5:G21" si="7">D5/0.6</f>
        <v>33333.333333333336</v>
      </c>
      <c r="H5" s="44">
        <f t="shared" ref="H5:H21" si="8">(G5-D5)/G5*100</f>
        <v>40</v>
      </c>
      <c r="I5" s="45">
        <f>G5-26620</f>
        <v>6713.3333333333358</v>
      </c>
      <c r="J5" s="133">
        <f t="shared" ref="J5:J21" si="9">D5/0.65</f>
        <v>30769.23076923077</v>
      </c>
      <c r="K5" s="44">
        <f t="shared" ref="K5:K21" si="10">(J5-D5)/J5*100</f>
        <v>35</v>
      </c>
      <c r="L5" s="45">
        <f>J5-26620</f>
        <v>4149.2307692307695</v>
      </c>
      <c r="M5" s="133">
        <f t="shared" ref="M5:M21" si="11">$D5/0.7</f>
        <v>28571.428571428572</v>
      </c>
      <c r="N5" s="44">
        <f t="shared" ref="N5:N21" si="12">(M5-$D5)/M5*100</f>
        <v>30.000000000000004</v>
      </c>
      <c r="O5" s="45">
        <f>M5-26620</f>
        <v>1951.4285714285725</v>
      </c>
      <c r="P5" s="129">
        <f t="shared" ref="P5:P21" si="13">D5/0.9</f>
        <v>22222.222222222223</v>
      </c>
      <c r="Q5" s="129">
        <f t="shared" ref="Q5:Q21" si="14">P5*1.2</f>
        <v>26666.666666666668</v>
      </c>
      <c r="R5" s="129">
        <f t="shared" ref="R5:R21" si="15">Q5-D5</f>
        <v>6666.6666666666679</v>
      </c>
      <c r="S5" s="129">
        <f t="shared" ref="S5:S21" si="16">Q5*0.1-C5*0.1</f>
        <v>953.96666666666692</v>
      </c>
      <c r="T5" s="129">
        <f t="shared" ref="T5:T21" si="17">Q5*0.078</f>
        <v>2080</v>
      </c>
      <c r="U5" s="129">
        <v>3501</v>
      </c>
      <c r="V5" s="129">
        <f t="shared" ref="V5:V21" si="18">D5-C5</f>
        <v>2873</v>
      </c>
      <c r="W5" s="129">
        <f t="shared" ref="W5:W21" si="19">R5+V5-S5-U5-T5</f>
        <v>3004.7000000000007</v>
      </c>
      <c r="Y5" s="99">
        <f t="shared" si="4"/>
        <v>3</v>
      </c>
      <c r="Z5" s="44" t="s">
        <v>108</v>
      </c>
      <c r="AA5" s="45" t="e">
        <f>원가측정!#REF!</f>
        <v>#REF!</v>
      </c>
      <c r="AB5" s="45">
        <v>14400</v>
      </c>
      <c r="AC5" s="45">
        <v>19900</v>
      </c>
      <c r="AD5" s="45">
        <f t="shared" si="0"/>
        <v>1553</v>
      </c>
      <c r="AE5" s="45">
        <v>3000</v>
      </c>
      <c r="AF5" s="45">
        <f t="shared" si="1"/>
        <v>947</v>
      </c>
      <c r="AG5" s="45" t="e">
        <f t="shared" si="2"/>
        <v>#REF!</v>
      </c>
      <c r="AH5" s="45" t="e">
        <f>(AB5-원가측정!#REF!)*AA5</f>
        <v>#REF!</v>
      </c>
      <c r="AI5" s="45" t="e">
        <f t="shared" si="3"/>
        <v>#REF!</v>
      </c>
    </row>
    <row r="6" spans="2:35" x14ac:dyDescent="0.3">
      <c r="B6" s="45" t="s">
        <v>330</v>
      </c>
      <c r="C6" s="45">
        <v>12325</v>
      </c>
      <c r="D6" s="45">
        <v>14500</v>
      </c>
      <c r="E6" s="45">
        <f t="shared" si="5"/>
        <v>2175</v>
      </c>
      <c r="F6" s="44">
        <f t="shared" si="6"/>
        <v>15</v>
      </c>
      <c r="G6" s="133">
        <f t="shared" si="7"/>
        <v>24166.666666666668</v>
      </c>
      <c r="H6" s="44">
        <f t="shared" si="8"/>
        <v>40</v>
      </c>
      <c r="I6" s="45">
        <f>G6-19900</f>
        <v>4266.6666666666679</v>
      </c>
      <c r="J6" s="133">
        <f t="shared" si="9"/>
        <v>22307.692307692309</v>
      </c>
      <c r="K6" s="44">
        <f t="shared" si="10"/>
        <v>35</v>
      </c>
      <c r="L6" s="45">
        <f>J6-19900</f>
        <v>2407.6923076923085</v>
      </c>
      <c r="M6" s="133">
        <f t="shared" si="11"/>
        <v>20714.285714285717</v>
      </c>
      <c r="N6" s="44">
        <f t="shared" si="12"/>
        <v>30.000000000000011</v>
      </c>
      <c r="O6" s="45">
        <f>M6-19900</f>
        <v>814.2857142857174</v>
      </c>
      <c r="P6" s="129">
        <f>D6/0.86</f>
        <v>16860.465116279069</v>
      </c>
      <c r="Q6" s="129">
        <f t="shared" si="14"/>
        <v>20232.558139534882</v>
      </c>
      <c r="R6" s="129">
        <f t="shared" si="15"/>
        <v>5732.5581395348818</v>
      </c>
      <c r="S6" s="129">
        <f t="shared" si="16"/>
        <v>790.75581395348831</v>
      </c>
      <c r="T6" s="129">
        <f t="shared" si="17"/>
        <v>1578.1395348837207</v>
      </c>
      <c r="U6" s="129">
        <v>3502</v>
      </c>
      <c r="V6" s="129">
        <f t="shared" si="18"/>
        <v>2175</v>
      </c>
      <c r="W6" s="129">
        <f t="shared" si="19"/>
        <v>2036.6627906976726</v>
      </c>
      <c r="Y6" s="99">
        <f t="shared" si="4"/>
        <v>4</v>
      </c>
      <c r="Z6" s="44" t="s">
        <v>109</v>
      </c>
      <c r="AA6" s="45" t="e">
        <f>원가측정!#REF!</f>
        <v>#REF!</v>
      </c>
      <c r="AB6" s="45">
        <v>14400</v>
      </c>
      <c r="AC6" s="45">
        <v>19900</v>
      </c>
      <c r="AD6" s="45">
        <f t="shared" si="0"/>
        <v>1553</v>
      </c>
      <c r="AE6" s="45">
        <v>3003</v>
      </c>
      <c r="AF6" s="45">
        <f t="shared" si="1"/>
        <v>944</v>
      </c>
      <c r="AG6" s="45" t="e">
        <f t="shared" si="2"/>
        <v>#REF!</v>
      </c>
      <c r="AH6" s="45" t="e">
        <f>(AB6-원가측정!#REF!)*AA6</f>
        <v>#REF!</v>
      </c>
      <c r="AI6" s="45" t="e">
        <f t="shared" si="3"/>
        <v>#REF!</v>
      </c>
    </row>
    <row r="7" spans="2:35" x14ac:dyDescent="0.3">
      <c r="B7" s="45" t="s">
        <v>331</v>
      </c>
      <c r="C7" s="45">
        <v>14266</v>
      </c>
      <c r="D7" s="45">
        <v>17000</v>
      </c>
      <c r="E7" s="45">
        <f t="shared" si="5"/>
        <v>2734</v>
      </c>
      <c r="F7" s="44">
        <f t="shared" si="6"/>
        <v>16.08235294117647</v>
      </c>
      <c r="G7" s="133">
        <f t="shared" si="7"/>
        <v>28333.333333333336</v>
      </c>
      <c r="H7" s="44">
        <f t="shared" si="8"/>
        <v>40.000000000000007</v>
      </c>
      <c r="I7" s="45">
        <f>G7-24200</f>
        <v>4133.3333333333358</v>
      </c>
      <c r="J7" s="133">
        <f t="shared" si="9"/>
        <v>26153.846153846152</v>
      </c>
      <c r="K7" s="44">
        <f t="shared" si="10"/>
        <v>35</v>
      </c>
      <c r="L7" s="45">
        <f>J7-24200</f>
        <v>1953.8461538461524</v>
      </c>
      <c r="M7" s="133">
        <f t="shared" si="11"/>
        <v>24285.714285714286</v>
      </c>
      <c r="N7" s="44">
        <f t="shared" si="12"/>
        <v>30</v>
      </c>
      <c r="O7" s="45">
        <f>M7-24200</f>
        <v>85.714285714286234</v>
      </c>
      <c r="P7" s="129">
        <f t="shared" si="13"/>
        <v>18888.888888888887</v>
      </c>
      <c r="Q7" s="129">
        <f t="shared" si="14"/>
        <v>22666.666666666664</v>
      </c>
      <c r="R7" s="129">
        <f t="shared" si="15"/>
        <v>5666.6666666666642</v>
      </c>
      <c r="S7" s="129">
        <f t="shared" si="16"/>
        <v>840.06666666666638</v>
      </c>
      <c r="T7" s="129">
        <f t="shared" si="17"/>
        <v>1767.9999999999998</v>
      </c>
      <c r="U7" s="129">
        <v>3503</v>
      </c>
      <c r="V7" s="129">
        <f t="shared" si="18"/>
        <v>2734</v>
      </c>
      <c r="W7" s="129">
        <f t="shared" si="19"/>
        <v>2289.5999999999976</v>
      </c>
      <c r="Y7" s="99">
        <f t="shared" si="4"/>
        <v>5</v>
      </c>
      <c r="Z7" s="44" t="s">
        <v>110</v>
      </c>
      <c r="AA7" s="45" t="e">
        <f>원가측정!#REF!</f>
        <v>#REF!</v>
      </c>
      <c r="AB7" s="45">
        <v>14400</v>
      </c>
      <c r="AC7" s="45">
        <v>19900</v>
      </c>
      <c r="AD7" s="45">
        <f t="shared" si="0"/>
        <v>1553</v>
      </c>
      <c r="AE7" s="45">
        <v>3004</v>
      </c>
      <c r="AF7" s="45">
        <f t="shared" si="1"/>
        <v>943</v>
      </c>
      <c r="AG7" s="45" t="e">
        <f t="shared" si="2"/>
        <v>#REF!</v>
      </c>
      <c r="AH7" s="45" t="e">
        <f>(AB7-원가측정!#REF!)*AA7</f>
        <v>#REF!</v>
      </c>
      <c r="AI7" s="45" t="e">
        <f t="shared" si="3"/>
        <v>#REF!</v>
      </c>
    </row>
    <row r="8" spans="2:35" x14ac:dyDescent="0.3">
      <c r="B8" s="45" t="s">
        <v>334</v>
      </c>
      <c r="C8" s="45">
        <v>16120</v>
      </c>
      <c r="D8" s="45">
        <v>19000</v>
      </c>
      <c r="E8" s="45">
        <f t="shared" si="5"/>
        <v>2880</v>
      </c>
      <c r="F8" s="44">
        <f t="shared" si="6"/>
        <v>15.157894736842106</v>
      </c>
      <c r="G8" s="133">
        <f t="shared" si="7"/>
        <v>31666.666666666668</v>
      </c>
      <c r="H8" s="44">
        <f t="shared" si="8"/>
        <v>40</v>
      </c>
      <c r="I8" s="45">
        <f>G8-25800</f>
        <v>5866.6666666666679</v>
      </c>
      <c r="J8" s="133">
        <f t="shared" si="9"/>
        <v>29230.76923076923</v>
      </c>
      <c r="K8" s="44">
        <f t="shared" si="10"/>
        <v>35</v>
      </c>
      <c r="L8" s="45">
        <f>J8-25800</f>
        <v>3430.7692307692305</v>
      </c>
      <c r="M8" s="133">
        <f t="shared" si="11"/>
        <v>27142.857142857145</v>
      </c>
      <c r="N8" s="44">
        <f t="shared" si="12"/>
        <v>30.000000000000004</v>
      </c>
      <c r="O8" s="45">
        <f>M8-25800</f>
        <v>1342.8571428571449</v>
      </c>
      <c r="P8" s="129">
        <f t="shared" si="13"/>
        <v>21111.111111111109</v>
      </c>
      <c r="Q8" s="129">
        <f t="shared" si="14"/>
        <v>25333.333333333332</v>
      </c>
      <c r="R8" s="129">
        <f t="shared" si="15"/>
        <v>6333.3333333333321</v>
      </c>
      <c r="S8" s="129">
        <f t="shared" si="16"/>
        <v>921.33333333333348</v>
      </c>
      <c r="T8" s="129">
        <f t="shared" si="17"/>
        <v>1976</v>
      </c>
      <c r="U8" s="129">
        <v>3504</v>
      </c>
      <c r="V8" s="129">
        <f t="shared" si="18"/>
        <v>2880</v>
      </c>
      <c r="W8" s="129">
        <f t="shared" si="19"/>
        <v>2811.9999999999982</v>
      </c>
      <c r="Y8" s="99">
        <f t="shared" si="4"/>
        <v>6</v>
      </c>
      <c r="Z8" s="44" t="s">
        <v>111</v>
      </c>
      <c r="AA8" s="45" t="e">
        <f>원가측정!#REF!</f>
        <v>#REF!</v>
      </c>
      <c r="AB8" s="45">
        <v>14400</v>
      </c>
      <c r="AC8" s="45">
        <v>19900</v>
      </c>
      <c r="AD8" s="45">
        <f t="shared" si="0"/>
        <v>1553</v>
      </c>
      <c r="AE8" s="45">
        <v>3005</v>
      </c>
      <c r="AF8" s="45">
        <f t="shared" si="1"/>
        <v>942</v>
      </c>
      <c r="AG8" s="45" t="e">
        <f t="shared" si="2"/>
        <v>#REF!</v>
      </c>
      <c r="AH8" s="45" t="e">
        <f>(AB8-원가측정!#REF!)*AA8</f>
        <v>#REF!</v>
      </c>
      <c r="AI8" s="45" t="e">
        <f t="shared" si="3"/>
        <v>#REF!</v>
      </c>
    </row>
    <row r="9" spans="2:35" x14ac:dyDescent="0.3">
      <c r="B9" s="45" t="s">
        <v>332</v>
      </c>
      <c r="C9" s="45">
        <v>16595</v>
      </c>
      <c r="D9" s="45">
        <v>19600</v>
      </c>
      <c r="E9" s="45">
        <f t="shared" si="5"/>
        <v>3005</v>
      </c>
      <c r="F9" s="44">
        <f t="shared" si="6"/>
        <v>15.331632653061225</v>
      </c>
      <c r="G9" s="133">
        <f t="shared" si="7"/>
        <v>32666.666666666668</v>
      </c>
      <c r="H9" s="44">
        <f t="shared" si="8"/>
        <v>40</v>
      </c>
      <c r="I9" s="45">
        <f>G9-26900</f>
        <v>5766.6666666666679</v>
      </c>
      <c r="J9" s="133">
        <f t="shared" si="9"/>
        <v>30153.846153846152</v>
      </c>
      <c r="K9" s="44">
        <f t="shared" si="10"/>
        <v>35</v>
      </c>
      <c r="L9" s="45">
        <f>J9-26900</f>
        <v>3253.8461538461524</v>
      </c>
      <c r="M9" s="133">
        <f t="shared" si="11"/>
        <v>28000</v>
      </c>
      <c r="N9" s="44">
        <f t="shared" si="12"/>
        <v>30</v>
      </c>
      <c r="O9" s="45">
        <f>M9-26900</f>
        <v>1100</v>
      </c>
      <c r="P9" s="129">
        <f t="shared" si="13"/>
        <v>21777.777777777777</v>
      </c>
      <c r="Q9" s="129">
        <f t="shared" si="14"/>
        <v>26133.333333333332</v>
      </c>
      <c r="R9" s="129">
        <f t="shared" si="15"/>
        <v>6533.3333333333321</v>
      </c>
      <c r="S9" s="129">
        <f t="shared" si="16"/>
        <v>953.83333333333348</v>
      </c>
      <c r="T9" s="129">
        <f t="shared" si="17"/>
        <v>2038.3999999999999</v>
      </c>
      <c r="U9" s="129">
        <v>3505</v>
      </c>
      <c r="V9" s="129">
        <f t="shared" si="18"/>
        <v>3005</v>
      </c>
      <c r="W9" s="129">
        <f t="shared" si="19"/>
        <v>3041.0999999999985</v>
      </c>
      <c r="Y9" s="99">
        <f t="shared" si="4"/>
        <v>7</v>
      </c>
      <c r="Z9" s="44" t="s">
        <v>112</v>
      </c>
      <c r="AA9" s="45" t="e">
        <f>원가측정!#REF!</f>
        <v>#REF!</v>
      </c>
      <c r="AB9" s="45">
        <v>14400</v>
      </c>
      <c r="AC9" s="45">
        <v>19900</v>
      </c>
      <c r="AD9" s="45">
        <f t="shared" si="0"/>
        <v>1553</v>
      </c>
      <c r="AE9" s="45">
        <v>3006</v>
      </c>
      <c r="AF9" s="45">
        <f t="shared" si="1"/>
        <v>941</v>
      </c>
      <c r="AG9" s="45" t="e">
        <f t="shared" si="2"/>
        <v>#REF!</v>
      </c>
      <c r="AH9" s="45" t="e">
        <f>(AB9-원가측정!#REF!)*AA9</f>
        <v>#REF!</v>
      </c>
      <c r="AI9" s="45" t="e">
        <f t="shared" si="3"/>
        <v>#REF!</v>
      </c>
    </row>
    <row r="10" spans="2:35" x14ac:dyDescent="0.3">
      <c r="B10" s="45" t="s">
        <v>333</v>
      </c>
      <c r="C10" s="45">
        <v>16982</v>
      </c>
      <c r="D10" s="45">
        <v>20200</v>
      </c>
      <c r="E10" s="45">
        <f t="shared" si="5"/>
        <v>3218</v>
      </c>
      <c r="F10" s="44">
        <f t="shared" si="6"/>
        <v>15.930693069306932</v>
      </c>
      <c r="G10" s="133">
        <f t="shared" si="7"/>
        <v>33666.666666666672</v>
      </c>
      <c r="H10" s="44">
        <f t="shared" si="8"/>
        <v>40.000000000000007</v>
      </c>
      <c r="I10" s="45">
        <f>G10-27500</f>
        <v>6166.6666666666715</v>
      </c>
      <c r="J10" s="133">
        <f t="shared" si="9"/>
        <v>31076.923076923074</v>
      </c>
      <c r="K10" s="44">
        <f t="shared" si="10"/>
        <v>34.999999999999993</v>
      </c>
      <c r="L10" s="45">
        <f>J10-27500</f>
        <v>3576.9230769230744</v>
      </c>
      <c r="M10" s="133">
        <f t="shared" si="11"/>
        <v>28857.142857142859</v>
      </c>
      <c r="N10" s="44">
        <f t="shared" si="12"/>
        <v>30.000000000000004</v>
      </c>
      <c r="O10" s="45">
        <f>M10-27500</f>
        <v>1357.1428571428587</v>
      </c>
      <c r="P10" s="129">
        <f t="shared" si="13"/>
        <v>22444.444444444445</v>
      </c>
      <c r="Q10" s="129">
        <f t="shared" si="14"/>
        <v>26933.333333333332</v>
      </c>
      <c r="R10" s="129">
        <f t="shared" si="15"/>
        <v>6733.3333333333321</v>
      </c>
      <c r="S10" s="129">
        <f t="shared" si="16"/>
        <v>995.13333333333344</v>
      </c>
      <c r="T10" s="129">
        <f t="shared" si="17"/>
        <v>2100.7999999999997</v>
      </c>
      <c r="U10" s="129">
        <v>3506</v>
      </c>
      <c r="V10" s="129">
        <f t="shared" si="18"/>
        <v>3218</v>
      </c>
      <c r="W10" s="129">
        <f t="shared" si="19"/>
        <v>3349.3999999999992</v>
      </c>
      <c r="Y10" s="99">
        <f t="shared" si="4"/>
        <v>8</v>
      </c>
      <c r="Z10" s="44" t="s">
        <v>113</v>
      </c>
      <c r="AA10" s="45">
        <f>원가측정!AD$16</f>
        <v>0</v>
      </c>
      <c r="AB10" s="45">
        <v>14400</v>
      </c>
      <c r="AC10" s="45">
        <v>19900</v>
      </c>
      <c r="AD10" s="45">
        <f t="shared" si="0"/>
        <v>1553</v>
      </c>
      <c r="AE10" s="45">
        <v>3007</v>
      </c>
      <c r="AF10" s="45">
        <f t="shared" si="1"/>
        <v>940</v>
      </c>
      <c r="AG10" s="45">
        <f t="shared" si="2"/>
        <v>0</v>
      </c>
      <c r="AH10" s="45" t="e">
        <f>(AB10-원가측정!#REF!)*AA10</f>
        <v>#REF!</v>
      </c>
      <c r="AI10" s="45" t="e">
        <f t="shared" si="3"/>
        <v>#REF!</v>
      </c>
    </row>
    <row r="11" spans="2:35" x14ac:dyDescent="0.3">
      <c r="B11" s="45">
        <v>150</v>
      </c>
      <c r="C11" s="45">
        <v>12151</v>
      </c>
      <c r="D11" s="45">
        <v>14500</v>
      </c>
      <c r="E11" s="45">
        <f t="shared" si="5"/>
        <v>2349</v>
      </c>
      <c r="F11" s="44">
        <f t="shared" si="6"/>
        <v>16.2</v>
      </c>
      <c r="G11" s="133">
        <f t="shared" si="7"/>
        <v>24166.666666666668</v>
      </c>
      <c r="H11" s="44">
        <f t="shared" si="8"/>
        <v>40</v>
      </c>
      <c r="I11" s="45" t="s">
        <v>368</v>
      </c>
      <c r="J11" s="133">
        <f t="shared" si="9"/>
        <v>22307.692307692309</v>
      </c>
      <c r="K11" s="44">
        <f t="shared" si="10"/>
        <v>35</v>
      </c>
      <c r="L11" s="45" t="s">
        <v>368</v>
      </c>
      <c r="M11" s="133">
        <f t="shared" si="11"/>
        <v>20714.285714285717</v>
      </c>
      <c r="N11" s="44">
        <f t="shared" si="12"/>
        <v>30.000000000000011</v>
      </c>
      <c r="O11" s="45" t="s">
        <v>368</v>
      </c>
      <c r="P11" s="129">
        <f t="shared" si="13"/>
        <v>16111.111111111111</v>
      </c>
      <c r="Q11" s="129">
        <f t="shared" si="14"/>
        <v>19333.333333333332</v>
      </c>
      <c r="R11" s="129">
        <f t="shared" si="15"/>
        <v>4833.3333333333321</v>
      </c>
      <c r="S11" s="129">
        <f t="shared" si="16"/>
        <v>718.23333333333312</v>
      </c>
      <c r="T11" s="129">
        <f t="shared" si="17"/>
        <v>1508</v>
      </c>
      <c r="U11" s="129">
        <v>3507</v>
      </c>
      <c r="V11" s="129">
        <f t="shared" si="18"/>
        <v>2349</v>
      </c>
      <c r="W11" s="129">
        <f t="shared" si="19"/>
        <v>1449.0999999999985</v>
      </c>
      <c r="Y11" s="99">
        <f t="shared" si="4"/>
        <v>9</v>
      </c>
      <c r="Z11" s="44" t="s">
        <v>114</v>
      </c>
      <c r="AA11" s="45" t="e">
        <f>원가측정!#REF!</f>
        <v>#REF!</v>
      </c>
      <c r="AB11" s="45">
        <v>14400</v>
      </c>
      <c r="AC11" s="45">
        <v>19900</v>
      </c>
      <c r="AD11" s="45">
        <f t="shared" si="0"/>
        <v>1553</v>
      </c>
      <c r="AE11" s="45">
        <v>3008</v>
      </c>
      <c r="AF11" s="45">
        <f t="shared" si="1"/>
        <v>939</v>
      </c>
      <c r="AG11" s="45" t="e">
        <f t="shared" si="2"/>
        <v>#REF!</v>
      </c>
      <c r="AH11" s="45" t="e">
        <f>(AB11-Z2)*AA11</f>
        <v>#VALUE!</v>
      </c>
      <c r="AI11" s="45" t="e">
        <f t="shared" si="3"/>
        <v>#REF!</v>
      </c>
    </row>
    <row r="12" spans="2:35" x14ac:dyDescent="0.3">
      <c r="B12" s="45">
        <v>160</v>
      </c>
      <c r="C12" s="45">
        <v>12758</v>
      </c>
      <c r="D12" s="45">
        <v>15300</v>
      </c>
      <c r="E12" s="45">
        <f t="shared" si="5"/>
        <v>2542</v>
      </c>
      <c r="F12" s="44">
        <f t="shared" si="6"/>
        <v>16.614379084967322</v>
      </c>
      <c r="G12" s="133">
        <f t="shared" si="7"/>
        <v>25500</v>
      </c>
      <c r="H12" s="44">
        <f t="shared" si="8"/>
        <v>40</v>
      </c>
      <c r="I12" s="45">
        <f>G12-20990</f>
        <v>4510</v>
      </c>
      <c r="J12" s="133">
        <f t="shared" si="9"/>
        <v>23538.461538461539</v>
      </c>
      <c r="K12" s="44">
        <f t="shared" si="10"/>
        <v>35</v>
      </c>
      <c r="L12" s="45">
        <f>J12-20990</f>
        <v>2548.461538461539</v>
      </c>
      <c r="M12" s="133">
        <f t="shared" si="11"/>
        <v>21857.142857142859</v>
      </c>
      <c r="N12" s="44">
        <f t="shared" si="12"/>
        <v>30.000000000000004</v>
      </c>
      <c r="O12" s="45">
        <f>M12-20990</f>
        <v>867.1428571428587</v>
      </c>
      <c r="P12" s="129">
        <f t="shared" si="13"/>
        <v>17000</v>
      </c>
      <c r="Q12" s="129">
        <f t="shared" si="14"/>
        <v>20400</v>
      </c>
      <c r="R12" s="129">
        <f t="shared" si="15"/>
        <v>5100</v>
      </c>
      <c r="S12" s="129">
        <f t="shared" si="16"/>
        <v>764.19999999999982</v>
      </c>
      <c r="T12" s="129">
        <f t="shared" si="17"/>
        <v>1591.2</v>
      </c>
      <c r="U12" s="129">
        <v>3508</v>
      </c>
      <c r="V12" s="129">
        <f t="shared" si="18"/>
        <v>2542</v>
      </c>
      <c r="W12" s="129">
        <f t="shared" si="19"/>
        <v>1778.6000000000001</v>
      </c>
      <c r="Y12" s="99">
        <f t="shared" si="4"/>
        <v>10</v>
      </c>
      <c r="Z12" s="44" t="s">
        <v>115</v>
      </c>
      <c r="AA12" s="45" t="e">
        <f>원가측정!#REF!</f>
        <v>#REF!</v>
      </c>
      <c r="AB12" s="45">
        <v>14400</v>
      </c>
      <c r="AC12" s="45">
        <v>19900</v>
      </c>
      <c r="AD12" s="45">
        <f t="shared" si="0"/>
        <v>1553</v>
      </c>
      <c r="AE12" s="45">
        <v>3009</v>
      </c>
      <c r="AF12" s="45">
        <f t="shared" si="1"/>
        <v>938</v>
      </c>
      <c r="AG12" s="45" t="e">
        <f t="shared" si="2"/>
        <v>#REF!</v>
      </c>
      <c r="AH12" s="45" t="e">
        <f>(AB12-Z3)*AA12</f>
        <v>#VALUE!</v>
      </c>
      <c r="AI12" s="45" t="e">
        <f t="shared" si="3"/>
        <v>#REF!</v>
      </c>
    </row>
    <row r="13" spans="2:35" x14ac:dyDescent="0.3">
      <c r="B13" s="45">
        <v>180</v>
      </c>
      <c r="C13" s="45">
        <v>13945</v>
      </c>
      <c r="D13" s="45">
        <v>16800</v>
      </c>
      <c r="E13" s="45">
        <f t="shared" si="5"/>
        <v>2855</v>
      </c>
      <c r="F13" s="44">
        <f t="shared" si="6"/>
        <v>16.99404761904762</v>
      </c>
      <c r="G13" s="133">
        <f t="shared" si="7"/>
        <v>28000</v>
      </c>
      <c r="H13" s="44">
        <f t="shared" si="8"/>
        <v>40</v>
      </c>
      <c r="I13" s="45">
        <f>G13-23490</f>
        <v>4510</v>
      </c>
      <c r="J13" s="133">
        <f t="shared" si="9"/>
        <v>25846.153846153844</v>
      </c>
      <c r="K13" s="44">
        <f t="shared" si="10"/>
        <v>34.999999999999993</v>
      </c>
      <c r="L13" s="45">
        <f>J13-23490</f>
        <v>2356.1538461538439</v>
      </c>
      <c r="M13" s="133">
        <f t="shared" si="11"/>
        <v>24000</v>
      </c>
      <c r="N13" s="44">
        <f t="shared" si="12"/>
        <v>30</v>
      </c>
      <c r="O13" s="45">
        <f>M13-23490</f>
        <v>510</v>
      </c>
      <c r="P13" s="129">
        <f t="shared" si="13"/>
        <v>18666.666666666668</v>
      </c>
      <c r="Q13" s="129">
        <f t="shared" si="14"/>
        <v>22400</v>
      </c>
      <c r="R13" s="129">
        <f t="shared" si="15"/>
        <v>5600</v>
      </c>
      <c r="S13" s="129">
        <f t="shared" si="16"/>
        <v>845.5</v>
      </c>
      <c r="T13" s="129">
        <f t="shared" si="17"/>
        <v>1747.2</v>
      </c>
      <c r="U13" s="129">
        <v>3509</v>
      </c>
      <c r="V13" s="129">
        <f t="shared" si="18"/>
        <v>2855</v>
      </c>
      <c r="W13" s="129">
        <f t="shared" si="19"/>
        <v>2353.3000000000002</v>
      </c>
    </row>
    <row r="14" spans="2:35" x14ac:dyDescent="0.3">
      <c r="B14" s="45">
        <v>200</v>
      </c>
      <c r="C14" s="45">
        <v>15131</v>
      </c>
      <c r="D14" s="45">
        <v>18200</v>
      </c>
      <c r="E14" s="45">
        <f t="shared" si="5"/>
        <v>3069</v>
      </c>
      <c r="F14" s="44">
        <f t="shared" si="6"/>
        <v>16.862637362637361</v>
      </c>
      <c r="G14" s="133">
        <f t="shared" si="7"/>
        <v>30333.333333333336</v>
      </c>
      <c r="H14" s="44">
        <f t="shared" si="8"/>
        <v>40</v>
      </c>
      <c r="I14" s="45">
        <f>G14-25490</f>
        <v>4843.3333333333358</v>
      </c>
      <c r="J14" s="133">
        <f t="shared" si="9"/>
        <v>28000</v>
      </c>
      <c r="K14" s="44">
        <f t="shared" si="10"/>
        <v>35</v>
      </c>
      <c r="L14" s="45">
        <f>J14-25490</f>
        <v>2510</v>
      </c>
      <c r="M14" s="133">
        <f t="shared" si="11"/>
        <v>26000</v>
      </c>
      <c r="N14" s="44">
        <f t="shared" si="12"/>
        <v>30</v>
      </c>
      <c r="O14" s="45">
        <f>M14-25490</f>
        <v>510</v>
      </c>
      <c r="P14" s="129">
        <f t="shared" si="13"/>
        <v>20222.222222222223</v>
      </c>
      <c r="Q14" s="129">
        <f t="shared" si="14"/>
        <v>24266.666666666668</v>
      </c>
      <c r="R14" s="129">
        <f t="shared" si="15"/>
        <v>6066.6666666666679</v>
      </c>
      <c r="S14" s="129">
        <f t="shared" si="16"/>
        <v>913.56666666666683</v>
      </c>
      <c r="T14" s="129">
        <f t="shared" si="17"/>
        <v>1892.8000000000002</v>
      </c>
      <c r="U14" s="129">
        <v>3510</v>
      </c>
      <c r="V14" s="129">
        <f t="shared" si="18"/>
        <v>3069</v>
      </c>
      <c r="W14" s="129">
        <f t="shared" si="19"/>
        <v>2819.3</v>
      </c>
    </row>
    <row r="15" spans="2:35" x14ac:dyDescent="0.3">
      <c r="B15" s="45">
        <v>300</v>
      </c>
      <c r="C15" s="45">
        <v>21117</v>
      </c>
      <c r="D15" s="45">
        <v>25500</v>
      </c>
      <c r="E15" s="45">
        <f t="shared" si="5"/>
        <v>4383</v>
      </c>
      <c r="F15" s="44">
        <f t="shared" si="6"/>
        <v>17.188235294117646</v>
      </c>
      <c r="G15" s="133">
        <f t="shared" si="7"/>
        <v>42500</v>
      </c>
      <c r="H15" s="44">
        <f t="shared" si="8"/>
        <v>40</v>
      </c>
      <c r="I15" s="45">
        <f>G15-32990</f>
        <v>9510</v>
      </c>
      <c r="J15" s="133">
        <f t="shared" si="9"/>
        <v>39230.769230769227</v>
      </c>
      <c r="K15" s="44">
        <f t="shared" si="10"/>
        <v>34.999999999999993</v>
      </c>
      <c r="L15" s="45">
        <f>J15-32990</f>
        <v>6240.7692307692269</v>
      </c>
      <c r="M15" s="133">
        <f t="shared" si="11"/>
        <v>36428.571428571428</v>
      </c>
      <c r="N15" s="44">
        <f t="shared" si="12"/>
        <v>30</v>
      </c>
      <c r="O15" s="45">
        <f>M15-32990</f>
        <v>3438.5714285714275</v>
      </c>
      <c r="P15" s="129">
        <f t="shared" si="13"/>
        <v>28333.333333333332</v>
      </c>
      <c r="Q15" s="129">
        <f t="shared" si="14"/>
        <v>34000</v>
      </c>
      <c r="R15" s="129">
        <f t="shared" si="15"/>
        <v>8500</v>
      </c>
      <c r="S15" s="129">
        <f t="shared" si="16"/>
        <v>1288.2999999999997</v>
      </c>
      <c r="T15" s="129">
        <f t="shared" si="17"/>
        <v>2652</v>
      </c>
      <c r="U15" s="129">
        <v>3511</v>
      </c>
      <c r="V15" s="129">
        <f t="shared" si="18"/>
        <v>4383</v>
      </c>
      <c r="W15" s="129">
        <f t="shared" si="19"/>
        <v>5431.7000000000007</v>
      </c>
    </row>
    <row r="16" spans="2:35" x14ac:dyDescent="0.3">
      <c r="B16" s="45">
        <v>160</v>
      </c>
      <c r="C16" s="45">
        <v>13376</v>
      </c>
      <c r="D16" s="45">
        <v>16000</v>
      </c>
      <c r="E16" s="45">
        <f t="shared" si="5"/>
        <v>2624</v>
      </c>
      <c r="F16" s="44">
        <f t="shared" si="6"/>
        <v>16.400000000000002</v>
      </c>
      <c r="G16" s="133">
        <f t="shared" si="7"/>
        <v>26666.666666666668</v>
      </c>
      <c r="H16" s="44">
        <f t="shared" si="8"/>
        <v>40</v>
      </c>
      <c r="I16" s="45">
        <f>G16-21990</f>
        <v>4676.6666666666679</v>
      </c>
      <c r="J16" s="133">
        <f t="shared" si="9"/>
        <v>24615.384615384613</v>
      </c>
      <c r="K16" s="44">
        <f t="shared" si="10"/>
        <v>34.999999999999993</v>
      </c>
      <c r="L16" s="45">
        <f>J16-21990</f>
        <v>2625.3846153846134</v>
      </c>
      <c r="M16" s="133">
        <f t="shared" si="11"/>
        <v>22857.142857142859</v>
      </c>
      <c r="N16" s="44">
        <f t="shared" si="12"/>
        <v>30.000000000000004</v>
      </c>
      <c r="O16" s="45">
        <f>M16-21990</f>
        <v>867.1428571428587</v>
      </c>
      <c r="P16" s="129">
        <f t="shared" si="13"/>
        <v>17777.777777777777</v>
      </c>
      <c r="Q16" s="129">
        <f t="shared" si="14"/>
        <v>21333.333333333332</v>
      </c>
      <c r="R16" s="129">
        <f t="shared" si="15"/>
        <v>5333.3333333333321</v>
      </c>
      <c r="S16" s="129">
        <f t="shared" si="16"/>
        <v>795.73333333333335</v>
      </c>
      <c r="T16" s="129">
        <f t="shared" si="17"/>
        <v>1664</v>
      </c>
      <c r="U16" s="129">
        <v>3512</v>
      </c>
      <c r="V16" s="129">
        <f t="shared" si="18"/>
        <v>2624</v>
      </c>
      <c r="W16" s="129">
        <f t="shared" si="19"/>
        <v>1985.5999999999985</v>
      </c>
    </row>
    <row r="17" spans="2:23" x14ac:dyDescent="0.3">
      <c r="B17" s="45">
        <v>180</v>
      </c>
      <c r="C17" s="45">
        <v>14627</v>
      </c>
      <c r="D17" s="45">
        <v>17500</v>
      </c>
      <c r="E17" s="45">
        <f t="shared" si="5"/>
        <v>2873</v>
      </c>
      <c r="F17" s="44">
        <f t="shared" si="6"/>
        <v>16.417142857142856</v>
      </c>
      <c r="G17" s="133">
        <f t="shared" si="7"/>
        <v>29166.666666666668</v>
      </c>
      <c r="H17" s="44">
        <f t="shared" si="8"/>
        <v>40</v>
      </c>
      <c r="I17" s="45">
        <f>G17-24490</f>
        <v>4676.6666666666679</v>
      </c>
      <c r="J17" s="133">
        <f t="shared" si="9"/>
        <v>26923.076923076922</v>
      </c>
      <c r="K17" s="44">
        <f t="shared" si="10"/>
        <v>35</v>
      </c>
      <c r="L17" s="45">
        <f>J17-24490</f>
        <v>2433.076923076922</v>
      </c>
      <c r="M17" s="133">
        <f t="shared" si="11"/>
        <v>25000</v>
      </c>
      <c r="N17" s="44">
        <f t="shared" si="12"/>
        <v>30</v>
      </c>
      <c r="O17" s="45">
        <f>M17-24490</f>
        <v>510</v>
      </c>
      <c r="P17" s="129">
        <f t="shared" si="13"/>
        <v>19444.444444444445</v>
      </c>
      <c r="Q17" s="129">
        <f t="shared" si="14"/>
        <v>23333.333333333332</v>
      </c>
      <c r="R17" s="129">
        <f t="shared" si="15"/>
        <v>5833.3333333333321</v>
      </c>
      <c r="S17" s="129">
        <f t="shared" si="16"/>
        <v>870.63333333333344</v>
      </c>
      <c r="T17" s="129">
        <f t="shared" si="17"/>
        <v>1820</v>
      </c>
      <c r="U17" s="129">
        <v>3513</v>
      </c>
      <c r="V17" s="129">
        <f t="shared" si="18"/>
        <v>2873</v>
      </c>
      <c r="W17" s="129">
        <f t="shared" si="19"/>
        <v>2502.6999999999989</v>
      </c>
    </row>
    <row r="18" spans="2:23" x14ac:dyDescent="0.3">
      <c r="B18" s="45">
        <v>200</v>
      </c>
      <c r="C18" s="45">
        <v>15878</v>
      </c>
      <c r="D18" s="45">
        <v>19000</v>
      </c>
      <c r="E18" s="45">
        <f t="shared" si="5"/>
        <v>3122</v>
      </c>
      <c r="F18" s="44">
        <f t="shared" si="6"/>
        <v>16.431578947368422</v>
      </c>
      <c r="G18" s="133">
        <f t="shared" si="7"/>
        <v>31666.666666666668</v>
      </c>
      <c r="H18" s="44">
        <f t="shared" si="8"/>
        <v>40</v>
      </c>
      <c r="I18" s="45">
        <f>G18-26490</f>
        <v>5176.6666666666679</v>
      </c>
      <c r="J18" s="133">
        <f t="shared" si="9"/>
        <v>29230.76923076923</v>
      </c>
      <c r="K18" s="44">
        <f t="shared" si="10"/>
        <v>35</v>
      </c>
      <c r="L18" s="45">
        <f>J18-26490</f>
        <v>2740.7692307692305</v>
      </c>
      <c r="M18" s="133">
        <f t="shared" si="11"/>
        <v>27142.857142857145</v>
      </c>
      <c r="N18" s="44">
        <f t="shared" si="12"/>
        <v>30.000000000000004</v>
      </c>
      <c r="O18" s="45">
        <f>M18-26490</f>
        <v>652.85714285714494</v>
      </c>
      <c r="P18" s="129">
        <f t="shared" si="13"/>
        <v>21111.111111111109</v>
      </c>
      <c r="Q18" s="129">
        <f t="shared" si="14"/>
        <v>25333.333333333332</v>
      </c>
      <c r="R18" s="129">
        <f t="shared" si="15"/>
        <v>6333.3333333333321</v>
      </c>
      <c r="S18" s="129">
        <f t="shared" si="16"/>
        <v>945.5333333333333</v>
      </c>
      <c r="T18" s="129">
        <f t="shared" si="17"/>
        <v>1976</v>
      </c>
      <c r="U18" s="129">
        <v>3514</v>
      </c>
      <c r="V18" s="129">
        <f t="shared" si="18"/>
        <v>3122</v>
      </c>
      <c r="W18" s="129">
        <f t="shared" si="19"/>
        <v>3019.7999999999993</v>
      </c>
    </row>
    <row r="19" spans="2:23" x14ac:dyDescent="0.3">
      <c r="B19" s="45">
        <v>300</v>
      </c>
      <c r="C19" s="45">
        <v>22161</v>
      </c>
      <c r="D19" s="45">
        <v>26600</v>
      </c>
      <c r="E19" s="45">
        <f t="shared" si="5"/>
        <v>4439</v>
      </c>
      <c r="F19" s="44">
        <f t="shared" si="6"/>
        <v>16.68796992481203</v>
      </c>
      <c r="G19" s="133">
        <f t="shared" si="7"/>
        <v>44333.333333333336</v>
      </c>
      <c r="H19" s="44">
        <f t="shared" si="8"/>
        <v>40</v>
      </c>
      <c r="I19" s="45">
        <f>G19-34990</f>
        <v>9343.3333333333358</v>
      </c>
      <c r="J19" s="133">
        <f t="shared" si="9"/>
        <v>40923.076923076922</v>
      </c>
      <c r="K19" s="44">
        <f t="shared" si="10"/>
        <v>35</v>
      </c>
      <c r="L19" s="45">
        <f>J19-34990</f>
        <v>5933.076923076922</v>
      </c>
      <c r="M19" s="133">
        <f t="shared" si="11"/>
        <v>38000</v>
      </c>
      <c r="N19" s="44">
        <f t="shared" si="12"/>
        <v>30</v>
      </c>
      <c r="O19" s="45">
        <f>M19-34990</f>
        <v>3010</v>
      </c>
      <c r="P19" s="129">
        <f t="shared" si="13"/>
        <v>29555.555555555555</v>
      </c>
      <c r="Q19" s="129">
        <f t="shared" si="14"/>
        <v>35466.666666666664</v>
      </c>
      <c r="R19" s="129">
        <f t="shared" si="15"/>
        <v>8866.6666666666642</v>
      </c>
      <c r="S19" s="129">
        <f t="shared" si="16"/>
        <v>1330.5666666666666</v>
      </c>
      <c r="T19" s="129">
        <f t="shared" si="17"/>
        <v>2766.3999999999996</v>
      </c>
      <c r="U19" s="129">
        <v>3515</v>
      </c>
      <c r="V19" s="129">
        <f t="shared" si="18"/>
        <v>4439</v>
      </c>
      <c r="W19" s="129">
        <f t="shared" si="19"/>
        <v>5693.6999999999989</v>
      </c>
    </row>
    <row r="20" spans="2:23" x14ac:dyDescent="0.3">
      <c r="B20" s="45" t="s">
        <v>336</v>
      </c>
      <c r="C20" s="45">
        <v>9000</v>
      </c>
      <c r="D20" s="45">
        <v>11000</v>
      </c>
      <c r="E20" s="45">
        <f t="shared" si="5"/>
        <v>2000</v>
      </c>
      <c r="F20" s="44">
        <f t="shared" si="6"/>
        <v>18.181818181818183</v>
      </c>
      <c r="G20" s="133">
        <f t="shared" si="7"/>
        <v>18333.333333333336</v>
      </c>
      <c r="H20" s="44">
        <f t="shared" si="8"/>
        <v>40.000000000000007</v>
      </c>
      <c r="I20" s="45" t="s">
        <v>369</v>
      </c>
      <c r="J20" s="133">
        <f t="shared" si="9"/>
        <v>16923.076923076922</v>
      </c>
      <c r="K20" s="44">
        <f t="shared" si="10"/>
        <v>35</v>
      </c>
      <c r="L20" s="45" t="s">
        <v>369</v>
      </c>
      <c r="M20" s="133">
        <f t="shared" si="11"/>
        <v>15714.285714285716</v>
      </c>
      <c r="N20" s="44">
        <f t="shared" si="12"/>
        <v>30.000000000000004</v>
      </c>
      <c r="O20" s="45" t="s">
        <v>369</v>
      </c>
      <c r="P20" s="129">
        <f t="shared" si="13"/>
        <v>12222.222222222223</v>
      </c>
      <c r="Q20" s="129">
        <f t="shared" si="14"/>
        <v>14666.666666666666</v>
      </c>
      <c r="R20" s="129">
        <f t="shared" si="15"/>
        <v>3666.6666666666661</v>
      </c>
      <c r="S20" s="129">
        <f t="shared" si="16"/>
        <v>566.66666666666674</v>
      </c>
      <c r="T20" s="129">
        <f t="shared" si="17"/>
        <v>1144</v>
      </c>
      <c r="U20" s="129">
        <v>3516</v>
      </c>
      <c r="V20" s="129">
        <f t="shared" si="18"/>
        <v>2000</v>
      </c>
      <c r="W20" s="129">
        <f t="shared" si="19"/>
        <v>439.99999999999909</v>
      </c>
    </row>
    <row r="21" spans="2:23" x14ac:dyDescent="0.3">
      <c r="B21" s="45" t="s">
        <v>335</v>
      </c>
      <c r="C21" s="45">
        <v>16000</v>
      </c>
      <c r="D21" s="45">
        <v>19000</v>
      </c>
      <c r="E21" s="45">
        <f t="shared" si="5"/>
        <v>3000</v>
      </c>
      <c r="F21" s="44">
        <f t="shared" si="6"/>
        <v>15.789473684210526</v>
      </c>
      <c r="G21" s="133">
        <f t="shared" si="7"/>
        <v>31666.666666666668</v>
      </c>
      <c r="H21" s="44">
        <f t="shared" si="8"/>
        <v>40</v>
      </c>
      <c r="I21" s="45" t="s">
        <v>368</v>
      </c>
      <c r="J21" s="133">
        <f t="shared" si="9"/>
        <v>29230.76923076923</v>
      </c>
      <c r="K21" s="44">
        <f t="shared" si="10"/>
        <v>35</v>
      </c>
      <c r="L21" s="45" t="s">
        <v>368</v>
      </c>
      <c r="M21" s="133">
        <f t="shared" si="11"/>
        <v>27142.857142857145</v>
      </c>
      <c r="N21" s="44">
        <f t="shared" si="12"/>
        <v>30.000000000000004</v>
      </c>
      <c r="O21" s="45" t="s">
        <v>368</v>
      </c>
      <c r="P21" s="129">
        <f t="shared" si="13"/>
        <v>21111.111111111109</v>
      </c>
      <c r="Q21" s="129">
        <f t="shared" si="14"/>
        <v>25333.333333333332</v>
      </c>
      <c r="R21" s="129">
        <f t="shared" si="15"/>
        <v>6333.3333333333321</v>
      </c>
      <c r="S21" s="129">
        <f t="shared" si="16"/>
        <v>933.33333333333348</v>
      </c>
      <c r="T21" s="129">
        <f t="shared" si="17"/>
        <v>1976</v>
      </c>
      <c r="U21" s="129">
        <v>3517</v>
      </c>
      <c r="V21" s="129">
        <f t="shared" si="18"/>
        <v>3000</v>
      </c>
      <c r="W21" s="129">
        <f t="shared" si="19"/>
        <v>2906.9999999999982</v>
      </c>
    </row>
    <row r="23" spans="2:23" x14ac:dyDescent="0.3">
      <c r="B23" s="45" t="s">
        <v>314</v>
      </c>
      <c r="C23" s="45">
        <v>19764</v>
      </c>
      <c r="D23" s="45">
        <v>22800</v>
      </c>
      <c r="E23" s="45">
        <f>D23-C23</f>
        <v>3036</v>
      </c>
      <c r="F23" s="44">
        <f>(D23-C23)/D23*100</f>
        <v>13.315789473684211</v>
      </c>
      <c r="G23" s="137">
        <v>30700</v>
      </c>
      <c r="H23" s="138">
        <f>(G23-D23)/G23*100</f>
        <v>25.732899022801302</v>
      </c>
      <c r="I23" s="45">
        <f>G23-30000</f>
        <v>700</v>
      </c>
      <c r="J23" s="133">
        <f>$D23/0.65</f>
        <v>35076.923076923078</v>
      </c>
      <c r="K23" s="44">
        <f>(J23-$D23)/J23*100</f>
        <v>35</v>
      </c>
      <c r="L23" s="45">
        <f>J23-30000</f>
        <v>5076.923076923078</v>
      </c>
      <c r="M23" s="133">
        <f>$D23/0.7</f>
        <v>32571.428571428572</v>
      </c>
      <c r="N23" s="44">
        <f>(M23-$D23)/M23*100</f>
        <v>30.000000000000004</v>
      </c>
      <c r="O23" s="45">
        <f>M23-30000</f>
        <v>2571.4285714285725</v>
      </c>
    </row>
    <row r="24" spans="2:23" x14ac:dyDescent="0.3">
      <c r="B24" s="45" t="s">
        <v>329</v>
      </c>
      <c r="C24" s="45">
        <v>17127</v>
      </c>
      <c r="D24" s="45">
        <v>19900</v>
      </c>
      <c r="E24" s="45">
        <f t="shared" ref="E24:E40" si="20">D24-C24</f>
        <v>2773</v>
      </c>
      <c r="F24" s="44">
        <f t="shared" ref="F24:F40" si="21">(D24-C24)/D24*100</f>
        <v>13.934673366834172</v>
      </c>
      <c r="G24" s="133">
        <v>27400</v>
      </c>
      <c r="H24" s="44">
        <f t="shared" ref="H24:H40" si="22">(G24-D24)/G24*100</f>
        <v>27.372262773722628</v>
      </c>
      <c r="I24" s="45">
        <f>G24-26620</f>
        <v>780</v>
      </c>
      <c r="J24" s="133">
        <f t="shared" ref="J24:J40" si="23">D24/0.65</f>
        <v>30615.384615384613</v>
      </c>
      <c r="K24" s="44">
        <f t="shared" ref="K24:K40" si="24">(J24-D24)/J24*100</f>
        <v>35</v>
      </c>
      <c r="L24" s="45">
        <f>J24-26620</f>
        <v>3995.3846153846134</v>
      </c>
      <c r="M24" s="133">
        <f t="shared" ref="M24:M40" si="25">$D24/0.7</f>
        <v>28428.571428571431</v>
      </c>
      <c r="N24" s="44">
        <f t="shared" ref="N24:N40" si="26">(M24-$D24)/M24*100</f>
        <v>30.000000000000004</v>
      </c>
      <c r="O24" s="45">
        <f>M24-26620</f>
        <v>1808.5714285714312</v>
      </c>
    </row>
    <row r="25" spans="2:23" x14ac:dyDescent="0.3">
      <c r="B25" s="45" t="s">
        <v>106</v>
      </c>
      <c r="C25" s="45">
        <v>12325</v>
      </c>
      <c r="D25" s="45">
        <v>14400</v>
      </c>
      <c r="E25" s="45">
        <f t="shared" si="20"/>
        <v>2075</v>
      </c>
      <c r="F25" s="44">
        <f t="shared" si="21"/>
        <v>14.409722222222221</v>
      </c>
      <c r="G25" s="137">
        <v>20300</v>
      </c>
      <c r="H25" s="138">
        <f t="shared" si="22"/>
        <v>29.064039408866993</v>
      </c>
      <c r="I25" s="45">
        <f>G25-19900</f>
        <v>400</v>
      </c>
      <c r="J25" s="133">
        <f t="shared" si="23"/>
        <v>22153.846153846152</v>
      </c>
      <c r="K25" s="44">
        <f t="shared" si="24"/>
        <v>35</v>
      </c>
      <c r="L25" s="45">
        <f>J25-19900</f>
        <v>2253.8461538461524</v>
      </c>
      <c r="M25" s="133">
        <f t="shared" si="25"/>
        <v>20571.428571428572</v>
      </c>
      <c r="N25" s="44">
        <f t="shared" si="26"/>
        <v>30.000000000000004</v>
      </c>
      <c r="O25" s="45">
        <f>M25-19900</f>
        <v>671.42857142857247</v>
      </c>
    </row>
    <row r="26" spans="2:23" x14ac:dyDescent="0.3">
      <c r="B26" s="45" t="s">
        <v>331</v>
      </c>
      <c r="C26" s="45">
        <v>14266</v>
      </c>
      <c r="D26" s="45">
        <v>17000</v>
      </c>
      <c r="E26" s="45">
        <f t="shared" si="20"/>
        <v>2734</v>
      </c>
      <c r="F26" s="44">
        <f t="shared" si="21"/>
        <v>16.08235294117647</v>
      </c>
      <c r="G26" s="137">
        <v>24700</v>
      </c>
      <c r="H26" s="138">
        <f t="shared" si="22"/>
        <v>31.174089068825911</v>
      </c>
      <c r="I26" s="45">
        <f>G26-24200</f>
        <v>500</v>
      </c>
      <c r="J26" s="133">
        <f t="shared" si="23"/>
        <v>26153.846153846152</v>
      </c>
      <c r="K26" s="44">
        <f t="shared" si="24"/>
        <v>35</v>
      </c>
      <c r="L26" s="45">
        <f>J26-24200</f>
        <v>1953.8461538461524</v>
      </c>
      <c r="M26" s="133">
        <f t="shared" si="25"/>
        <v>24285.714285714286</v>
      </c>
      <c r="N26" s="44">
        <f t="shared" si="26"/>
        <v>30</v>
      </c>
      <c r="O26" s="45">
        <f>M26-24200</f>
        <v>85.714285714286234</v>
      </c>
    </row>
    <row r="27" spans="2:23" x14ac:dyDescent="0.3">
      <c r="B27" s="45" t="s">
        <v>334</v>
      </c>
      <c r="C27" s="45">
        <v>16120</v>
      </c>
      <c r="D27" s="45">
        <v>0</v>
      </c>
      <c r="E27" s="45">
        <f t="shared" si="20"/>
        <v>-16120</v>
      </c>
      <c r="F27" s="44" t="e">
        <f t="shared" si="21"/>
        <v>#DIV/0!</v>
      </c>
      <c r="G27" s="133">
        <v>26300</v>
      </c>
      <c r="H27" s="44">
        <f t="shared" si="22"/>
        <v>100</v>
      </c>
      <c r="I27" s="45">
        <f>G27-25800</f>
        <v>500</v>
      </c>
      <c r="J27" s="133">
        <f t="shared" si="23"/>
        <v>0</v>
      </c>
      <c r="K27" s="44" t="e">
        <f t="shared" si="24"/>
        <v>#DIV/0!</v>
      </c>
      <c r="L27" s="45">
        <f>J27-25800</f>
        <v>-25800</v>
      </c>
      <c r="M27" s="133">
        <f t="shared" si="25"/>
        <v>0</v>
      </c>
      <c r="N27" s="44" t="e">
        <f t="shared" si="26"/>
        <v>#DIV/0!</v>
      </c>
      <c r="O27" s="45">
        <f>M27-25800</f>
        <v>-25800</v>
      </c>
    </row>
    <row r="28" spans="2:23" x14ac:dyDescent="0.3">
      <c r="B28" s="45" t="s">
        <v>112</v>
      </c>
      <c r="C28" s="45">
        <v>16595</v>
      </c>
      <c r="D28" s="45">
        <v>19400</v>
      </c>
      <c r="E28" s="45">
        <f t="shared" si="20"/>
        <v>2805</v>
      </c>
      <c r="F28" s="44">
        <f t="shared" si="21"/>
        <v>14.45876288659794</v>
      </c>
      <c r="G28" s="137">
        <v>27400</v>
      </c>
      <c r="H28" s="138">
        <f t="shared" si="22"/>
        <v>29.197080291970799</v>
      </c>
      <c r="I28" s="45">
        <f>G28-26900</f>
        <v>500</v>
      </c>
      <c r="J28" s="133">
        <f t="shared" si="23"/>
        <v>29846.153846153844</v>
      </c>
      <c r="K28" s="44">
        <f t="shared" si="24"/>
        <v>35</v>
      </c>
      <c r="L28" s="45">
        <f>J28-26900</f>
        <v>2946.1538461538439</v>
      </c>
      <c r="M28" s="133">
        <f t="shared" si="25"/>
        <v>27714.285714285717</v>
      </c>
      <c r="N28" s="44">
        <f t="shared" si="26"/>
        <v>30.000000000000011</v>
      </c>
      <c r="O28" s="45">
        <f>M28-26900</f>
        <v>814.2857142857174</v>
      </c>
    </row>
    <row r="29" spans="2:23" x14ac:dyDescent="0.3">
      <c r="B29" s="45" t="s">
        <v>333</v>
      </c>
      <c r="C29" s="45">
        <v>16982</v>
      </c>
      <c r="D29" s="45">
        <v>20400</v>
      </c>
      <c r="E29" s="45">
        <f t="shared" si="20"/>
        <v>3418</v>
      </c>
      <c r="F29" s="44">
        <f t="shared" si="21"/>
        <v>16.754901960784313</v>
      </c>
      <c r="G29" s="137">
        <v>28000</v>
      </c>
      <c r="H29" s="138">
        <f t="shared" si="22"/>
        <v>27.142857142857142</v>
      </c>
      <c r="I29" s="45">
        <f>G29-27500</f>
        <v>500</v>
      </c>
      <c r="J29" s="133">
        <f t="shared" si="23"/>
        <v>31384.615384615383</v>
      </c>
      <c r="K29" s="44">
        <f t="shared" si="24"/>
        <v>35</v>
      </c>
      <c r="L29" s="45">
        <f>J29-27500</f>
        <v>3884.6153846153829</v>
      </c>
      <c r="M29" s="133">
        <f t="shared" si="25"/>
        <v>29142.857142857145</v>
      </c>
      <c r="N29" s="44">
        <f t="shared" si="26"/>
        <v>30.000000000000004</v>
      </c>
      <c r="O29" s="45">
        <f>M29-27500</f>
        <v>1642.8571428571449</v>
      </c>
    </row>
    <row r="30" spans="2:23" x14ac:dyDescent="0.3">
      <c r="B30" s="45">
        <v>150</v>
      </c>
      <c r="C30" s="45">
        <v>12151</v>
      </c>
      <c r="D30" s="45">
        <v>14400</v>
      </c>
      <c r="E30" s="45">
        <f t="shared" si="20"/>
        <v>2249</v>
      </c>
      <c r="F30" s="44">
        <f t="shared" si="21"/>
        <v>15.618055555555554</v>
      </c>
      <c r="G30" s="137">
        <v>20700</v>
      </c>
      <c r="H30" s="138">
        <f t="shared" si="22"/>
        <v>30.434782608695656</v>
      </c>
      <c r="I30" s="45" t="s">
        <v>368</v>
      </c>
      <c r="J30" s="133">
        <f t="shared" si="23"/>
        <v>22153.846153846152</v>
      </c>
      <c r="K30" s="44">
        <f t="shared" si="24"/>
        <v>35</v>
      </c>
      <c r="L30" s="45" t="s">
        <v>368</v>
      </c>
      <c r="M30" s="133">
        <f t="shared" si="25"/>
        <v>20571.428571428572</v>
      </c>
      <c r="N30" s="44">
        <f t="shared" si="26"/>
        <v>30.000000000000004</v>
      </c>
      <c r="O30" s="45" t="s">
        <v>368</v>
      </c>
    </row>
    <row r="31" spans="2:23" x14ac:dyDescent="0.3">
      <c r="B31" s="45">
        <v>160</v>
      </c>
      <c r="C31" s="45">
        <v>12758</v>
      </c>
      <c r="D31" s="45">
        <v>0</v>
      </c>
      <c r="E31" s="45">
        <f t="shared" si="20"/>
        <v>-12758</v>
      </c>
      <c r="F31" s="44" t="e">
        <f t="shared" si="21"/>
        <v>#DIV/0!</v>
      </c>
      <c r="G31" s="133">
        <v>21790</v>
      </c>
      <c r="H31" s="44">
        <f t="shared" si="22"/>
        <v>100</v>
      </c>
      <c r="I31" s="45">
        <f>G31-20990</f>
        <v>800</v>
      </c>
      <c r="J31" s="133">
        <f t="shared" si="23"/>
        <v>0</v>
      </c>
      <c r="K31" s="44" t="e">
        <f t="shared" si="24"/>
        <v>#DIV/0!</v>
      </c>
      <c r="L31" s="45">
        <f>J31-20990</f>
        <v>-20990</v>
      </c>
      <c r="M31" s="133">
        <f t="shared" si="25"/>
        <v>0</v>
      </c>
      <c r="N31" s="44" t="e">
        <f t="shared" si="26"/>
        <v>#DIV/0!</v>
      </c>
      <c r="O31" s="45">
        <f>M31-20990</f>
        <v>-20990</v>
      </c>
    </row>
    <row r="32" spans="2:23" x14ac:dyDescent="0.3">
      <c r="B32" s="45">
        <v>180</v>
      </c>
      <c r="C32" s="45">
        <v>13945</v>
      </c>
      <c r="D32" s="45">
        <v>17400</v>
      </c>
      <c r="E32" s="45">
        <f t="shared" si="20"/>
        <v>3455</v>
      </c>
      <c r="F32" s="44">
        <f t="shared" si="21"/>
        <v>19.856321839080458</v>
      </c>
      <c r="G32" s="137">
        <v>23900</v>
      </c>
      <c r="H32" s="138">
        <f t="shared" si="22"/>
        <v>27.19665271966527</v>
      </c>
      <c r="I32" s="45">
        <f>G32-23490</f>
        <v>410</v>
      </c>
      <c r="J32" s="133">
        <f t="shared" si="23"/>
        <v>26769.23076923077</v>
      </c>
      <c r="K32" s="44">
        <f t="shared" si="24"/>
        <v>35</v>
      </c>
      <c r="L32" s="45">
        <f>J32-23490</f>
        <v>3279.2307692307695</v>
      </c>
      <c r="M32" s="133">
        <f t="shared" si="25"/>
        <v>24857.142857142859</v>
      </c>
      <c r="N32" s="44">
        <f t="shared" si="26"/>
        <v>30.000000000000004</v>
      </c>
      <c r="O32" s="45">
        <f>M32-23490</f>
        <v>1367.1428571428587</v>
      </c>
    </row>
    <row r="33" spans="2:15" x14ac:dyDescent="0.3">
      <c r="B33" s="45">
        <v>200</v>
      </c>
      <c r="C33" s="45">
        <v>15131</v>
      </c>
      <c r="D33" s="45">
        <v>18800</v>
      </c>
      <c r="E33" s="45">
        <f t="shared" si="20"/>
        <v>3669</v>
      </c>
      <c r="F33" s="44">
        <f t="shared" si="21"/>
        <v>19.51595744680851</v>
      </c>
      <c r="G33" s="133">
        <v>25900</v>
      </c>
      <c r="H33" s="44">
        <f t="shared" si="22"/>
        <v>27.413127413127413</v>
      </c>
      <c r="I33" s="45">
        <f>G33-25490</f>
        <v>410</v>
      </c>
      <c r="J33" s="133">
        <f t="shared" si="23"/>
        <v>28923.076923076922</v>
      </c>
      <c r="K33" s="44">
        <f t="shared" si="24"/>
        <v>35</v>
      </c>
      <c r="L33" s="45">
        <f>J33-25490</f>
        <v>3433.076923076922</v>
      </c>
      <c r="M33" s="133">
        <f t="shared" si="25"/>
        <v>26857.142857142859</v>
      </c>
      <c r="N33" s="44">
        <f t="shared" si="26"/>
        <v>30.000000000000004</v>
      </c>
      <c r="O33" s="45">
        <f>M33-25490</f>
        <v>1367.1428571428587</v>
      </c>
    </row>
    <row r="34" spans="2:15" x14ac:dyDescent="0.3">
      <c r="B34" s="45">
        <v>300</v>
      </c>
      <c r="C34" s="45">
        <v>21117</v>
      </c>
      <c r="D34" s="45">
        <v>26600</v>
      </c>
      <c r="E34" s="45">
        <f t="shared" si="20"/>
        <v>5483</v>
      </c>
      <c r="F34" s="44">
        <f t="shared" si="21"/>
        <v>20.612781954887218</v>
      </c>
      <c r="G34" s="133">
        <v>34500</v>
      </c>
      <c r="H34" s="44">
        <f t="shared" si="22"/>
        <v>22.89855072463768</v>
      </c>
      <c r="I34" s="45">
        <f>G34-32990</f>
        <v>1510</v>
      </c>
      <c r="J34" s="133">
        <f t="shared" si="23"/>
        <v>40923.076923076922</v>
      </c>
      <c r="K34" s="44">
        <f t="shared" si="24"/>
        <v>35</v>
      </c>
      <c r="L34" s="45">
        <f>J34-32990</f>
        <v>7933.076923076922</v>
      </c>
      <c r="M34" s="133">
        <f t="shared" si="25"/>
        <v>38000</v>
      </c>
      <c r="N34" s="44">
        <f t="shared" si="26"/>
        <v>30</v>
      </c>
      <c r="O34" s="45">
        <f>M34-32990</f>
        <v>5010</v>
      </c>
    </row>
    <row r="35" spans="2:15" x14ac:dyDescent="0.3">
      <c r="B35" s="45">
        <v>160</v>
      </c>
      <c r="C35" s="45">
        <v>13376</v>
      </c>
      <c r="D35" s="45">
        <v>16400</v>
      </c>
      <c r="E35" s="45">
        <f t="shared" si="20"/>
        <v>3024</v>
      </c>
      <c r="F35" s="44">
        <f t="shared" si="21"/>
        <v>18.439024390243901</v>
      </c>
      <c r="G35" s="137">
        <v>22600</v>
      </c>
      <c r="H35" s="138">
        <f t="shared" si="22"/>
        <v>27.43362831858407</v>
      </c>
      <c r="I35" s="45">
        <f>G35-21990</f>
        <v>610</v>
      </c>
      <c r="J35" s="133">
        <f t="shared" si="23"/>
        <v>25230.76923076923</v>
      </c>
      <c r="K35" s="44">
        <f t="shared" si="24"/>
        <v>35</v>
      </c>
      <c r="L35" s="45">
        <f>J35-21990</f>
        <v>3240.7692307692305</v>
      </c>
      <c r="M35" s="133">
        <f t="shared" si="25"/>
        <v>23428.571428571431</v>
      </c>
      <c r="N35" s="44">
        <f t="shared" si="26"/>
        <v>30.000000000000011</v>
      </c>
      <c r="O35" s="45">
        <f>M35-21990</f>
        <v>1438.5714285714312</v>
      </c>
    </row>
    <row r="36" spans="2:15" x14ac:dyDescent="0.3">
      <c r="B36" s="45">
        <v>180</v>
      </c>
      <c r="C36" s="45">
        <v>14627</v>
      </c>
      <c r="D36" s="45">
        <v>18400</v>
      </c>
      <c r="E36" s="45">
        <f t="shared" si="20"/>
        <v>3773</v>
      </c>
      <c r="F36" s="44">
        <f t="shared" si="21"/>
        <v>20.505434782608695</v>
      </c>
      <c r="G36" s="137">
        <v>25000</v>
      </c>
      <c r="H36" s="138">
        <f t="shared" si="22"/>
        <v>26.400000000000002</v>
      </c>
      <c r="I36" s="45">
        <f>G36-24490</f>
        <v>510</v>
      </c>
      <c r="J36" s="133">
        <f t="shared" si="23"/>
        <v>28307.692307692309</v>
      </c>
      <c r="K36" s="44">
        <f t="shared" si="24"/>
        <v>35</v>
      </c>
      <c r="L36" s="45">
        <f>J36-24490</f>
        <v>3817.6923076923085</v>
      </c>
      <c r="M36" s="133">
        <f t="shared" si="25"/>
        <v>26285.714285714286</v>
      </c>
      <c r="N36" s="44">
        <f t="shared" si="26"/>
        <v>30</v>
      </c>
      <c r="O36" s="45">
        <f>M36-24490</f>
        <v>1795.7142857142862</v>
      </c>
    </row>
    <row r="37" spans="2:15" x14ac:dyDescent="0.3">
      <c r="B37" s="45">
        <v>200</v>
      </c>
      <c r="C37" s="45">
        <v>15878</v>
      </c>
      <c r="D37" s="45">
        <v>19800</v>
      </c>
      <c r="E37" s="45">
        <f t="shared" si="20"/>
        <v>3922</v>
      </c>
      <c r="F37" s="44">
        <f t="shared" si="21"/>
        <v>19.80808080808081</v>
      </c>
      <c r="G37" s="133">
        <v>27000</v>
      </c>
      <c r="H37" s="44">
        <f t="shared" si="22"/>
        <v>26.666666666666668</v>
      </c>
      <c r="I37" s="45">
        <f>G37-26490</f>
        <v>510</v>
      </c>
      <c r="J37" s="133">
        <f t="shared" si="23"/>
        <v>30461.538461538461</v>
      </c>
      <c r="K37" s="44">
        <f t="shared" si="24"/>
        <v>35</v>
      </c>
      <c r="L37" s="45">
        <f>J37-26490</f>
        <v>3971.538461538461</v>
      </c>
      <c r="M37" s="133">
        <f t="shared" si="25"/>
        <v>28285.714285714286</v>
      </c>
      <c r="N37" s="44">
        <f t="shared" si="26"/>
        <v>30</v>
      </c>
      <c r="O37" s="45">
        <f>M37-26490</f>
        <v>1795.7142857142862</v>
      </c>
    </row>
    <row r="38" spans="2:15" x14ac:dyDescent="0.3">
      <c r="B38" s="45">
        <v>300</v>
      </c>
      <c r="C38" s="45">
        <v>22161</v>
      </c>
      <c r="D38" s="45">
        <v>27600</v>
      </c>
      <c r="E38" s="45">
        <f t="shared" si="20"/>
        <v>5439</v>
      </c>
      <c r="F38" s="44">
        <f t="shared" si="21"/>
        <v>19.706521739130434</v>
      </c>
      <c r="G38" s="133">
        <v>35500</v>
      </c>
      <c r="H38" s="44">
        <f t="shared" si="22"/>
        <v>22.253521126760564</v>
      </c>
      <c r="I38" s="45">
        <f>G38-34990</f>
        <v>510</v>
      </c>
      <c r="J38" s="133">
        <f t="shared" si="23"/>
        <v>42461.538461538461</v>
      </c>
      <c r="K38" s="44">
        <f t="shared" si="24"/>
        <v>35</v>
      </c>
      <c r="L38" s="45">
        <f>J38-34990</f>
        <v>7471.538461538461</v>
      </c>
      <c r="M38" s="133">
        <f t="shared" si="25"/>
        <v>39428.571428571428</v>
      </c>
      <c r="N38" s="44">
        <f t="shared" si="26"/>
        <v>30</v>
      </c>
      <c r="O38" s="45">
        <f>M38-34990</f>
        <v>4438.5714285714275</v>
      </c>
    </row>
    <row r="39" spans="2:15" x14ac:dyDescent="0.3">
      <c r="B39" s="45" t="s">
        <v>114</v>
      </c>
      <c r="C39" s="45">
        <v>9000</v>
      </c>
      <c r="D39" s="45">
        <f>C39/0.8</f>
        <v>11250</v>
      </c>
      <c r="E39" s="45">
        <f t="shared" si="20"/>
        <v>2250</v>
      </c>
      <c r="F39" s="44">
        <f t="shared" si="21"/>
        <v>20</v>
      </c>
      <c r="G39" s="133">
        <v>17000</v>
      </c>
      <c r="H39" s="44">
        <f t="shared" si="22"/>
        <v>33.82352941176471</v>
      </c>
      <c r="I39" s="45" t="s">
        <v>369</v>
      </c>
      <c r="J39" s="133">
        <f t="shared" si="23"/>
        <v>17307.692307692309</v>
      </c>
      <c r="K39" s="44">
        <f t="shared" si="24"/>
        <v>35</v>
      </c>
      <c r="L39" s="45" t="s">
        <v>369</v>
      </c>
      <c r="M39" s="133">
        <f t="shared" si="25"/>
        <v>16071.428571428572</v>
      </c>
      <c r="N39" s="44">
        <f t="shared" si="26"/>
        <v>30.000000000000004</v>
      </c>
      <c r="O39" s="45" t="s">
        <v>369</v>
      </c>
    </row>
    <row r="40" spans="2:15" x14ac:dyDescent="0.3">
      <c r="B40" s="45" t="s">
        <v>335</v>
      </c>
      <c r="C40" s="45">
        <v>16000</v>
      </c>
      <c r="D40" s="45">
        <f>C40/0.8</f>
        <v>20000</v>
      </c>
      <c r="E40" s="45">
        <f t="shared" si="20"/>
        <v>4000</v>
      </c>
      <c r="F40" s="44">
        <f t="shared" si="21"/>
        <v>20</v>
      </c>
      <c r="G40" s="133">
        <v>25000</v>
      </c>
      <c r="H40" s="44">
        <f t="shared" si="22"/>
        <v>20</v>
      </c>
      <c r="I40" s="45" t="s">
        <v>368</v>
      </c>
      <c r="J40" s="133">
        <f t="shared" si="23"/>
        <v>30769.23076923077</v>
      </c>
      <c r="K40" s="44">
        <f t="shared" si="24"/>
        <v>35</v>
      </c>
      <c r="L40" s="45" t="s">
        <v>368</v>
      </c>
      <c r="M40" s="133">
        <f t="shared" si="25"/>
        <v>28571.428571428572</v>
      </c>
      <c r="N40" s="44">
        <f t="shared" si="26"/>
        <v>30.000000000000004</v>
      </c>
      <c r="O40" s="45" t="s">
        <v>368</v>
      </c>
    </row>
  </sheetData>
  <mergeCells count="1">
    <mergeCell ref="B2:W2"/>
  </mergeCells>
  <phoneticPr fontId="1"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S31"/>
  <sheetViews>
    <sheetView workbookViewId="0">
      <selection activeCell="X16" sqref="X16"/>
    </sheetView>
  </sheetViews>
  <sheetFormatPr defaultRowHeight="16.5" x14ac:dyDescent="0.3"/>
  <cols>
    <col min="1" max="1" width="3.625" customWidth="1"/>
    <col min="2" max="2" width="8" bestFit="1" customWidth="1"/>
    <col min="3" max="4" width="6.75" bestFit="1" customWidth="1"/>
    <col min="5" max="5" width="6" bestFit="1" customWidth="1"/>
    <col min="6" max="6" width="7.75" bestFit="1" customWidth="1"/>
    <col min="7" max="7" width="4" customWidth="1"/>
    <col min="8" max="8" width="3.625" customWidth="1"/>
    <col min="9" max="11" width="9.25" bestFit="1" customWidth="1"/>
    <col min="12" max="12" width="3.625" customWidth="1"/>
    <col min="13" max="13" width="10.75" bestFit="1" customWidth="1"/>
    <col min="14" max="15" width="9.25" bestFit="1" customWidth="1"/>
    <col min="16" max="16" width="3.625" customWidth="1"/>
    <col min="17" max="17" width="7.75" bestFit="1" customWidth="1"/>
    <col min="18" max="18" width="10.75" bestFit="1" customWidth="1"/>
    <col min="19" max="19" width="7.75" bestFit="1" customWidth="1"/>
  </cols>
  <sheetData>
    <row r="2" spans="1:19" x14ac:dyDescent="0.3">
      <c r="B2" s="275" t="s">
        <v>443</v>
      </c>
      <c r="C2" s="327">
        <v>3.5</v>
      </c>
      <c r="D2" s="327"/>
      <c r="E2" s="276">
        <v>3.85</v>
      </c>
      <c r="F2" s="327" t="s">
        <v>449</v>
      </c>
    </row>
    <row r="3" spans="1:19" x14ac:dyDescent="0.3">
      <c r="B3" s="277" t="s">
        <v>444</v>
      </c>
      <c r="C3" s="327" t="s">
        <v>445</v>
      </c>
      <c r="D3" s="327"/>
      <c r="E3" s="276">
        <v>1.98</v>
      </c>
      <c r="F3" s="327"/>
    </row>
    <row r="4" spans="1:19" x14ac:dyDescent="0.3">
      <c r="B4" s="277" t="s">
        <v>446</v>
      </c>
      <c r="C4" s="327" t="s">
        <v>447</v>
      </c>
      <c r="D4" s="327"/>
      <c r="E4" s="276" t="s">
        <v>451</v>
      </c>
      <c r="F4" s="327"/>
    </row>
    <row r="5" spans="1:19" x14ac:dyDescent="0.3">
      <c r="B5" s="277" t="s">
        <v>448</v>
      </c>
      <c r="C5" s="327">
        <v>3.75</v>
      </c>
      <c r="D5" s="327"/>
      <c r="E5" s="276">
        <f>C5+0.375</f>
        <v>4.125</v>
      </c>
      <c r="F5" s="327"/>
    </row>
    <row r="7" spans="1:19" x14ac:dyDescent="0.3">
      <c r="A7" s="151"/>
      <c r="B7" s="151"/>
      <c r="C7" s="151"/>
      <c r="D7" s="267"/>
      <c r="E7" s="151"/>
      <c r="F7" s="151"/>
      <c r="G7" s="151"/>
      <c r="N7" s="266"/>
    </row>
    <row r="8" spans="1:19" ht="19.5" x14ac:dyDescent="0.3">
      <c r="A8" s="152"/>
      <c r="B8" s="301" t="s">
        <v>311</v>
      </c>
      <c r="C8" s="302"/>
      <c r="D8" s="302"/>
      <c r="E8" s="302"/>
      <c r="F8" s="303"/>
      <c r="G8" s="151"/>
      <c r="N8" s="266"/>
    </row>
    <row r="9" spans="1:19" ht="16.5" customHeight="1" x14ac:dyDescent="0.3">
      <c r="A9" s="152"/>
      <c r="B9" s="329" t="s">
        <v>229</v>
      </c>
      <c r="C9" s="330" t="s">
        <v>212</v>
      </c>
      <c r="D9" s="268" t="s">
        <v>65</v>
      </c>
      <c r="E9" s="331" t="s">
        <v>435</v>
      </c>
      <c r="F9" s="333" t="s">
        <v>436</v>
      </c>
      <c r="G9" s="151"/>
      <c r="I9" s="335" t="s">
        <v>461</v>
      </c>
      <c r="J9" s="335"/>
      <c r="K9" s="335"/>
      <c r="M9" s="328" t="s">
        <v>456</v>
      </c>
      <c r="N9" s="328"/>
      <c r="O9" s="328"/>
      <c r="Q9" s="328" t="s">
        <v>457</v>
      </c>
      <c r="R9" s="328"/>
      <c r="S9" s="328"/>
    </row>
    <row r="10" spans="1:19" x14ac:dyDescent="0.3">
      <c r="A10" s="153"/>
      <c r="B10" s="329"/>
      <c r="C10" s="330"/>
      <c r="D10" s="269" t="s">
        <v>437</v>
      </c>
      <c r="E10" s="332"/>
      <c r="F10" s="334"/>
      <c r="G10" s="153"/>
      <c r="I10" s="279" t="s">
        <v>450</v>
      </c>
      <c r="J10" s="280" t="s">
        <v>455</v>
      </c>
      <c r="K10" s="280" t="s">
        <v>452</v>
      </c>
      <c r="L10" s="281"/>
      <c r="M10" s="280" t="s">
        <v>453</v>
      </c>
      <c r="N10" s="280" t="s">
        <v>454</v>
      </c>
      <c r="O10" s="280" t="s">
        <v>455</v>
      </c>
      <c r="P10" s="281"/>
      <c r="Q10" s="280" t="s">
        <v>458</v>
      </c>
      <c r="R10" s="280" t="s">
        <v>459</v>
      </c>
      <c r="S10" s="280" t="s">
        <v>460</v>
      </c>
    </row>
    <row r="11" spans="1:19" x14ac:dyDescent="0.3">
      <c r="A11" s="151"/>
      <c r="B11" s="203" t="s">
        <v>230</v>
      </c>
      <c r="C11" s="270">
        <v>1968</v>
      </c>
      <c r="D11" s="271">
        <v>2400</v>
      </c>
      <c r="E11" s="270">
        <f t="shared" ref="E11:E30" si="0">D11/10-$C11/10</f>
        <v>43.199999999999989</v>
      </c>
      <c r="F11" s="205">
        <f t="shared" ref="F11:F30" si="1">D11-C11-E11</f>
        <v>388.8</v>
      </c>
      <c r="G11" s="151"/>
      <c r="I11" s="278">
        <f>D11/0.8</f>
        <v>3000</v>
      </c>
      <c r="J11" s="278">
        <f>I11/11</f>
        <v>272.72727272727275</v>
      </c>
      <c r="K11" s="278" t="e">
        <f>I11-C11-#REF!</f>
        <v>#REF!</v>
      </c>
      <c r="L11" s="82"/>
      <c r="M11" s="278">
        <f t="shared" ref="M11:M30" si="2">C11</f>
        <v>1968</v>
      </c>
      <c r="N11" s="278">
        <f>표2[[#This Row],[매입대가]] / 11 * 10</f>
        <v>1789.090909090909</v>
      </c>
      <c r="O11" s="278">
        <f>표2[[#This Row],[매입대가]]/11</f>
        <v>178.90909090909091</v>
      </c>
      <c r="Q11" s="278">
        <f>표1[[#This Row],[판매가]]*$E$5/100</f>
        <v>123.75</v>
      </c>
      <c r="R11" s="278">
        <f>표3[[#This Row],[총계]]/11*10</f>
        <v>112.5</v>
      </c>
      <c r="S11" s="278">
        <f>Q11/11</f>
        <v>11.25</v>
      </c>
    </row>
    <row r="12" spans="1:19" x14ac:dyDescent="0.3">
      <c r="A12" s="151"/>
      <c r="B12" s="203" t="s">
        <v>43</v>
      </c>
      <c r="C12" s="270">
        <f>C11*10</f>
        <v>19680</v>
      </c>
      <c r="D12" s="271">
        <v>24000</v>
      </c>
      <c r="E12" s="270">
        <f t="shared" si="0"/>
        <v>432</v>
      </c>
      <c r="F12" s="205">
        <f t="shared" si="1"/>
        <v>3888</v>
      </c>
      <c r="G12" s="151"/>
      <c r="I12" s="278">
        <f t="shared" ref="I12:I30" si="3">D12/0.8</f>
        <v>30000</v>
      </c>
      <c r="J12" s="278">
        <f t="shared" ref="J12:J30" si="4">I12*0.1</f>
        <v>3000</v>
      </c>
      <c r="K12" s="278" t="e">
        <f>I12-C12-#REF!</f>
        <v>#REF!</v>
      </c>
      <c r="L12" s="82"/>
      <c r="M12" s="278">
        <f t="shared" si="2"/>
        <v>19680</v>
      </c>
      <c r="N12" s="278">
        <f>표2[[#This Row],[매입대가]] / 11 * 10</f>
        <v>17890.909090909088</v>
      </c>
      <c r="O12" s="278">
        <f>표2[[#This Row],[매입대가]]/11</f>
        <v>1789.090909090909</v>
      </c>
      <c r="Q12" s="278">
        <f>표1[[#This Row],[판매가]]*$E$5/100</f>
        <v>1237.5</v>
      </c>
      <c r="R12" s="278">
        <f>표3[[#This Row],[총계]]/11*10</f>
        <v>1125</v>
      </c>
      <c r="S12" s="278">
        <f t="shared" ref="S12:S30" si="5">Q12/11</f>
        <v>112.5</v>
      </c>
    </row>
    <row r="13" spans="1:19" x14ac:dyDescent="0.3">
      <c r="A13" s="151"/>
      <c r="B13" s="203" t="s">
        <v>231</v>
      </c>
      <c r="C13" s="270">
        <v>1998</v>
      </c>
      <c r="D13" s="271">
        <v>2450</v>
      </c>
      <c r="E13" s="270">
        <f t="shared" si="0"/>
        <v>45.199999999999989</v>
      </c>
      <c r="F13" s="205">
        <f t="shared" si="1"/>
        <v>406.8</v>
      </c>
      <c r="G13" s="151"/>
      <c r="I13" s="278">
        <f t="shared" si="3"/>
        <v>3062.5</v>
      </c>
      <c r="J13" s="278">
        <f t="shared" si="4"/>
        <v>306.25</v>
      </c>
      <c r="K13" s="278" t="e">
        <f>I13-C13-#REF!</f>
        <v>#REF!</v>
      </c>
      <c r="L13" s="82"/>
      <c r="M13" s="278">
        <f t="shared" si="2"/>
        <v>1998</v>
      </c>
      <c r="N13" s="278">
        <f>표2[[#This Row],[매입대가]] / 11 * 10</f>
        <v>1816.3636363636363</v>
      </c>
      <c r="O13" s="278">
        <f>표2[[#This Row],[매입대가]]/11</f>
        <v>181.63636363636363</v>
      </c>
      <c r="Q13" s="278">
        <f>표1[[#This Row],[판매가]]*$E$5/100</f>
        <v>126.328125</v>
      </c>
      <c r="R13" s="278">
        <f>표3[[#This Row],[총계]]/11*10</f>
        <v>114.84375</v>
      </c>
      <c r="S13" s="278">
        <f t="shared" si="5"/>
        <v>11.484375</v>
      </c>
    </row>
    <row r="14" spans="1:19" x14ac:dyDescent="0.3">
      <c r="A14" s="151"/>
      <c r="B14" s="203" t="s">
        <v>231</v>
      </c>
      <c r="C14" s="270">
        <f>C13*10</f>
        <v>19980</v>
      </c>
      <c r="D14" s="271">
        <v>24500</v>
      </c>
      <c r="E14" s="270">
        <f t="shared" si="0"/>
        <v>452</v>
      </c>
      <c r="F14" s="205">
        <f t="shared" si="1"/>
        <v>4068</v>
      </c>
      <c r="G14" s="151"/>
      <c r="I14" s="278">
        <f t="shared" si="3"/>
        <v>30625</v>
      </c>
      <c r="J14" s="278">
        <f t="shared" si="4"/>
        <v>3062.5</v>
      </c>
      <c r="K14" s="278" t="e">
        <f>I14-C14-#REF!</f>
        <v>#REF!</v>
      </c>
      <c r="L14" s="82"/>
      <c r="M14" s="278">
        <f t="shared" si="2"/>
        <v>19980</v>
      </c>
      <c r="N14" s="278">
        <f>표2[[#This Row],[매입대가]] / 11 * 10</f>
        <v>18163.636363636364</v>
      </c>
      <c r="O14" s="278">
        <f>표2[[#This Row],[매입대가]]/11</f>
        <v>1816.3636363636363</v>
      </c>
      <c r="Q14" s="278">
        <f>표1[[#This Row],[판매가]]*$E$5/100</f>
        <v>1263.28125</v>
      </c>
      <c r="R14" s="278">
        <f>표3[[#This Row],[총계]]/11*10</f>
        <v>1148.4375</v>
      </c>
      <c r="S14" s="278">
        <f t="shared" si="5"/>
        <v>114.84375</v>
      </c>
    </row>
    <row r="15" spans="1:19" x14ac:dyDescent="0.3">
      <c r="A15" s="151"/>
      <c r="B15" s="203" t="s">
        <v>230</v>
      </c>
      <c r="C15" s="270">
        <v>17046</v>
      </c>
      <c r="D15" s="271">
        <v>21000</v>
      </c>
      <c r="E15" s="270">
        <f t="shared" si="0"/>
        <v>395.40000000000009</v>
      </c>
      <c r="F15" s="205">
        <f t="shared" si="1"/>
        <v>3558.6</v>
      </c>
      <c r="G15" s="151"/>
      <c r="I15" s="278">
        <f t="shared" si="3"/>
        <v>26250</v>
      </c>
      <c r="J15" s="278">
        <f t="shared" si="4"/>
        <v>2625</v>
      </c>
      <c r="K15" s="278" t="e">
        <f>I15-C15-#REF!</f>
        <v>#REF!</v>
      </c>
      <c r="L15" s="82"/>
      <c r="M15" s="278">
        <f t="shared" si="2"/>
        <v>17046</v>
      </c>
      <c r="N15" s="278">
        <f>표2[[#This Row],[매입대가]] / 11 * 10</f>
        <v>15496.363636363638</v>
      </c>
      <c r="O15" s="278">
        <f>표2[[#This Row],[매입대가]]/11</f>
        <v>1549.6363636363637</v>
      </c>
      <c r="Q15" s="278">
        <f>표1[[#This Row],[판매가]]*$E$5/100</f>
        <v>1082.8125</v>
      </c>
      <c r="R15" s="278">
        <f>표3[[#This Row],[총계]]/11*10</f>
        <v>984.375</v>
      </c>
      <c r="S15" s="278">
        <f t="shared" si="5"/>
        <v>98.4375</v>
      </c>
    </row>
    <row r="16" spans="1:19" x14ac:dyDescent="0.3">
      <c r="A16" s="151"/>
      <c r="B16" s="203" t="s">
        <v>232</v>
      </c>
      <c r="C16" s="270">
        <v>12248</v>
      </c>
      <c r="D16" s="271">
        <v>15000</v>
      </c>
      <c r="E16" s="270">
        <f t="shared" si="0"/>
        <v>275.20000000000005</v>
      </c>
      <c r="F16" s="205">
        <f t="shared" si="1"/>
        <v>2476.8000000000002</v>
      </c>
      <c r="G16" s="151"/>
      <c r="I16" s="278">
        <f t="shared" si="3"/>
        <v>18750</v>
      </c>
      <c r="J16" s="278">
        <f t="shared" si="4"/>
        <v>1875</v>
      </c>
      <c r="K16" s="278" t="e">
        <f>I16-C16-#REF!</f>
        <v>#REF!</v>
      </c>
      <c r="L16" s="82"/>
      <c r="M16" s="278">
        <f t="shared" si="2"/>
        <v>12248</v>
      </c>
      <c r="N16" s="278">
        <f>표2[[#This Row],[매입대가]] / 11 * 10</f>
        <v>11134.545454545456</v>
      </c>
      <c r="O16" s="278">
        <f>표2[[#This Row],[매입대가]]/11</f>
        <v>1113.4545454545455</v>
      </c>
      <c r="Q16" s="278">
        <f>표1[[#This Row],[판매가]]*$E$5/100</f>
        <v>773.4375</v>
      </c>
      <c r="R16" s="278">
        <f>표3[[#This Row],[총계]]/11*10</f>
        <v>703.125</v>
      </c>
      <c r="S16" s="278">
        <f t="shared" si="5"/>
        <v>70.3125</v>
      </c>
    </row>
    <row r="17" spans="1:19" x14ac:dyDescent="0.3">
      <c r="A17" s="151"/>
      <c r="B17" s="203" t="s">
        <v>233</v>
      </c>
      <c r="C17" s="270">
        <v>14190</v>
      </c>
      <c r="D17" s="271">
        <v>18000</v>
      </c>
      <c r="E17" s="270">
        <f t="shared" si="0"/>
        <v>381</v>
      </c>
      <c r="F17" s="205">
        <f t="shared" si="1"/>
        <v>3429</v>
      </c>
      <c r="G17" s="151"/>
      <c r="I17" s="278">
        <f t="shared" si="3"/>
        <v>22500</v>
      </c>
      <c r="J17" s="278">
        <f t="shared" si="4"/>
        <v>2250</v>
      </c>
      <c r="K17" s="278" t="e">
        <f>I17-C17-#REF!</f>
        <v>#REF!</v>
      </c>
      <c r="L17" s="82"/>
      <c r="M17" s="278">
        <f t="shared" si="2"/>
        <v>14190</v>
      </c>
      <c r="N17" s="278">
        <f>표2[[#This Row],[매입대가]] / 11 * 10</f>
        <v>12900</v>
      </c>
      <c r="O17" s="278">
        <f>표2[[#This Row],[매입대가]]/11</f>
        <v>1290</v>
      </c>
      <c r="Q17" s="278">
        <f>표1[[#This Row],[판매가]]*$E$5/100</f>
        <v>928.125</v>
      </c>
      <c r="R17" s="278">
        <f>표3[[#This Row],[총계]]/11*10</f>
        <v>843.75</v>
      </c>
      <c r="S17" s="278">
        <f t="shared" si="5"/>
        <v>84.375</v>
      </c>
    </row>
    <row r="18" spans="1:19" x14ac:dyDescent="0.3">
      <c r="A18" s="151"/>
      <c r="B18" s="203" t="s">
        <v>234</v>
      </c>
      <c r="C18" s="270">
        <v>16044</v>
      </c>
      <c r="D18" s="271">
        <v>20000</v>
      </c>
      <c r="E18" s="270">
        <f t="shared" si="0"/>
        <v>395.59999999999991</v>
      </c>
      <c r="F18" s="205">
        <f t="shared" si="1"/>
        <v>3560.4</v>
      </c>
      <c r="G18" s="151"/>
      <c r="I18" s="278">
        <f t="shared" si="3"/>
        <v>25000</v>
      </c>
      <c r="J18" s="278">
        <f t="shared" si="4"/>
        <v>2500</v>
      </c>
      <c r="K18" s="278" t="e">
        <f>I18-C18-#REF!</f>
        <v>#REF!</v>
      </c>
      <c r="L18" s="82"/>
      <c r="M18" s="278">
        <f t="shared" si="2"/>
        <v>16044</v>
      </c>
      <c r="N18" s="278">
        <f>표2[[#This Row],[매입대가]] / 11 * 10</f>
        <v>14585.454545454544</v>
      </c>
      <c r="O18" s="278">
        <f>표2[[#This Row],[매입대가]]/11</f>
        <v>1458.5454545454545</v>
      </c>
      <c r="Q18" s="278">
        <f>표1[[#This Row],[판매가]]*$E$5/100</f>
        <v>1031.25</v>
      </c>
      <c r="R18" s="278">
        <f>표3[[#This Row],[총계]]/11*10</f>
        <v>937.5</v>
      </c>
      <c r="S18" s="278">
        <f t="shared" si="5"/>
        <v>93.75</v>
      </c>
    </row>
    <row r="19" spans="1:19" x14ac:dyDescent="0.3">
      <c r="A19" s="151"/>
      <c r="B19" s="203" t="s">
        <v>184</v>
      </c>
      <c r="C19" s="270">
        <v>16519</v>
      </c>
      <c r="D19" s="271">
        <v>20500</v>
      </c>
      <c r="E19" s="270">
        <f t="shared" si="0"/>
        <v>398.09999999999991</v>
      </c>
      <c r="F19" s="205">
        <f t="shared" si="1"/>
        <v>3582.9</v>
      </c>
      <c r="G19" s="151"/>
      <c r="I19" s="278">
        <f t="shared" si="3"/>
        <v>25625</v>
      </c>
      <c r="J19" s="278">
        <f t="shared" si="4"/>
        <v>2562.5</v>
      </c>
      <c r="K19" s="278" t="e">
        <f>I19-C19-#REF!</f>
        <v>#REF!</v>
      </c>
      <c r="L19" s="82"/>
      <c r="M19" s="278">
        <f t="shared" si="2"/>
        <v>16519</v>
      </c>
      <c r="N19" s="278">
        <f>표2[[#This Row],[매입대가]] / 11 * 10</f>
        <v>15017.272727272728</v>
      </c>
      <c r="O19" s="278">
        <f>표2[[#This Row],[매입대가]]/11</f>
        <v>1501.7272727272727</v>
      </c>
      <c r="Q19" s="278">
        <f>표1[[#This Row],[판매가]]*$E$5/100</f>
        <v>1057.03125</v>
      </c>
      <c r="R19" s="278">
        <f>표3[[#This Row],[총계]]/11*10</f>
        <v>960.9375</v>
      </c>
      <c r="S19" s="278">
        <f t="shared" si="5"/>
        <v>96.09375</v>
      </c>
    </row>
    <row r="20" spans="1:19" x14ac:dyDescent="0.3">
      <c r="A20" s="151"/>
      <c r="B20" s="203" t="s">
        <v>235</v>
      </c>
      <c r="C20" s="270">
        <v>16906</v>
      </c>
      <c r="D20" s="271">
        <v>21500</v>
      </c>
      <c r="E20" s="270">
        <f t="shared" si="0"/>
        <v>459.40000000000009</v>
      </c>
      <c r="F20" s="205">
        <f t="shared" si="1"/>
        <v>4134.6000000000004</v>
      </c>
      <c r="G20" s="151"/>
      <c r="I20" s="278">
        <f t="shared" si="3"/>
        <v>26875</v>
      </c>
      <c r="J20" s="278">
        <f t="shared" si="4"/>
        <v>2687.5</v>
      </c>
      <c r="K20" s="278" t="e">
        <f>I20-C20-#REF!</f>
        <v>#REF!</v>
      </c>
      <c r="L20" s="82"/>
      <c r="M20" s="278">
        <f t="shared" si="2"/>
        <v>16906</v>
      </c>
      <c r="N20" s="278">
        <f>표2[[#This Row],[매입대가]] / 11 * 10</f>
        <v>15369.09090909091</v>
      </c>
      <c r="O20" s="278">
        <f>표2[[#This Row],[매입대가]]/11</f>
        <v>1536.909090909091</v>
      </c>
      <c r="Q20" s="278">
        <f>표1[[#This Row],[판매가]]*$E$5/100</f>
        <v>1108.59375</v>
      </c>
      <c r="R20" s="278">
        <f>표3[[#This Row],[총계]]/11*10</f>
        <v>1007.8125</v>
      </c>
      <c r="S20" s="278">
        <f t="shared" si="5"/>
        <v>100.78125</v>
      </c>
    </row>
    <row r="21" spans="1:19" x14ac:dyDescent="0.3">
      <c r="A21" s="151"/>
      <c r="B21" s="203">
        <v>150</v>
      </c>
      <c r="C21" s="270">
        <v>11983</v>
      </c>
      <c r="D21" s="271">
        <v>15000</v>
      </c>
      <c r="E21" s="270">
        <f t="shared" si="0"/>
        <v>301.70000000000005</v>
      </c>
      <c r="F21" s="205">
        <f t="shared" si="1"/>
        <v>2715.3</v>
      </c>
      <c r="G21" s="151"/>
      <c r="I21" s="278">
        <f t="shared" si="3"/>
        <v>18750</v>
      </c>
      <c r="J21" s="278">
        <f t="shared" si="4"/>
        <v>1875</v>
      </c>
      <c r="K21" s="278" t="e">
        <f>I21-C21-#REF!</f>
        <v>#REF!</v>
      </c>
      <c r="L21" s="82"/>
      <c r="M21" s="278">
        <f t="shared" si="2"/>
        <v>11983</v>
      </c>
      <c r="N21" s="278">
        <f>표2[[#This Row],[매입대가]] / 11 * 10</f>
        <v>10893.636363636362</v>
      </c>
      <c r="O21" s="278">
        <f>표2[[#This Row],[매입대가]]/11</f>
        <v>1089.3636363636363</v>
      </c>
      <c r="Q21" s="278">
        <f>표1[[#This Row],[판매가]]*$E$5/100</f>
        <v>773.4375</v>
      </c>
      <c r="R21" s="278">
        <f>표3[[#This Row],[총계]]/11*10</f>
        <v>703.125</v>
      </c>
      <c r="S21" s="278">
        <f t="shared" si="5"/>
        <v>70.3125</v>
      </c>
    </row>
    <row r="22" spans="1:19" x14ac:dyDescent="0.3">
      <c r="A22" s="151"/>
      <c r="B22" s="203">
        <v>180</v>
      </c>
      <c r="C22" s="270">
        <v>13777</v>
      </c>
      <c r="D22" s="271">
        <v>18000</v>
      </c>
      <c r="E22" s="270">
        <f t="shared" si="0"/>
        <v>422.29999999999995</v>
      </c>
      <c r="F22" s="205">
        <f t="shared" si="1"/>
        <v>3800.7</v>
      </c>
      <c r="G22" s="151"/>
      <c r="I22" s="278">
        <f t="shared" si="3"/>
        <v>22500</v>
      </c>
      <c r="J22" s="278">
        <f t="shared" si="4"/>
        <v>2250</v>
      </c>
      <c r="K22" s="278" t="e">
        <f>I22-C22-#REF!</f>
        <v>#REF!</v>
      </c>
      <c r="L22" s="82"/>
      <c r="M22" s="278">
        <f t="shared" si="2"/>
        <v>13777</v>
      </c>
      <c r="N22" s="278">
        <f>표2[[#This Row],[매입대가]] / 11 * 10</f>
        <v>12524.545454545456</v>
      </c>
      <c r="O22" s="278">
        <f>표2[[#This Row],[매입대가]]/11</f>
        <v>1252.4545454545455</v>
      </c>
      <c r="Q22" s="278">
        <f>표1[[#This Row],[판매가]]*$E$5/100</f>
        <v>928.125</v>
      </c>
      <c r="R22" s="278">
        <f>표3[[#This Row],[총계]]/11*10</f>
        <v>843.75</v>
      </c>
      <c r="S22" s="278">
        <f t="shared" si="5"/>
        <v>84.375</v>
      </c>
    </row>
    <row r="23" spans="1:19" x14ac:dyDescent="0.3">
      <c r="A23" s="151"/>
      <c r="B23" s="203">
        <v>200</v>
      </c>
      <c r="C23" s="270">
        <v>14963</v>
      </c>
      <c r="D23" s="271">
        <v>19000</v>
      </c>
      <c r="E23" s="270">
        <f t="shared" si="0"/>
        <v>403.70000000000005</v>
      </c>
      <c r="F23" s="205">
        <f t="shared" si="1"/>
        <v>3633.3</v>
      </c>
      <c r="G23" s="151"/>
      <c r="I23" s="278">
        <f t="shared" si="3"/>
        <v>23750</v>
      </c>
      <c r="J23" s="278">
        <f t="shared" si="4"/>
        <v>2375</v>
      </c>
      <c r="K23" s="278" t="e">
        <f>I23-C23-#REF!</f>
        <v>#REF!</v>
      </c>
      <c r="L23" s="82"/>
      <c r="M23" s="278">
        <f t="shared" si="2"/>
        <v>14963</v>
      </c>
      <c r="N23" s="278">
        <f>표2[[#This Row],[매입대가]] / 11 * 10</f>
        <v>13602.727272727272</v>
      </c>
      <c r="O23" s="278">
        <f>표2[[#This Row],[매입대가]]/11</f>
        <v>1360.2727272727273</v>
      </c>
      <c r="Q23" s="278">
        <f>표1[[#This Row],[판매가]]*$E$5/100</f>
        <v>979.6875</v>
      </c>
      <c r="R23" s="278">
        <f>표3[[#This Row],[총계]]/11*10</f>
        <v>890.625</v>
      </c>
      <c r="S23" s="278">
        <f t="shared" si="5"/>
        <v>89.0625</v>
      </c>
    </row>
    <row r="24" spans="1:19" x14ac:dyDescent="0.3">
      <c r="A24" s="151"/>
      <c r="B24" s="203">
        <v>300</v>
      </c>
      <c r="C24" s="270">
        <v>21207</v>
      </c>
      <c r="D24" s="271">
        <v>27000</v>
      </c>
      <c r="E24" s="270">
        <f t="shared" si="0"/>
        <v>579.30000000000018</v>
      </c>
      <c r="F24" s="205">
        <f t="shared" si="1"/>
        <v>5213.7</v>
      </c>
      <c r="G24" s="151"/>
      <c r="I24" s="278">
        <f t="shared" si="3"/>
        <v>33750</v>
      </c>
      <c r="J24" s="278">
        <f t="shared" si="4"/>
        <v>3375</v>
      </c>
      <c r="K24" s="278" t="e">
        <f>I24-C24-#REF!</f>
        <v>#REF!</v>
      </c>
      <c r="L24" s="82"/>
      <c r="M24" s="278">
        <f t="shared" si="2"/>
        <v>21207</v>
      </c>
      <c r="N24" s="278">
        <f>표2[[#This Row],[매입대가]] / 11 * 10</f>
        <v>19279.090909090912</v>
      </c>
      <c r="O24" s="278">
        <f>표2[[#This Row],[매입대가]]/11</f>
        <v>1927.909090909091</v>
      </c>
      <c r="Q24" s="278">
        <f>표1[[#This Row],[판매가]]*$E$5/100</f>
        <v>1392.1875</v>
      </c>
      <c r="R24" s="278">
        <f>표3[[#This Row],[총계]]/11*10</f>
        <v>1265.625</v>
      </c>
      <c r="S24" s="278">
        <f t="shared" si="5"/>
        <v>126.5625</v>
      </c>
    </row>
    <row r="25" spans="1:19" x14ac:dyDescent="0.3">
      <c r="A25" s="151"/>
      <c r="B25" s="203">
        <v>150</v>
      </c>
      <c r="C25" s="270">
        <v>12568</v>
      </c>
      <c r="D25" s="271">
        <v>16000</v>
      </c>
      <c r="E25" s="270">
        <f t="shared" si="0"/>
        <v>343.20000000000005</v>
      </c>
      <c r="F25" s="205">
        <f t="shared" si="1"/>
        <v>3088.8</v>
      </c>
      <c r="G25" s="151"/>
      <c r="I25" s="278">
        <f t="shared" si="3"/>
        <v>20000</v>
      </c>
      <c r="J25" s="278">
        <f t="shared" si="4"/>
        <v>2000</v>
      </c>
      <c r="K25" s="278" t="e">
        <f>I25-C25-#REF!</f>
        <v>#REF!</v>
      </c>
      <c r="L25" s="82"/>
      <c r="M25" s="278">
        <f t="shared" si="2"/>
        <v>12568</v>
      </c>
      <c r="N25" s="278">
        <f>표2[[#This Row],[매입대가]] / 11 * 10</f>
        <v>11425.454545454544</v>
      </c>
      <c r="O25" s="278">
        <f>표2[[#This Row],[매입대가]]/11</f>
        <v>1142.5454545454545</v>
      </c>
      <c r="Q25" s="278">
        <f>표1[[#This Row],[판매가]]*$E$5/100</f>
        <v>825</v>
      </c>
      <c r="R25" s="278">
        <f>표3[[#This Row],[총계]]/11*10</f>
        <v>750</v>
      </c>
      <c r="S25" s="278">
        <f t="shared" si="5"/>
        <v>75</v>
      </c>
    </row>
    <row r="26" spans="1:19" x14ac:dyDescent="0.3">
      <c r="A26" s="151"/>
      <c r="B26" s="203">
        <v>180</v>
      </c>
      <c r="C26" s="270">
        <v>14459</v>
      </c>
      <c r="D26" s="271">
        <v>18600</v>
      </c>
      <c r="E26" s="270">
        <f t="shared" si="0"/>
        <v>414.09999999999991</v>
      </c>
      <c r="F26" s="205">
        <f t="shared" si="1"/>
        <v>3726.9</v>
      </c>
      <c r="G26" s="151"/>
      <c r="I26" s="278">
        <f t="shared" si="3"/>
        <v>23250</v>
      </c>
      <c r="J26" s="278">
        <f t="shared" si="4"/>
        <v>2325</v>
      </c>
      <c r="K26" s="278" t="e">
        <f>I26-C26-#REF!</f>
        <v>#REF!</v>
      </c>
      <c r="L26" s="82"/>
      <c r="M26" s="278">
        <f t="shared" si="2"/>
        <v>14459</v>
      </c>
      <c r="N26" s="278">
        <f>표2[[#This Row],[매입대가]] / 11 * 10</f>
        <v>13144.545454545456</v>
      </c>
      <c r="O26" s="278">
        <f>표2[[#This Row],[매입대가]]/11</f>
        <v>1314.4545454545455</v>
      </c>
      <c r="Q26" s="278">
        <f>표1[[#This Row],[판매가]]*$E$5/100</f>
        <v>959.0625</v>
      </c>
      <c r="R26" s="278">
        <f>표3[[#This Row],[총계]]/11*10</f>
        <v>871.875</v>
      </c>
      <c r="S26" s="278">
        <f t="shared" si="5"/>
        <v>87.1875</v>
      </c>
    </row>
    <row r="27" spans="1:19" x14ac:dyDescent="0.3">
      <c r="A27" s="151"/>
      <c r="B27" s="203">
        <v>200</v>
      </c>
      <c r="C27" s="270">
        <v>15710</v>
      </c>
      <c r="D27" s="271">
        <v>20000</v>
      </c>
      <c r="E27" s="270">
        <f t="shared" si="0"/>
        <v>429</v>
      </c>
      <c r="F27" s="205">
        <f t="shared" si="1"/>
        <v>3861</v>
      </c>
      <c r="G27" s="151"/>
      <c r="I27" s="278">
        <f t="shared" si="3"/>
        <v>25000</v>
      </c>
      <c r="J27" s="278">
        <f t="shared" si="4"/>
        <v>2500</v>
      </c>
      <c r="K27" s="278" t="e">
        <f>I27-C27-#REF!</f>
        <v>#REF!</v>
      </c>
      <c r="L27" s="82"/>
      <c r="M27" s="278">
        <f t="shared" si="2"/>
        <v>15710</v>
      </c>
      <c r="N27" s="278">
        <f>표2[[#This Row],[매입대가]] / 11 * 10</f>
        <v>14281.818181818182</v>
      </c>
      <c r="O27" s="278">
        <f>표2[[#This Row],[매입대가]]/11</f>
        <v>1428.1818181818182</v>
      </c>
      <c r="Q27" s="278">
        <f>표1[[#This Row],[판매가]]*$E$5/100</f>
        <v>1031.25</v>
      </c>
      <c r="R27" s="278">
        <f>표3[[#This Row],[총계]]/11*10</f>
        <v>937.5</v>
      </c>
      <c r="S27" s="278">
        <f t="shared" si="5"/>
        <v>93.75</v>
      </c>
    </row>
    <row r="28" spans="1:19" x14ac:dyDescent="0.3">
      <c r="A28" s="151"/>
      <c r="B28" s="203">
        <v>300</v>
      </c>
      <c r="C28" s="270">
        <v>21993</v>
      </c>
      <c r="D28" s="271">
        <v>28000</v>
      </c>
      <c r="E28" s="270">
        <f t="shared" si="0"/>
        <v>600.69999999999982</v>
      </c>
      <c r="F28" s="205">
        <f t="shared" si="1"/>
        <v>5406.3</v>
      </c>
      <c r="G28" s="151"/>
      <c r="I28" s="278">
        <f t="shared" si="3"/>
        <v>35000</v>
      </c>
      <c r="J28" s="278">
        <f t="shared" si="4"/>
        <v>3500</v>
      </c>
      <c r="K28" s="278" t="e">
        <f>I28-C28-#REF!</f>
        <v>#REF!</v>
      </c>
      <c r="L28" s="82"/>
      <c r="M28" s="278">
        <f t="shared" si="2"/>
        <v>21993</v>
      </c>
      <c r="N28" s="278">
        <f>표2[[#This Row],[매입대가]] / 11 * 10</f>
        <v>19993.636363636364</v>
      </c>
      <c r="O28" s="278">
        <f>표2[[#This Row],[매입대가]]/11</f>
        <v>1999.3636363636363</v>
      </c>
      <c r="Q28" s="278">
        <f>표1[[#This Row],[판매가]]*$E$5/100</f>
        <v>1443.75</v>
      </c>
      <c r="R28" s="278">
        <f>표3[[#This Row],[총계]]/11*10</f>
        <v>1312.5</v>
      </c>
      <c r="S28" s="278">
        <f t="shared" si="5"/>
        <v>131.25</v>
      </c>
    </row>
    <row r="29" spans="1:19" x14ac:dyDescent="0.3">
      <c r="A29" s="151"/>
      <c r="B29" s="203" t="s">
        <v>236</v>
      </c>
      <c r="C29" s="270">
        <v>9000</v>
      </c>
      <c r="D29" s="271">
        <v>11500</v>
      </c>
      <c r="E29" s="270">
        <f t="shared" si="0"/>
        <v>250</v>
      </c>
      <c r="F29" s="205">
        <f t="shared" si="1"/>
        <v>2250</v>
      </c>
      <c r="G29" s="151"/>
      <c r="I29" s="278">
        <f t="shared" si="3"/>
        <v>14375</v>
      </c>
      <c r="J29" s="278">
        <f t="shared" si="4"/>
        <v>1437.5</v>
      </c>
      <c r="K29" s="278" t="e">
        <f>I29-C29-#REF!</f>
        <v>#REF!</v>
      </c>
      <c r="L29" s="82"/>
      <c r="M29" s="278">
        <f t="shared" si="2"/>
        <v>9000</v>
      </c>
      <c r="N29" s="278">
        <f>표2[[#This Row],[매입대가]] / 11 * 10</f>
        <v>8181.8181818181811</v>
      </c>
      <c r="O29" s="278">
        <f>표2[[#This Row],[매입대가]]/11</f>
        <v>818.18181818181813</v>
      </c>
      <c r="Q29" s="278">
        <f>표1[[#This Row],[판매가]]*$E$5/100</f>
        <v>592.96875</v>
      </c>
      <c r="R29" s="278">
        <f>표3[[#This Row],[총계]]/11*10</f>
        <v>539.0625</v>
      </c>
      <c r="S29" s="278">
        <f t="shared" si="5"/>
        <v>53.90625</v>
      </c>
    </row>
    <row r="30" spans="1:19" x14ac:dyDescent="0.3">
      <c r="A30" s="151"/>
      <c r="B30" s="203" t="s">
        <v>237</v>
      </c>
      <c r="C30" s="270">
        <v>16000</v>
      </c>
      <c r="D30" s="271">
        <v>20500</v>
      </c>
      <c r="E30" s="270">
        <f t="shared" si="0"/>
        <v>450</v>
      </c>
      <c r="F30" s="205">
        <f t="shared" si="1"/>
        <v>4050</v>
      </c>
      <c r="G30" s="151"/>
      <c r="I30" s="278">
        <f t="shared" si="3"/>
        <v>25625</v>
      </c>
      <c r="J30" s="278">
        <f t="shared" si="4"/>
        <v>2562.5</v>
      </c>
      <c r="K30" s="278" t="e">
        <f>I30-C30-#REF!</f>
        <v>#REF!</v>
      </c>
      <c r="L30" s="82"/>
      <c r="M30" s="278">
        <f t="shared" si="2"/>
        <v>16000</v>
      </c>
      <c r="N30" s="278">
        <f>표2[[#This Row],[매입대가]] / 11 * 10</f>
        <v>14545.454545454544</v>
      </c>
      <c r="O30" s="278">
        <f>표2[[#This Row],[매입대가]]/11</f>
        <v>1454.5454545454545</v>
      </c>
      <c r="Q30" s="278">
        <f>표1[[#This Row],[판매가]]*$E$5/100</f>
        <v>1057.03125</v>
      </c>
      <c r="R30" s="278">
        <f>표3[[#This Row],[총계]]/11*10</f>
        <v>960.9375</v>
      </c>
      <c r="S30" s="278">
        <f t="shared" si="5"/>
        <v>96.09375</v>
      </c>
    </row>
    <row r="31" spans="1:19" x14ac:dyDescent="0.3">
      <c r="A31" s="151"/>
      <c r="B31" s="151"/>
      <c r="C31" s="151"/>
      <c r="D31" s="267"/>
      <c r="E31" s="151"/>
      <c r="F31" s="151"/>
      <c r="G31" s="151"/>
    </row>
  </sheetData>
  <mergeCells count="13">
    <mergeCell ref="M9:O9"/>
    <mergeCell ref="Q9:S9"/>
    <mergeCell ref="B8:F8"/>
    <mergeCell ref="B9:B10"/>
    <mergeCell ref="C9:C10"/>
    <mergeCell ref="E9:E10"/>
    <mergeCell ref="F9:F10"/>
    <mergeCell ref="I9:K9"/>
    <mergeCell ref="C5:D5"/>
    <mergeCell ref="F2:F5"/>
    <mergeCell ref="C2:D2"/>
    <mergeCell ref="C3:D3"/>
    <mergeCell ref="C4:D4"/>
  </mergeCells>
  <phoneticPr fontId="1" type="noConversion"/>
  <conditionalFormatting sqref="M11:O30">
    <cfRule type="colorScale" priority="2">
      <colorScale>
        <cfvo type="min"/>
        <cfvo type="percentile" val="50"/>
        <cfvo type="max"/>
        <color rgb="FFF8696B"/>
        <color rgb="FFFCFCFF"/>
        <color rgb="FF63BE7B"/>
      </colorScale>
    </cfRule>
  </conditionalFormatting>
  <pageMargins left="0.7" right="0.7" top="0.75" bottom="0.75" header="0.3" footer="0.3"/>
  <pageSetup paperSize="9" orientation="portrait" verticalDpi="0"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6"/>
  <sheetViews>
    <sheetView workbookViewId="0">
      <selection activeCell="B9" sqref="B9"/>
    </sheetView>
  </sheetViews>
  <sheetFormatPr defaultRowHeight="16.5" x14ac:dyDescent="0.3"/>
  <cols>
    <col min="2" max="2" width="135.75" customWidth="1"/>
  </cols>
  <sheetData>
    <row r="2" spans="2:2" ht="17.25" x14ac:dyDescent="0.3">
      <c r="B2" s="272" t="s">
        <v>438</v>
      </c>
    </row>
    <row r="3" spans="2:2" x14ac:dyDescent="0.3">
      <c r="B3" s="273" t="s">
        <v>439</v>
      </c>
    </row>
    <row r="4" spans="2:2" x14ac:dyDescent="0.3">
      <c r="B4" s="274" t="s">
        <v>440</v>
      </c>
    </row>
    <row r="5" spans="2:2" x14ac:dyDescent="0.3">
      <c r="B5" s="273" t="s">
        <v>441</v>
      </c>
    </row>
    <row r="6" spans="2:2" x14ac:dyDescent="0.3">
      <c r="B6" s="273" t="s">
        <v>442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G40"/>
  <sheetViews>
    <sheetView zoomScaleNormal="100" workbookViewId="0">
      <selection activeCell="J33" sqref="J33"/>
    </sheetView>
  </sheetViews>
  <sheetFormatPr defaultColWidth="9" defaultRowHeight="16.5" x14ac:dyDescent="0.3"/>
  <cols>
    <col min="1" max="1" width="5.125" style="1" customWidth="1"/>
    <col min="2" max="2" width="3.25" style="1" bestFit="1" customWidth="1"/>
    <col min="3" max="3" width="9" style="1" bestFit="1" customWidth="1"/>
    <col min="4" max="4" width="5.5" style="1" bestFit="1" customWidth="1"/>
    <col min="5" max="5" width="11" style="1" bestFit="1" customWidth="1"/>
    <col min="6" max="7" width="9.25" style="22" bestFit="1" customWidth="1"/>
    <col min="8" max="8" width="4.5" style="1" bestFit="1" customWidth="1"/>
    <col min="9" max="9" width="2.875" style="1" bestFit="1" customWidth="1"/>
    <col min="10" max="11" width="6" style="1" bestFit="1" customWidth="1"/>
    <col min="12" max="12" width="5.875" style="1" bestFit="1" customWidth="1"/>
    <col min="13" max="13" width="3.75" style="1" customWidth="1"/>
    <col min="14" max="14" width="5.25" style="1" bestFit="1" customWidth="1"/>
    <col min="15" max="15" width="11" style="1" bestFit="1" customWidth="1"/>
    <col min="16" max="16" width="7.5" style="1" bestFit="1" customWidth="1"/>
    <col min="17" max="17" width="4.5" style="1" bestFit="1" customWidth="1"/>
    <col min="18" max="18" width="6" style="1" bestFit="1" customWidth="1"/>
    <col min="19" max="19" width="6.25" style="1" bestFit="1" customWidth="1"/>
    <col min="20" max="20" width="4.5" style="1" bestFit="1" customWidth="1"/>
    <col min="21" max="23" width="6" style="1" bestFit="1" customWidth="1"/>
    <col min="24" max="24" width="10.625" style="2" bestFit="1" customWidth="1"/>
    <col min="25" max="27" width="10.625" style="1" bestFit="1" customWidth="1"/>
    <col min="28" max="16384" width="9" style="1"/>
  </cols>
  <sheetData>
    <row r="1" spans="2:26" ht="12" customHeight="1" x14ac:dyDescent="0.3"/>
    <row r="2" spans="2:26" ht="17.25" x14ac:dyDescent="0.3">
      <c r="B2" s="340" t="s">
        <v>41</v>
      </c>
      <c r="C2" s="340"/>
      <c r="D2" s="340"/>
      <c r="E2" s="340"/>
      <c r="F2" s="340"/>
      <c r="G2" s="340"/>
      <c r="H2" s="18"/>
      <c r="I2" s="340" t="s">
        <v>58</v>
      </c>
      <c r="J2" s="340"/>
      <c r="K2" s="340"/>
      <c r="L2" s="340"/>
      <c r="N2" s="336" t="s">
        <v>89</v>
      </c>
      <c r="O2" s="336"/>
      <c r="P2" s="336"/>
      <c r="Q2" s="336"/>
      <c r="R2" s="336"/>
      <c r="S2" s="336"/>
      <c r="T2" s="336"/>
      <c r="U2" s="336"/>
      <c r="V2" s="336"/>
      <c r="W2" s="336"/>
    </row>
    <row r="3" spans="2:26" x14ac:dyDescent="0.3">
      <c r="B3" s="17" t="s">
        <v>9</v>
      </c>
      <c r="C3" s="17" t="s">
        <v>52</v>
      </c>
      <c r="D3" s="17" t="s">
        <v>51</v>
      </c>
      <c r="E3" s="17" t="s">
        <v>42</v>
      </c>
      <c r="F3" s="24" t="s">
        <v>49</v>
      </c>
      <c r="G3" s="24" t="s">
        <v>50</v>
      </c>
      <c r="H3" s="25"/>
      <c r="I3" s="17" t="s">
        <v>59</v>
      </c>
      <c r="J3" s="342" t="s">
        <v>60</v>
      </c>
      <c r="K3" s="342"/>
      <c r="L3" s="17" t="s">
        <v>61</v>
      </c>
      <c r="N3" s="335" t="s">
        <v>91</v>
      </c>
      <c r="O3" s="338" t="s">
        <v>90</v>
      </c>
      <c r="P3" s="20" t="s">
        <v>79</v>
      </c>
      <c r="Q3" s="20" t="s">
        <v>80</v>
      </c>
      <c r="R3" s="20" t="s">
        <v>81</v>
      </c>
      <c r="S3" s="20" t="s">
        <v>82</v>
      </c>
      <c r="T3" s="20" t="s">
        <v>83</v>
      </c>
      <c r="U3" s="20" t="s">
        <v>84</v>
      </c>
      <c r="V3" s="20" t="s">
        <v>85</v>
      </c>
      <c r="W3" s="20" t="s">
        <v>86</v>
      </c>
      <c r="X3" s="27"/>
    </row>
    <row r="4" spans="2:26" x14ac:dyDescent="0.3">
      <c r="B4" s="20">
        <v>1</v>
      </c>
      <c r="C4" s="20">
        <v>10</v>
      </c>
      <c r="D4" s="20">
        <v>3</v>
      </c>
      <c r="E4" s="21" t="s">
        <v>43</v>
      </c>
      <c r="F4" s="23">
        <v>2300</v>
      </c>
      <c r="G4" s="23">
        <f>F4*D4</f>
        <v>6900</v>
      </c>
      <c r="H4" s="19"/>
      <c r="I4" s="20">
        <v>1</v>
      </c>
      <c r="J4" s="341" t="s">
        <v>55</v>
      </c>
      <c r="K4" s="341"/>
      <c r="L4" s="26">
        <v>2500</v>
      </c>
      <c r="N4" s="337"/>
      <c r="O4" s="339"/>
      <c r="P4" s="20">
        <v>7.8</v>
      </c>
      <c r="Q4" s="20">
        <v>12</v>
      </c>
      <c r="R4" s="20">
        <v>11</v>
      </c>
      <c r="S4" s="20">
        <v>10</v>
      </c>
      <c r="T4" s="20">
        <v>9</v>
      </c>
      <c r="U4" s="20">
        <v>9</v>
      </c>
      <c r="V4" s="20">
        <v>2.86</v>
      </c>
      <c r="W4" s="20">
        <v>5</v>
      </c>
      <c r="X4" s="27"/>
    </row>
    <row r="5" spans="2:26" x14ac:dyDescent="0.3">
      <c r="B5" s="20">
        <f>B4+1</f>
        <v>2</v>
      </c>
      <c r="C5" s="20">
        <v>10</v>
      </c>
      <c r="D5" s="20">
        <v>5</v>
      </c>
      <c r="E5" s="21" t="s">
        <v>88</v>
      </c>
      <c r="F5" s="23">
        <v>2300</v>
      </c>
      <c r="G5" s="23">
        <f t="shared" ref="G5:G6" si="0">F5*D5</f>
        <v>11500</v>
      </c>
      <c r="H5" s="19"/>
      <c r="I5" s="20">
        <f>I4+1</f>
        <v>2</v>
      </c>
      <c r="J5" s="341" t="s">
        <v>56</v>
      </c>
      <c r="K5" s="341"/>
      <c r="L5" s="26">
        <v>3000</v>
      </c>
      <c r="N5" s="20">
        <v>3</v>
      </c>
      <c r="O5" s="21" t="s">
        <v>43</v>
      </c>
      <c r="P5" s="29">
        <f>(G4+$L$5)*(1+0.121)</f>
        <v>11097.9</v>
      </c>
      <c r="Q5" s="29"/>
      <c r="R5" s="29"/>
      <c r="S5" s="29"/>
      <c r="T5" s="29"/>
      <c r="U5" s="29"/>
      <c r="V5" s="29"/>
      <c r="W5" s="29"/>
      <c r="X5" s="27">
        <v>11100</v>
      </c>
      <c r="Z5" s="1">
        <f>0.1*90</f>
        <v>9</v>
      </c>
    </row>
    <row r="6" spans="2:26" x14ac:dyDescent="0.3">
      <c r="B6" s="20">
        <f t="shared" ref="B6:B33" si="1">B5+1</f>
        <v>3</v>
      </c>
      <c r="C6" s="20">
        <v>10</v>
      </c>
      <c r="D6" s="20">
        <v>10</v>
      </c>
      <c r="E6" s="21" t="s">
        <v>88</v>
      </c>
      <c r="F6" s="23">
        <v>2300</v>
      </c>
      <c r="G6" s="23">
        <f t="shared" si="0"/>
        <v>23000</v>
      </c>
      <c r="H6" s="19"/>
      <c r="I6" s="20">
        <f>I5+1</f>
        <v>3</v>
      </c>
      <c r="J6" s="341" t="s">
        <v>57</v>
      </c>
      <c r="K6" s="341"/>
      <c r="L6" s="26">
        <v>3500</v>
      </c>
      <c r="N6" s="20">
        <v>5</v>
      </c>
      <c r="O6" s="21" t="s">
        <v>88</v>
      </c>
      <c r="P6" s="29">
        <f>(G5+$L$5)*(1+0.138)</f>
        <v>16501</v>
      </c>
      <c r="Q6" s="30"/>
      <c r="R6" s="30"/>
      <c r="S6" s="30"/>
      <c r="T6" s="30"/>
      <c r="U6" s="30"/>
      <c r="V6" s="30"/>
      <c r="W6" s="30"/>
      <c r="X6" s="27">
        <v>16500</v>
      </c>
      <c r="Z6" s="1">
        <f>(Z5-0.3)*1290</f>
        <v>11222.999999999998</v>
      </c>
    </row>
    <row r="7" spans="2:26" x14ac:dyDescent="0.3">
      <c r="B7" s="20">
        <f t="shared" si="1"/>
        <v>4</v>
      </c>
      <c r="C7" s="20">
        <v>24</v>
      </c>
      <c r="D7" s="20">
        <v>2</v>
      </c>
      <c r="E7" s="21" t="s">
        <v>43</v>
      </c>
      <c r="F7" s="23">
        <v>4800</v>
      </c>
      <c r="G7" s="23">
        <f>F7*D7</f>
        <v>9600</v>
      </c>
      <c r="H7" s="19"/>
      <c r="I7" s="19"/>
      <c r="J7" s="19"/>
      <c r="K7" s="19"/>
      <c r="L7" s="19"/>
      <c r="M7" s="19"/>
      <c r="N7" s="20">
        <v>10</v>
      </c>
      <c r="O7" s="21" t="s">
        <v>88</v>
      </c>
      <c r="P7" s="29">
        <f>(G6+$L$6)*(1+0.132)</f>
        <v>29998.000000000004</v>
      </c>
      <c r="Q7" s="30"/>
      <c r="R7" s="30"/>
      <c r="S7" s="30"/>
      <c r="T7" s="30"/>
      <c r="U7" s="30"/>
      <c r="V7" s="30"/>
      <c r="W7" s="30"/>
      <c r="X7" s="27">
        <v>30000</v>
      </c>
    </row>
    <row r="8" spans="2:26" ht="17.25" x14ac:dyDescent="0.3">
      <c r="B8" s="20">
        <f t="shared" si="1"/>
        <v>5</v>
      </c>
      <c r="C8" s="20">
        <v>24</v>
      </c>
      <c r="D8" s="20">
        <v>3</v>
      </c>
      <c r="E8" s="21" t="s">
        <v>43</v>
      </c>
      <c r="F8" s="23">
        <v>4800</v>
      </c>
      <c r="G8" s="23">
        <f t="shared" ref="G8:G9" si="2">F8*D8</f>
        <v>14400</v>
      </c>
      <c r="H8" s="19"/>
      <c r="I8" s="340" t="s">
        <v>92</v>
      </c>
      <c r="J8" s="340"/>
      <c r="K8" s="340"/>
      <c r="L8" s="340"/>
      <c r="M8" s="19"/>
      <c r="N8" s="20">
        <v>2</v>
      </c>
      <c r="O8" s="21" t="s">
        <v>43</v>
      </c>
      <c r="P8" s="29">
        <f>(G7+$L$5)*(1+0.175)</f>
        <v>14805</v>
      </c>
      <c r="Q8" s="30"/>
      <c r="R8" s="30"/>
      <c r="S8" s="30"/>
      <c r="T8" s="30"/>
      <c r="U8" s="30"/>
      <c r="V8" s="30"/>
      <c r="W8" s="30"/>
      <c r="X8" s="27">
        <v>14800</v>
      </c>
    </row>
    <row r="9" spans="2:26" ht="16.5" customHeight="1" x14ac:dyDescent="0.3">
      <c r="B9" s="20">
        <f t="shared" si="1"/>
        <v>6</v>
      </c>
      <c r="C9" s="20">
        <v>24</v>
      </c>
      <c r="D9" s="20">
        <v>4</v>
      </c>
      <c r="E9" s="21" t="s">
        <v>43</v>
      </c>
      <c r="F9" s="23">
        <v>4800</v>
      </c>
      <c r="G9" s="23">
        <f t="shared" si="2"/>
        <v>19200</v>
      </c>
      <c r="H9" s="19"/>
      <c r="I9" s="31" t="s">
        <v>9</v>
      </c>
      <c r="J9" s="349" t="s">
        <v>93</v>
      </c>
      <c r="K9" s="349"/>
      <c r="L9" s="31" t="s">
        <v>94</v>
      </c>
      <c r="M9" s="19"/>
      <c r="N9" s="20">
        <v>3</v>
      </c>
      <c r="O9" s="21" t="s">
        <v>43</v>
      </c>
      <c r="P9" s="29">
        <f>(G8+$L$5)*(1+0.178)</f>
        <v>20497.199999999997</v>
      </c>
      <c r="Q9" s="30"/>
      <c r="R9" s="30"/>
      <c r="S9" s="30"/>
      <c r="T9" s="30"/>
      <c r="U9" s="30"/>
      <c r="V9" s="30"/>
      <c r="W9" s="30"/>
      <c r="X9" s="27">
        <v>20500</v>
      </c>
      <c r="Y9" s="2"/>
    </row>
    <row r="10" spans="2:26" x14ac:dyDescent="0.3">
      <c r="B10" s="20">
        <f t="shared" si="1"/>
        <v>7</v>
      </c>
      <c r="C10" s="20">
        <v>30</v>
      </c>
      <c r="D10" s="20">
        <v>2</v>
      </c>
      <c r="E10" s="21" t="s">
        <v>44</v>
      </c>
      <c r="F10" s="23">
        <v>4500</v>
      </c>
      <c r="G10" s="23">
        <f t="shared" ref="G10:G21" si="3">F10*D10</f>
        <v>9000</v>
      </c>
      <c r="H10" s="19"/>
      <c r="I10" s="20">
        <v>1</v>
      </c>
      <c r="J10" s="341" t="s">
        <v>95</v>
      </c>
      <c r="K10" s="341"/>
      <c r="L10" s="26">
        <v>40</v>
      </c>
      <c r="M10" s="19"/>
      <c r="N10" s="20">
        <v>4</v>
      </c>
      <c r="O10" s="21" t="s">
        <v>43</v>
      </c>
      <c r="P10" s="29">
        <f>(G9+$L$5)*(1+0.199)</f>
        <v>26617.800000000003</v>
      </c>
      <c r="Q10" s="30"/>
      <c r="R10" s="30"/>
      <c r="S10" s="30"/>
      <c r="T10" s="30"/>
      <c r="U10" s="30"/>
      <c r="V10" s="30"/>
      <c r="W10" s="30"/>
      <c r="X10" s="27">
        <v>26620</v>
      </c>
    </row>
    <row r="11" spans="2:26" x14ac:dyDescent="0.3">
      <c r="B11" s="20">
        <f t="shared" si="1"/>
        <v>8</v>
      </c>
      <c r="C11" s="20">
        <v>30</v>
      </c>
      <c r="D11" s="20">
        <v>3</v>
      </c>
      <c r="E11" s="21" t="s">
        <v>44</v>
      </c>
      <c r="F11" s="23">
        <v>4500</v>
      </c>
      <c r="G11" s="23">
        <f t="shared" si="3"/>
        <v>13500</v>
      </c>
      <c r="H11" s="19"/>
      <c r="I11" s="20">
        <f>I10+1</f>
        <v>2</v>
      </c>
      <c r="J11" s="341" t="s">
        <v>96</v>
      </c>
      <c r="K11" s="341"/>
      <c r="L11" s="26">
        <v>3000</v>
      </c>
      <c r="M11" s="19"/>
      <c r="N11" s="20">
        <v>2</v>
      </c>
      <c r="O11" s="21" t="s">
        <v>44</v>
      </c>
      <c r="P11" s="29">
        <f t="shared" ref="P11:P31" si="4">(G10+$L$5)*(1+0.138)</f>
        <v>13655.999999999998</v>
      </c>
      <c r="Q11" s="30"/>
      <c r="R11" s="30"/>
      <c r="S11" s="30"/>
      <c r="T11" s="30"/>
      <c r="U11" s="30"/>
      <c r="V11" s="30"/>
      <c r="W11" s="30"/>
      <c r="X11" s="27">
        <v>19900</v>
      </c>
    </row>
    <row r="12" spans="2:26" x14ac:dyDescent="0.3">
      <c r="B12" s="20">
        <f t="shared" si="1"/>
        <v>9</v>
      </c>
      <c r="C12" s="20">
        <v>30</v>
      </c>
      <c r="D12" s="20">
        <v>2</v>
      </c>
      <c r="E12" s="21" t="s">
        <v>45</v>
      </c>
      <c r="F12" s="23">
        <v>5700</v>
      </c>
      <c r="G12" s="23">
        <f t="shared" si="3"/>
        <v>11400</v>
      </c>
      <c r="H12" s="19"/>
      <c r="I12" s="20">
        <f>I11+1</f>
        <v>3</v>
      </c>
      <c r="J12" s="341" t="s">
        <v>97</v>
      </c>
      <c r="K12" s="341"/>
      <c r="L12" s="26">
        <v>3500</v>
      </c>
      <c r="M12" s="19"/>
      <c r="N12" s="20">
        <v>3</v>
      </c>
      <c r="O12" s="21" t="s">
        <v>44</v>
      </c>
      <c r="P12" s="29">
        <f t="shared" si="4"/>
        <v>18777</v>
      </c>
      <c r="Q12" s="30"/>
      <c r="R12" s="30"/>
      <c r="S12" s="30"/>
      <c r="T12" s="30"/>
      <c r="U12" s="30"/>
      <c r="V12" s="30"/>
      <c r="W12" s="30"/>
      <c r="X12" s="27">
        <v>24200</v>
      </c>
    </row>
    <row r="13" spans="2:26" x14ac:dyDescent="0.3">
      <c r="B13" s="20">
        <f t="shared" si="1"/>
        <v>10</v>
      </c>
      <c r="C13" s="20">
        <v>30</v>
      </c>
      <c r="D13" s="20">
        <v>3</v>
      </c>
      <c r="E13" s="21" t="s">
        <v>45</v>
      </c>
      <c r="F13" s="23">
        <v>5700</v>
      </c>
      <c r="G13" s="23">
        <f t="shared" si="3"/>
        <v>17100</v>
      </c>
      <c r="H13" s="19"/>
      <c r="M13" s="19"/>
      <c r="N13" s="20">
        <v>2</v>
      </c>
      <c r="O13" s="21" t="s">
        <v>45</v>
      </c>
      <c r="P13" s="29">
        <f t="shared" si="4"/>
        <v>16387.199999999997</v>
      </c>
      <c r="Q13" s="30"/>
      <c r="R13" s="30"/>
      <c r="S13" s="30"/>
      <c r="T13" s="30"/>
      <c r="U13" s="30"/>
      <c r="V13" s="30"/>
      <c r="W13" s="30"/>
      <c r="X13" s="27">
        <v>24200</v>
      </c>
    </row>
    <row r="14" spans="2:26" ht="17.25" x14ac:dyDescent="0.3">
      <c r="B14" s="20">
        <f t="shared" si="1"/>
        <v>11</v>
      </c>
      <c r="C14" s="20">
        <v>30</v>
      </c>
      <c r="D14" s="20">
        <v>2</v>
      </c>
      <c r="E14" s="21" t="s">
        <v>46</v>
      </c>
      <c r="F14" s="23">
        <v>5700</v>
      </c>
      <c r="G14" s="23">
        <f t="shared" si="3"/>
        <v>11400</v>
      </c>
      <c r="H14" s="19"/>
      <c r="I14" s="346" t="s">
        <v>78</v>
      </c>
      <c r="J14" s="347"/>
      <c r="K14" s="347"/>
      <c r="L14" s="348"/>
      <c r="M14" s="19"/>
      <c r="N14" s="20">
        <v>3</v>
      </c>
      <c r="O14" s="21" t="s">
        <v>45</v>
      </c>
      <c r="P14" s="29">
        <f t="shared" si="4"/>
        <v>22873.8</v>
      </c>
      <c r="Q14" s="30"/>
      <c r="R14" s="30"/>
      <c r="S14" s="30"/>
      <c r="T14" s="30"/>
      <c r="U14" s="30"/>
      <c r="V14" s="30"/>
      <c r="W14" s="30"/>
      <c r="X14" s="27">
        <v>18400</v>
      </c>
    </row>
    <row r="15" spans="2:26" x14ac:dyDescent="0.3">
      <c r="B15" s="20">
        <f t="shared" si="1"/>
        <v>12</v>
      </c>
      <c r="C15" s="20">
        <v>30</v>
      </c>
      <c r="D15" s="20">
        <v>3</v>
      </c>
      <c r="E15" s="21" t="s">
        <v>46</v>
      </c>
      <c r="F15" s="23">
        <v>5700</v>
      </c>
      <c r="G15" s="23">
        <f t="shared" si="3"/>
        <v>17100</v>
      </c>
      <c r="H15" s="19"/>
      <c r="I15" s="343" t="s">
        <v>87</v>
      </c>
      <c r="J15" s="344"/>
      <c r="K15" s="344"/>
      <c r="L15" s="345"/>
      <c r="M15" s="19"/>
      <c r="N15" s="20">
        <v>2</v>
      </c>
      <c r="O15" s="21" t="s">
        <v>46</v>
      </c>
      <c r="P15" s="29">
        <f t="shared" si="4"/>
        <v>16387.199999999997</v>
      </c>
      <c r="Q15" s="30"/>
      <c r="R15" s="30"/>
      <c r="S15" s="30"/>
      <c r="T15" s="30"/>
      <c r="U15" s="30"/>
      <c r="V15" s="30"/>
      <c r="W15" s="30"/>
      <c r="X15" s="27">
        <v>25800</v>
      </c>
    </row>
    <row r="16" spans="2:26" x14ac:dyDescent="0.3">
      <c r="B16" s="20">
        <f t="shared" si="1"/>
        <v>13</v>
      </c>
      <c r="C16" s="20">
        <v>30</v>
      </c>
      <c r="D16" s="20">
        <v>2</v>
      </c>
      <c r="E16" s="21" t="s">
        <v>0</v>
      </c>
      <c r="F16" s="23">
        <v>6200</v>
      </c>
      <c r="G16" s="23">
        <f t="shared" si="3"/>
        <v>12400</v>
      </c>
      <c r="H16" s="19"/>
      <c r="I16" s="343"/>
      <c r="J16" s="344"/>
      <c r="K16" s="344"/>
      <c r="L16" s="345"/>
      <c r="M16" s="19"/>
      <c r="N16" s="20">
        <v>3</v>
      </c>
      <c r="O16" s="21" t="s">
        <v>46</v>
      </c>
      <c r="P16" s="29">
        <f t="shared" si="4"/>
        <v>22873.8</v>
      </c>
      <c r="Q16" s="30"/>
      <c r="R16" s="30"/>
      <c r="S16" s="30"/>
      <c r="T16" s="30"/>
      <c r="U16" s="30"/>
      <c r="V16" s="30"/>
      <c r="W16" s="30"/>
      <c r="X16" s="27">
        <v>19100</v>
      </c>
    </row>
    <row r="17" spans="2:33" x14ac:dyDescent="0.3">
      <c r="B17" s="20">
        <f t="shared" si="1"/>
        <v>14</v>
      </c>
      <c r="C17" s="20">
        <v>30</v>
      </c>
      <c r="D17" s="20">
        <v>3</v>
      </c>
      <c r="E17" s="21" t="s">
        <v>0</v>
      </c>
      <c r="F17" s="23">
        <v>6200</v>
      </c>
      <c r="G17" s="23">
        <f t="shared" si="3"/>
        <v>18600</v>
      </c>
      <c r="H17" s="19"/>
      <c r="I17" s="343"/>
      <c r="J17" s="344"/>
      <c r="K17" s="344"/>
      <c r="L17" s="345"/>
      <c r="M17" s="19"/>
      <c r="N17" s="20">
        <v>2</v>
      </c>
      <c r="O17" s="21" t="s">
        <v>0</v>
      </c>
      <c r="P17" s="29">
        <f t="shared" si="4"/>
        <v>17525.199999999997</v>
      </c>
      <c r="Q17" s="30"/>
      <c r="R17" s="30"/>
      <c r="S17" s="30"/>
      <c r="T17" s="30"/>
      <c r="U17" s="30"/>
      <c r="V17" s="30"/>
      <c r="W17" s="30"/>
      <c r="X17" s="27">
        <v>26900</v>
      </c>
    </row>
    <row r="18" spans="2:33" x14ac:dyDescent="0.3">
      <c r="B18" s="20">
        <f t="shared" si="1"/>
        <v>15</v>
      </c>
      <c r="C18" s="20">
        <v>30</v>
      </c>
      <c r="D18" s="20">
        <v>2</v>
      </c>
      <c r="E18" s="21" t="s">
        <v>1</v>
      </c>
      <c r="F18" s="23">
        <v>6500</v>
      </c>
      <c r="G18" s="23">
        <f t="shared" si="3"/>
        <v>13000</v>
      </c>
      <c r="H18" s="19"/>
      <c r="I18" s="343"/>
      <c r="J18" s="344"/>
      <c r="K18" s="344"/>
      <c r="L18" s="345"/>
      <c r="M18" s="19"/>
      <c r="N18" s="20">
        <v>3</v>
      </c>
      <c r="O18" s="21" t="s">
        <v>0</v>
      </c>
      <c r="P18" s="29">
        <f t="shared" si="4"/>
        <v>24580.799999999999</v>
      </c>
      <c r="Q18" s="30"/>
      <c r="R18" s="30"/>
      <c r="S18" s="30"/>
      <c r="T18" s="30"/>
      <c r="U18" s="30"/>
      <c r="V18" s="30"/>
      <c r="W18" s="30"/>
      <c r="X18" s="27">
        <v>19500</v>
      </c>
    </row>
    <row r="19" spans="2:33" x14ac:dyDescent="0.3">
      <c r="B19" s="20">
        <f t="shared" si="1"/>
        <v>16</v>
      </c>
      <c r="C19" s="20">
        <v>30</v>
      </c>
      <c r="D19" s="20">
        <v>3</v>
      </c>
      <c r="E19" s="21" t="s">
        <v>1</v>
      </c>
      <c r="F19" s="23">
        <v>6500</v>
      </c>
      <c r="G19" s="23">
        <f t="shared" si="3"/>
        <v>19500</v>
      </c>
      <c r="H19" s="19"/>
      <c r="I19" s="343"/>
      <c r="J19" s="344"/>
      <c r="K19" s="344"/>
      <c r="L19" s="345"/>
      <c r="M19" s="19"/>
      <c r="N19" s="20">
        <v>2</v>
      </c>
      <c r="O19" s="21" t="s">
        <v>1</v>
      </c>
      <c r="P19" s="29">
        <f t="shared" si="4"/>
        <v>18208</v>
      </c>
      <c r="Q19" s="30"/>
      <c r="R19" s="30"/>
      <c r="S19" s="30"/>
      <c r="T19" s="30"/>
      <c r="U19" s="30"/>
      <c r="V19" s="30"/>
      <c r="W19" s="30"/>
      <c r="X19" s="27">
        <v>27500</v>
      </c>
    </row>
    <row r="20" spans="2:33" x14ac:dyDescent="0.3">
      <c r="B20" s="20">
        <f t="shared" si="1"/>
        <v>17</v>
      </c>
      <c r="C20" s="20">
        <v>30</v>
      </c>
      <c r="D20" s="20">
        <v>2</v>
      </c>
      <c r="E20" s="21" t="s">
        <v>47</v>
      </c>
      <c r="F20" s="23">
        <v>6800</v>
      </c>
      <c r="G20" s="23">
        <f t="shared" si="3"/>
        <v>13600</v>
      </c>
      <c r="H20" s="19"/>
      <c r="I20" s="343"/>
      <c r="J20" s="344"/>
      <c r="K20" s="344"/>
      <c r="L20" s="345"/>
      <c r="M20" s="19"/>
      <c r="N20" s="20">
        <v>3</v>
      </c>
      <c r="O20" s="21" t="s">
        <v>1</v>
      </c>
      <c r="P20" s="29">
        <f t="shared" si="4"/>
        <v>25604.999999999996</v>
      </c>
      <c r="Q20" s="30"/>
      <c r="R20" s="30"/>
      <c r="S20" s="30"/>
      <c r="T20" s="30"/>
      <c r="U20" s="30"/>
      <c r="V20" s="30"/>
      <c r="W20" s="30"/>
      <c r="X20" s="27">
        <v>19990</v>
      </c>
    </row>
    <row r="21" spans="2:33" x14ac:dyDescent="0.3">
      <c r="B21" s="20">
        <f t="shared" si="1"/>
        <v>18</v>
      </c>
      <c r="C21" s="20">
        <v>30</v>
      </c>
      <c r="D21" s="20">
        <v>3</v>
      </c>
      <c r="E21" s="21" t="s">
        <v>47</v>
      </c>
      <c r="F21" s="23">
        <v>6800</v>
      </c>
      <c r="G21" s="23">
        <f t="shared" si="3"/>
        <v>20400</v>
      </c>
      <c r="H21" s="19"/>
      <c r="I21" s="343"/>
      <c r="J21" s="344"/>
      <c r="K21" s="344"/>
      <c r="L21" s="345"/>
      <c r="M21" s="19"/>
      <c r="N21" s="20">
        <v>2</v>
      </c>
      <c r="O21" s="21" t="s">
        <v>47</v>
      </c>
      <c r="P21" s="29">
        <f t="shared" si="4"/>
        <v>18890.8</v>
      </c>
      <c r="Q21" s="30"/>
      <c r="R21" s="30"/>
      <c r="S21" s="30"/>
      <c r="T21" s="30"/>
      <c r="U21" s="30"/>
      <c r="V21" s="30"/>
      <c r="W21" s="30"/>
      <c r="X21" s="27">
        <v>20990</v>
      </c>
    </row>
    <row r="22" spans="2:33" x14ac:dyDescent="0.3">
      <c r="B22" s="20">
        <f t="shared" si="1"/>
        <v>19</v>
      </c>
      <c r="C22" s="20">
        <v>150</v>
      </c>
      <c r="D22" s="20">
        <v>1</v>
      </c>
      <c r="E22" s="21" t="s">
        <v>48</v>
      </c>
      <c r="F22" s="23">
        <f>G22</f>
        <v>14000</v>
      </c>
      <c r="G22" s="23">
        <v>14000</v>
      </c>
      <c r="H22" s="19"/>
      <c r="I22" s="343"/>
      <c r="J22" s="344"/>
      <c r="K22" s="344"/>
      <c r="L22" s="345"/>
      <c r="M22" s="19"/>
      <c r="N22" s="20">
        <v>3</v>
      </c>
      <c r="O22" s="21" t="s">
        <v>47</v>
      </c>
      <c r="P22" s="29">
        <f t="shared" si="4"/>
        <v>26629.199999999997</v>
      </c>
      <c r="Q22" s="30"/>
      <c r="R22" s="30"/>
      <c r="S22" s="30"/>
      <c r="T22" s="30"/>
      <c r="U22" s="30"/>
      <c r="V22" s="30"/>
      <c r="W22" s="30"/>
      <c r="X22" s="27">
        <v>23490</v>
      </c>
    </row>
    <row r="23" spans="2:33" x14ac:dyDescent="0.3">
      <c r="B23" s="20">
        <f t="shared" si="1"/>
        <v>20</v>
      </c>
      <c r="C23" s="20">
        <v>160</v>
      </c>
      <c r="D23" s="20">
        <v>1</v>
      </c>
      <c r="E23" s="21" t="s">
        <v>48</v>
      </c>
      <c r="F23" s="23">
        <f t="shared" ref="F23:F31" si="5">G23</f>
        <v>15000</v>
      </c>
      <c r="G23" s="23">
        <v>15000</v>
      </c>
      <c r="H23" s="19"/>
      <c r="I23" s="343"/>
      <c r="J23" s="344"/>
      <c r="K23" s="344"/>
      <c r="L23" s="345"/>
      <c r="M23" s="19"/>
      <c r="N23" s="20">
        <v>1</v>
      </c>
      <c r="O23" s="21" t="s">
        <v>48</v>
      </c>
      <c r="P23" s="29">
        <f t="shared" si="4"/>
        <v>19346</v>
      </c>
      <c r="Q23" s="30"/>
      <c r="R23" s="30"/>
      <c r="S23" s="30"/>
      <c r="T23" s="30"/>
      <c r="U23" s="30"/>
      <c r="V23" s="30"/>
      <c r="W23" s="30"/>
      <c r="X23" s="27">
        <v>25490</v>
      </c>
    </row>
    <row r="24" spans="2:33" x14ac:dyDescent="0.3">
      <c r="B24" s="20">
        <f t="shared" si="1"/>
        <v>21</v>
      </c>
      <c r="C24" s="20">
        <v>180</v>
      </c>
      <c r="D24" s="20">
        <v>1</v>
      </c>
      <c r="E24" s="21" t="s">
        <v>48</v>
      </c>
      <c r="F24" s="23">
        <f t="shared" si="5"/>
        <v>17000</v>
      </c>
      <c r="G24" s="23">
        <v>17000</v>
      </c>
      <c r="I24" s="343"/>
      <c r="J24" s="344"/>
      <c r="K24" s="344"/>
      <c r="L24" s="345"/>
      <c r="N24" s="20">
        <v>1</v>
      </c>
      <c r="O24" s="21" t="s">
        <v>48</v>
      </c>
      <c r="P24" s="29">
        <f t="shared" si="4"/>
        <v>20484</v>
      </c>
      <c r="Q24" s="30"/>
      <c r="R24" s="30"/>
      <c r="S24" s="30"/>
      <c r="T24" s="30"/>
      <c r="U24" s="30"/>
      <c r="V24" s="30"/>
      <c r="W24" s="30"/>
      <c r="X24" s="28">
        <v>32990</v>
      </c>
    </row>
    <row r="25" spans="2:33" x14ac:dyDescent="0.3">
      <c r="B25" s="20">
        <f t="shared" si="1"/>
        <v>22</v>
      </c>
      <c r="C25" s="20">
        <v>200</v>
      </c>
      <c r="D25" s="20">
        <v>1</v>
      </c>
      <c r="E25" s="21" t="s">
        <v>48</v>
      </c>
      <c r="F25" s="23">
        <f t="shared" si="5"/>
        <v>19000</v>
      </c>
      <c r="G25" s="23">
        <v>19000</v>
      </c>
      <c r="H25" s="15"/>
      <c r="I25" s="343"/>
      <c r="J25" s="344"/>
      <c r="K25" s="344"/>
      <c r="L25" s="345"/>
      <c r="M25" s="15"/>
      <c r="N25" s="20">
        <v>1</v>
      </c>
      <c r="O25" s="21" t="s">
        <v>48</v>
      </c>
      <c r="P25" s="29">
        <f t="shared" si="4"/>
        <v>22759.999999999996</v>
      </c>
      <c r="Q25" s="29"/>
      <c r="R25" s="29"/>
      <c r="S25" s="29"/>
      <c r="T25" s="29"/>
      <c r="U25" s="29"/>
      <c r="V25" s="29"/>
      <c r="W25" s="29"/>
      <c r="X25" s="28">
        <v>20990</v>
      </c>
      <c r="Y25" s="15"/>
      <c r="Z25" s="15"/>
    </row>
    <row r="26" spans="2:33" x14ac:dyDescent="0.3">
      <c r="B26" s="20">
        <f t="shared" si="1"/>
        <v>23</v>
      </c>
      <c r="C26" s="20">
        <v>300</v>
      </c>
      <c r="D26" s="20">
        <v>1</v>
      </c>
      <c r="E26" s="21" t="s">
        <v>48</v>
      </c>
      <c r="F26" s="23">
        <f t="shared" si="5"/>
        <v>27000</v>
      </c>
      <c r="G26" s="23">
        <v>27000</v>
      </c>
      <c r="H26" s="15"/>
      <c r="I26" s="343"/>
      <c r="J26" s="344"/>
      <c r="K26" s="344"/>
      <c r="L26" s="345"/>
      <c r="M26" s="15"/>
      <c r="N26" s="20">
        <v>1</v>
      </c>
      <c r="O26" s="21" t="s">
        <v>48</v>
      </c>
      <c r="P26" s="29">
        <f t="shared" si="4"/>
        <v>25035.999999999996</v>
      </c>
      <c r="Q26" s="29"/>
      <c r="R26" s="29"/>
      <c r="S26" s="29"/>
      <c r="T26" s="29"/>
      <c r="U26" s="29"/>
      <c r="V26" s="29"/>
      <c r="W26" s="29"/>
      <c r="X26" s="28">
        <v>21990</v>
      </c>
      <c r="Y26" s="15"/>
      <c r="Z26" s="15"/>
      <c r="AB26" s="16"/>
      <c r="AC26" s="16"/>
      <c r="AD26" s="16"/>
      <c r="AE26" s="16"/>
      <c r="AF26" s="16"/>
      <c r="AG26" s="16"/>
    </row>
    <row r="27" spans="2:33" x14ac:dyDescent="0.3">
      <c r="B27" s="20">
        <f t="shared" si="1"/>
        <v>24</v>
      </c>
      <c r="C27" s="20">
        <v>150</v>
      </c>
      <c r="D27" s="20">
        <v>1</v>
      </c>
      <c r="E27" s="21" t="s">
        <v>2</v>
      </c>
      <c r="F27" s="23">
        <f t="shared" si="5"/>
        <v>15000</v>
      </c>
      <c r="G27" s="23">
        <v>15000</v>
      </c>
      <c r="H27" s="15"/>
      <c r="I27" s="343"/>
      <c r="J27" s="344"/>
      <c r="K27" s="344"/>
      <c r="L27" s="345"/>
      <c r="M27" s="15"/>
      <c r="N27" s="20">
        <v>1</v>
      </c>
      <c r="O27" s="21" t="s">
        <v>48</v>
      </c>
      <c r="P27" s="29">
        <f t="shared" si="4"/>
        <v>34140</v>
      </c>
      <c r="Q27" s="29"/>
      <c r="R27" s="29"/>
      <c r="S27" s="29"/>
      <c r="T27" s="29"/>
      <c r="U27" s="29"/>
      <c r="V27" s="29"/>
      <c r="W27" s="29"/>
      <c r="X27" s="28">
        <v>24490</v>
      </c>
      <c r="Y27" s="15"/>
      <c r="Z27" s="15"/>
    </row>
    <row r="28" spans="2:33" x14ac:dyDescent="0.3">
      <c r="B28" s="20">
        <f t="shared" si="1"/>
        <v>25</v>
      </c>
      <c r="C28" s="20">
        <v>160</v>
      </c>
      <c r="D28" s="20">
        <v>1</v>
      </c>
      <c r="E28" s="21" t="s">
        <v>2</v>
      </c>
      <c r="F28" s="23">
        <f t="shared" si="5"/>
        <v>16000</v>
      </c>
      <c r="G28" s="23">
        <v>16000</v>
      </c>
      <c r="H28" s="15"/>
      <c r="I28" s="343"/>
      <c r="J28" s="344"/>
      <c r="K28" s="344"/>
      <c r="L28" s="345"/>
      <c r="M28" s="15"/>
      <c r="N28" s="20">
        <v>1</v>
      </c>
      <c r="O28" s="21" t="s">
        <v>2</v>
      </c>
      <c r="P28" s="29">
        <f t="shared" si="4"/>
        <v>20484</v>
      </c>
      <c r="Q28" s="29"/>
      <c r="R28" s="29"/>
      <c r="S28" s="29"/>
      <c r="T28" s="29"/>
      <c r="U28" s="29"/>
      <c r="V28" s="29"/>
      <c r="W28" s="29"/>
      <c r="X28" s="28">
        <v>26490</v>
      </c>
      <c r="Y28" s="15"/>
      <c r="Z28" s="15"/>
    </row>
    <row r="29" spans="2:33" x14ac:dyDescent="0.3">
      <c r="B29" s="20">
        <f t="shared" si="1"/>
        <v>26</v>
      </c>
      <c r="C29" s="20">
        <v>180</v>
      </c>
      <c r="D29" s="20">
        <v>1</v>
      </c>
      <c r="E29" s="21" t="s">
        <v>2</v>
      </c>
      <c r="F29" s="23">
        <f t="shared" si="5"/>
        <v>18000</v>
      </c>
      <c r="G29" s="23">
        <v>18000</v>
      </c>
      <c r="H29" s="15"/>
      <c r="I29" s="343"/>
      <c r="J29" s="344"/>
      <c r="K29" s="344"/>
      <c r="L29" s="345"/>
      <c r="M29" s="15"/>
      <c r="N29" s="20">
        <v>1</v>
      </c>
      <c r="O29" s="21" t="s">
        <v>2</v>
      </c>
      <c r="P29" s="29">
        <f t="shared" si="4"/>
        <v>21621.999999999996</v>
      </c>
      <c r="Q29" s="29"/>
      <c r="R29" s="29"/>
      <c r="S29" s="29"/>
      <c r="T29" s="29"/>
      <c r="U29" s="29"/>
      <c r="V29" s="29"/>
      <c r="W29" s="29"/>
      <c r="X29" s="28">
        <v>33990</v>
      </c>
      <c r="Y29" s="15"/>
      <c r="Z29" s="15"/>
    </row>
    <row r="30" spans="2:33" s="22" customFormat="1" x14ac:dyDescent="0.3">
      <c r="B30" s="20">
        <f t="shared" si="1"/>
        <v>27</v>
      </c>
      <c r="C30" s="20">
        <v>200</v>
      </c>
      <c r="D30" s="20">
        <v>1</v>
      </c>
      <c r="E30" s="21" t="s">
        <v>2</v>
      </c>
      <c r="F30" s="23">
        <f t="shared" si="5"/>
        <v>20000</v>
      </c>
      <c r="G30" s="23">
        <v>20000</v>
      </c>
      <c r="H30" s="15"/>
      <c r="I30" s="343"/>
      <c r="J30" s="344"/>
      <c r="K30" s="344"/>
      <c r="L30" s="345"/>
      <c r="M30" s="15"/>
      <c r="N30" s="20">
        <v>1</v>
      </c>
      <c r="O30" s="21" t="s">
        <v>2</v>
      </c>
      <c r="P30" s="29">
        <f t="shared" si="4"/>
        <v>23897.999999999996</v>
      </c>
      <c r="Q30" s="29"/>
      <c r="R30" s="29"/>
      <c r="S30" s="29"/>
      <c r="T30" s="29"/>
      <c r="U30" s="29"/>
      <c r="V30" s="29"/>
      <c r="W30" s="29"/>
      <c r="X30" s="2"/>
      <c r="Y30" s="15"/>
      <c r="Z30" s="15"/>
    </row>
    <row r="31" spans="2:33" s="22" customFormat="1" x14ac:dyDescent="0.3">
      <c r="B31" s="20">
        <f t="shared" si="1"/>
        <v>28</v>
      </c>
      <c r="C31" s="20">
        <v>300</v>
      </c>
      <c r="D31" s="20">
        <v>1</v>
      </c>
      <c r="E31" s="21" t="s">
        <v>2</v>
      </c>
      <c r="F31" s="23">
        <f t="shared" si="5"/>
        <v>28000</v>
      </c>
      <c r="G31" s="23">
        <v>28000</v>
      </c>
      <c r="H31" s="15"/>
      <c r="I31" s="343"/>
      <c r="J31" s="344"/>
      <c r="K31" s="344"/>
      <c r="L31" s="345"/>
      <c r="M31" s="15"/>
      <c r="N31" s="20">
        <v>1</v>
      </c>
      <c r="O31" s="21" t="s">
        <v>2</v>
      </c>
      <c r="P31" s="29">
        <f t="shared" si="4"/>
        <v>26173.999999999996</v>
      </c>
      <c r="Q31" s="29"/>
      <c r="R31" s="29"/>
      <c r="S31" s="29"/>
      <c r="T31" s="29"/>
      <c r="U31" s="29"/>
      <c r="V31" s="29"/>
      <c r="W31" s="29"/>
      <c r="X31" s="2"/>
      <c r="Y31" s="15"/>
      <c r="Z31" s="15"/>
    </row>
    <row r="32" spans="2:33" x14ac:dyDescent="0.3">
      <c r="B32" s="20">
        <f t="shared" si="1"/>
        <v>29</v>
      </c>
      <c r="C32" s="20">
        <v>5000</v>
      </c>
      <c r="D32" s="20">
        <v>1</v>
      </c>
      <c r="E32" s="20" t="s">
        <v>53</v>
      </c>
      <c r="F32" s="23">
        <v>11000</v>
      </c>
      <c r="G32" s="23">
        <v>11000</v>
      </c>
      <c r="H32" s="15"/>
      <c r="I32" s="15"/>
      <c r="J32" s="15"/>
      <c r="K32" s="15"/>
      <c r="L32" s="15"/>
      <c r="M32" s="15"/>
      <c r="N32" s="20">
        <v>1</v>
      </c>
      <c r="O32" s="21" t="s">
        <v>2</v>
      </c>
      <c r="P32" s="29"/>
      <c r="Q32" s="15"/>
      <c r="R32" s="15"/>
      <c r="S32" s="15"/>
      <c r="T32" s="15"/>
      <c r="U32" s="15"/>
      <c r="V32" s="15"/>
      <c r="W32" s="15"/>
      <c r="Y32" s="15"/>
      <c r="Z32" s="15"/>
    </row>
    <row r="33" spans="2:26" x14ac:dyDescent="0.3">
      <c r="B33" s="20">
        <f t="shared" si="1"/>
        <v>30</v>
      </c>
      <c r="C33" s="20">
        <v>10000</v>
      </c>
      <c r="D33" s="20">
        <v>1</v>
      </c>
      <c r="E33" s="20" t="s">
        <v>54</v>
      </c>
      <c r="F33" s="23">
        <v>19000</v>
      </c>
      <c r="G33" s="23">
        <v>19000</v>
      </c>
      <c r="H33" s="15"/>
      <c r="I33" s="15"/>
      <c r="J33" s="15"/>
      <c r="K33" s="15"/>
      <c r="L33" s="15"/>
      <c r="M33" s="15"/>
      <c r="N33" s="20">
        <v>1</v>
      </c>
      <c r="O33" s="20" t="s">
        <v>53</v>
      </c>
      <c r="P33" s="15"/>
      <c r="Q33" s="15"/>
      <c r="R33" s="15"/>
      <c r="S33" s="15"/>
      <c r="T33" s="15"/>
      <c r="U33" s="15"/>
      <c r="V33" s="15"/>
      <c r="W33" s="15"/>
      <c r="Y33" s="15"/>
      <c r="Z33" s="15"/>
    </row>
    <row r="34" spans="2:26" x14ac:dyDescent="0.3">
      <c r="B34" s="15"/>
      <c r="C34" s="15"/>
      <c r="D34" s="15"/>
      <c r="E34" s="15"/>
      <c r="F34" s="15"/>
      <c r="G34" s="15"/>
      <c r="H34" s="15"/>
      <c r="I34" s="15"/>
      <c r="J34" s="15"/>
      <c r="K34" s="15"/>
      <c r="L34" s="15"/>
      <c r="M34" s="15"/>
      <c r="N34" s="20">
        <v>1</v>
      </c>
      <c r="O34" s="20" t="s">
        <v>54</v>
      </c>
      <c r="P34" s="15"/>
      <c r="Q34" s="15"/>
      <c r="R34" s="15"/>
      <c r="S34" s="15"/>
      <c r="T34" s="15"/>
      <c r="U34" s="15"/>
      <c r="V34" s="15"/>
      <c r="W34" s="15"/>
      <c r="Y34" s="15"/>
      <c r="Z34" s="15"/>
    </row>
    <row r="35" spans="2:26" x14ac:dyDescent="0.3">
      <c r="H35" s="15"/>
      <c r="I35" s="15"/>
      <c r="J35" s="15"/>
      <c r="K35" s="15"/>
      <c r="L35" s="15"/>
      <c r="M35" s="15"/>
      <c r="N35" s="15"/>
    </row>
    <row r="36" spans="2:26" x14ac:dyDescent="0.3">
      <c r="H36" s="15"/>
      <c r="I36" s="15"/>
      <c r="J36" s="15"/>
      <c r="K36" s="15"/>
      <c r="L36" s="15"/>
      <c r="M36" s="15"/>
      <c r="N36" s="15"/>
    </row>
    <row r="37" spans="2:26" x14ac:dyDescent="0.3">
      <c r="H37" s="15"/>
      <c r="I37" s="15"/>
      <c r="J37" s="15"/>
      <c r="K37" s="15"/>
      <c r="L37" s="15"/>
      <c r="M37" s="15"/>
      <c r="N37" s="15"/>
    </row>
    <row r="40" spans="2:26" x14ac:dyDescent="0.3">
      <c r="O40" t="s">
        <v>3</v>
      </c>
      <c r="P40" t="s">
        <v>4</v>
      </c>
      <c r="Q40" t="s">
        <v>5</v>
      </c>
      <c r="R40" t="s">
        <v>6</v>
      </c>
      <c r="S40" t="s">
        <v>7</v>
      </c>
      <c r="T40" t="s">
        <v>8</v>
      </c>
    </row>
  </sheetData>
  <mergeCells count="16">
    <mergeCell ref="I15:L31"/>
    <mergeCell ref="I14:L14"/>
    <mergeCell ref="J9:K9"/>
    <mergeCell ref="J10:K10"/>
    <mergeCell ref="J11:K11"/>
    <mergeCell ref="J12:K12"/>
    <mergeCell ref="N2:W2"/>
    <mergeCell ref="N3:N4"/>
    <mergeCell ref="O3:O4"/>
    <mergeCell ref="B2:G2"/>
    <mergeCell ref="I8:L8"/>
    <mergeCell ref="J6:K6"/>
    <mergeCell ref="I2:L2"/>
    <mergeCell ref="J3:K3"/>
    <mergeCell ref="J4:K4"/>
    <mergeCell ref="J5:K5"/>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원가측정</vt:lpstr>
      <vt:lpstr>신규거래처)판매가</vt:lpstr>
      <vt:lpstr>온라인판매가</vt:lpstr>
      <vt:lpstr>온라인판매가 (2)</vt:lpstr>
      <vt:lpstr>택배_판매가</vt:lpstr>
      <vt:lpstr>Sheet7</vt:lpstr>
      <vt:lpstr>20.03_쇼핑몰</vt:lpstr>
      <vt:lpstr>쇼핑몰_기본정보</vt:lpstr>
      <vt:lpstr>기본정보</vt:lpstr>
      <vt:lpstr>쿠팡</vt:lpstr>
      <vt:lpstr>기존_사이트별_가격</vt:lpstr>
      <vt:lpstr>사업관련 용어정리</vt:lpstr>
      <vt:lpstr>월내는금액</vt:lpstr>
      <vt:lpstr>종합소득세</vt:lpstr>
      <vt:lpstr>1월 판매량</vt:lpstr>
      <vt:lpstr>판매사이트_배송정보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aodrl</cp:lastModifiedBy>
  <cp:lastPrinted>2020-02-10T06:12:32Z</cp:lastPrinted>
  <dcterms:created xsi:type="dcterms:W3CDTF">2020-01-17T02:25:19Z</dcterms:created>
  <dcterms:modified xsi:type="dcterms:W3CDTF">2020-08-06T09:28:55Z</dcterms:modified>
</cp:coreProperties>
</file>