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odrl\Desktop\project\CMW_V2\document\"/>
    </mc:Choice>
  </mc:AlternateContent>
  <xr:revisionPtr revIDLastSave="0" documentId="13_ncr:1_{6DADE877-21F8-410E-AFF3-AC268EDB0D53}" xr6:coauthVersionLast="45" xr6:coauthVersionMax="45" xr10:uidLastSave="{00000000-0000-0000-0000-000000000000}"/>
  <bookViews>
    <workbookView xWindow="-108" yWindow="-108" windowWidth="23256" windowHeight="12576" activeTab="11" xr2:uid="{00000000-000D-0000-FFFF-FFFF00000000}"/>
  </bookViews>
  <sheets>
    <sheet name="오프_판매가" sheetId="1" r:id="rId1"/>
    <sheet name="온_9%(테스트)" sheetId="3" state="hidden" r:id="rId2"/>
    <sheet name="수수료별_판매가" sheetId="17" r:id="rId3"/>
    <sheet name="11번가" sheetId="19" r:id="rId4"/>
    <sheet name="온_4%" sheetId="11" r:id="rId5"/>
    <sheet name="온_9%" sheetId="7" r:id="rId6"/>
    <sheet name="Sheet1" sheetId="16" state="hidden" r:id="rId7"/>
    <sheet name="온_10%" sheetId="12" r:id="rId8"/>
    <sheet name="온_11%" sheetId="13" r:id="rId9"/>
    <sheet name="온_12%" sheetId="14" r:id="rId10"/>
    <sheet name="옵션셋팅" sheetId="15" r:id="rId11"/>
    <sheet name="11번가 셋팅" sheetId="18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1" l="1"/>
  <c r="I4" i="7" l="1"/>
  <c r="E47" i="19" l="1"/>
  <c r="H10" i="19"/>
  <c r="E10" i="19"/>
  <c r="I11" i="19"/>
  <c r="M11" i="19" s="1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U22" i="19"/>
  <c r="U7" i="19"/>
  <c r="V7" i="19" s="1"/>
  <c r="J11" i="19" l="1"/>
  <c r="K11" i="19" s="1"/>
  <c r="L11" i="19" s="1"/>
  <c r="V15" i="19"/>
  <c r="W15" i="19" s="1"/>
  <c r="X15" i="19" s="1"/>
  <c r="W7" i="19"/>
  <c r="X7" i="19" s="1"/>
  <c r="V22" i="19"/>
  <c r="W22" i="19" s="1"/>
  <c r="X22" i="19" s="1"/>
  <c r="V18" i="19"/>
  <c r="W18" i="19" s="1"/>
  <c r="X18" i="19" s="1"/>
  <c r="V14" i="19"/>
  <c r="W14" i="19" s="1"/>
  <c r="X14" i="19" s="1"/>
  <c r="V10" i="19"/>
  <c r="W10" i="19" s="1"/>
  <c r="X10" i="19" s="1"/>
  <c r="V19" i="19"/>
  <c r="W19" i="19" s="1"/>
  <c r="X19" i="19" s="1"/>
  <c r="V11" i="19"/>
  <c r="W11" i="19" s="1"/>
  <c r="X11" i="19" s="1"/>
  <c r="V21" i="19"/>
  <c r="W21" i="19" s="1"/>
  <c r="X21" i="19" s="1"/>
  <c r="V17" i="19"/>
  <c r="W17" i="19" s="1"/>
  <c r="X17" i="19" s="1"/>
  <c r="V13" i="19"/>
  <c r="W13" i="19" s="1"/>
  <c r="X13" i="19" s="1"/>
  <c r="V9" i="19"/>
  <c r="W9" i="19" s="1"/>
  <c r="X9" i="19" s="1"/>
  <c r="V20" i="19"/>
  <c r="W20" i="19" s="1"/>
  <c r="X20" i="19" s="1"/>
  <c r="V16" i="19"/>
  <c r="W16" i="19" s="1"/>
  <c r="X16" i="19" s="1"/>
  <c r="V12" i="19"/>
  <c r="W12" i="19" s="1"/>
  <c r="X12" i="19" s="1"/>
  <c r="V8" i="19"/>
  <c r="W8" i="19" s="1"/>
  <c r="X8" i="19" s="1"/>
  <c r="E48" i="19"/>
  <c r="I48" i="19" s="1"/>
  <c r="E49" i="19"/>
  <c r="I49" i="19" s="1"/>
  <c r="I47" i="19"/>
  <c r="E46" i="19"/>
  <c r="I46" i="19" s="1"/>
  <c r="I40" i="19"/>
  <c r="M40" i="19" s="1"/>
  <c r="I41" i="19"/>
  <c r="I42" i="19"/>
  <c r="J42" i="19" s="1"/>
  <c r="I39" i="19"/>
  <c r="M39" i="19" s="1"/>
  <c r="I38" i="19"/>
  <c r="M38" i="19" s="1"/>
  <c r="I37" i="19"/>
  <c r="M37" i="19" s="1"/>
  <c r="I30" i="19"/>
  <c r="H28" i="19" s="1"/>
  <c r="E28" i="19"/>
  <c r="I28" i="19" s="1"/>
  <c r="J28" i="19" s="1"/>
  <c r="E29" i="19"/>
  <c r="I29" i="19" s="1"/>
  <c r="J29" i="19" s="1"/>
  <c r="E27" i="19"/>
  <c r="I27" i="19" s="1"/>
  <c r="I13" i="19"/>
  <c r="I15" i="19"/>
  <c r="M15" i="19" s="1"/>
  <c r="I17" i="19"/>
  <c r="I19" i="19"/>
  <c r="I21" i="19"/>
  <c r="E12" i="19"/>
  <c r="I12" i="19" s="1"/>
  <c r="E14" i="19"/>
  <c r="I14" i="19" s="1"/>
  <c r="E16" i="19"/>
  <c r="I16" i="19" s="1"/>
  <c r="E18" i="19"/>
  <c r="I18" i="19" s="1"/>
  <c r="M18" i="19" s="1"/>
  <c r="E20" i="19"/>
  <c r="I20" i="19" s="1"/>
  <c r="I10" i="19"/>
  <c r="J10" i="19" s="1"/>
  <c r="J16" i="19" l="1"/>
  <c r="K16" i="19" s="1"/>
  <c r="L16" i="19" s="1"/>
  <c r="M16" i="19"/>
  <c r="H12" i="19"/>
  <c r="M13" i="19"/>
  <c r="J14" i="19"/>
  <c r="K14" i="19" s="1"/>
  <c r="L14" i="19" s="1"/>
  <c r="M14" i="19"/>
  <c r="J19" i="19"/>
  <c r="K19" i="19" s="1"/>
  <c r="L19" i="19" s="1"/>
  <c r="M19" i="19"/>
  <c r="J20" i="19"/>
  <c r="K20" i="19" s="1"/>
  <c r="L20" i="19" s="1"/>
  <c r="M20" i="19"/>
  <c r="J12" i="19"/>
  <c r="K12" i="19" s="1"/>
  <c r="L12" i="19" s="1"/>
  <c r="M12" i="19"/>
  <c r="J17" i="19"/>
  <c r="K17" i="19" s="1"/>
  <c r="L17" i="19" s="1"/>
  <c r="M17" i="19"/>
  <c r="H20" i="19"/>
  <c r="M21" i="19"/>
  <c r="H18" i="19"/>
  <c r="H16" i="19"/>
  <c r="J48" i="19"/>
  <c r="K48" i="19" s="1"/>
  <c r="L48" i="19" s="1"/>
  <c r="J47" i="19"/>
  <c r="K47" i="19" s="1"/>
  <c r="L47" i="19" s="1"/>
  <c r="J46" i="19"/>
  <c r="K46" i="19" s="1"/>
  <c r="L46" i="19" s="1"/>
  <c r="J49" i="19"/>
  <c r="K49" i="19" s="1"/>
  <c r="L49" i="19" s="1"/>
  <c r="J27" i="19"/>
  <c r="K27" i="19" s="1"/>
  <c r="L27" i="19" s="1"/>
  <c r="M27" i="19"/>
  <c r="J13" i="19"/>
  <c r="K13" i="19" s="1"/>
  <c r="L13" i="19" s="1"/>
  <c r="H14" i="19"/>
  <c r="J21" i="19"/>
  <c r="K21" i="19" s="1"/>
  <c r="L21" i="19" s="1"/>
  <c r="M30" i="19"/>
  <c r="H27" i="19"/>
  <c r="H29" i="19"/>
  <c r="M42" i="19"/>
  <c r="M28" i="19"/>
  <c r="K42" i="19"/>
  <c r="L42" i="19" s="1"/>
  <c r="M41" i="19"/>
  <c r="M29" i="19"/>
  <c r="J40" i="19"/>
  <c r="J41" i="19"/>
  <c r="J38" i="19"/>
  <c r="K38" i="19" s="1"/>
  <c r="L38" i="19" s="1"/>
  <c r="J39" i="19"/>
  <c r="K39" i="19" s="1"/>
  <c r="L39" i="19" s="1"/>
  <c r="J37" i="19"/>
  <c r="K37" i="19" s="1"/>
  <c r="L37" i="19" s="1"/>
  <c r="K29" i="19"/>
  <c r="L29" i="19" s="1"/>
  <c r="K28" i="19"/>
  <c r="L28" i="19" s="1"/>
  <c r="J30" i="19"/>
  <c r="K30" i="19" s="1"/>
  <c r="L30" i="19" s="1"/>
  <c r="M10" i="19"/>
  <c r="J18" i="19"/>
  <c r="K18" i="19" s="1"/>
  <c r="L18" i="19" s="1"/>
  <c r="J15" i="19"/>
  <c r="K15" i="19" s="1"/>
  <c r="L15" i="19" s="1"/>
  <c r="K10" i="19"/>
  <c r="L10" i="19" s="1"/>
  <c r="E34" i="17"/>
  <c r="J34" i="17" s="1"/>
  <c r="Q34" i="17" s="1"/>
  <c r="E33" i="17"/>
  <c r="K33" i="17" s="1"/>
  <c r="E32" i="17"/>
  <c r="J32" i="17" s="1"/>
  <c r="E31" i="17"/>
  <c r="G31" i="17" s="1"/>
  <c r="E30" i="17"/>
  <c r="H30" i="17" s="1"/>
  <c r="F29" i="1"/>
  <c r="G34" i="17" l="1"/>
  <c r="O34" i="17" s="1"/>
  <c r="L31" i="17"/>
  <c r="H34" i="17"/>
  <c r="P34" i="17" s="1"/>
  <c r="K31" i="17"/>
  <c r="H31" i="17"/>
  <c r="H33" i="17"/>
  <c r="K34" i="17"/>
  <c r="R34" i="17" s="1"/>
  <c r="G33" i="17"/>
  <c r="J30" i="17"/>
  <c r="H32" i="17"/>
  <c r="L33" i="17"/>
  <c r="K32" i="17"/>
  <c r="G32" i="17"/>
  <c r="K30" i="17"/>
  <c r="G30" i="17"/>
  <c r="L30" i="17"/>
  <c r="K40" i="19"/>
  <c r="L40" i="19" s="1"/>
  <c r="K41" i="19"/>
  <c r="L41" i="19" s="1"/>
  <c r="L34" i="17"/>
  <c r="S34" i="17" s="1"/>
  <c r="J33" i="17"/>
  <c r="L32" i="17"/>
  <c r="J31" i="17"/>
  <c r="G29" i="1" l="1"/>
  <c r="I29" i="1"/>
  <c r="K29" i="1"/>
  <c r="O13" i="18"/>
  <c r="O12" i="18"/>
  <c r="E12" i="18"/>
  <c r="T11" i="18"/>
  <c r="O11" i="18"/>
  <c r="T10" i="18"/>
  <c r="O10" i="18"/>
  <c r="J10" i="18"/>
  <c r="E10" i="18"/>
  <c r="T9" i="18"/>
  <c r="O9" i="18"/>
  <c r="T8" i="18"/>
  <c r="O8" i="18"/>
  <c r="E8" i="18"/>
  <c r="T7" i="18"/>
  <c r="O7" i="18"/>
  <c r="T6" i="18"/>
  <c r="O6" i="18"/>
  <c r="E6" i="18"/>
  <c r="T5" i="18"/>
  <c r="O5" i="18"/>
  <c r="J5" i="18"/>
  <c r="E5" i="18"/>
  <c r="T4" i="18"/>
  <c r="O4" i="18"/>
  <c r="E4" i="18"/>
  <c r="P10" i="1"/>
  <c r="P9" i="1"/>
  <c r="P5" i="1"/>
  <c r="P3" i="1"/>
  <c r="E51" i="15" l="1"/>
  <c r="F51" i="15" s="1"/>
  <c r="E52" i="15"/>
  <c r="F52" i="15" s="1"/>
  <c r="E50" i="15"/>
  <c r="C36" i="17"/>
  <c r="E36" i="17"/>
  <c r="E4" i="11" l="1"/>
  <c r="E5" i="17"/>
  <c r="E6" i="17"/>
  <c r="E7" i="17"/>
  <c r="J7" i="17" s="1"/>
  <c r="E8" i="17"/>
  <c r="J8" i="17" s="1"/>
  <c r="E9" i="17"/>
  <c r="J9" i="17" s="1"/>
  <c r="E10" i="17"/>
  <c r="E11" i="17"/>
  <c r="J11" i="17" s="1"/>
  <c r="E12" i="17"/>
  <c r="J12" i="17" s="1"/>
  <c r="E13" i="17"/>
  <c r="J13" i="17" s="1"/>
  <c r="E14" i="17"/>
  <c r="E15" i="17"/>
  <c r="J15" i="17" s="1"/>
  <c r="E16" i="17"/>
  <c r="J16" i="17" s="1"/>
  <c r="E17" i="17"/>
  <c r="J17" i="17" s="1"/>
  <c r="E18" i="17"/>
  <c r="E19" i="17"/>
  <c r="E20" i="17"/>
  <c r="J20" i="17" s="1"/>
  <c r="E21" i="17"/>
  <c r="J21" i="17" s="1"/>
  <c r="E22" i="17"/>
  <c r="E23" i="17"/>
  <c r="E24" i="17"/>
  <c r="J24" i="17" s="1"/>
  <c r="E25" i="17"/>
  <c r="E26" i="17"/>
  <c r="E27" i="17"/>
  <c r="E28" i="17"/>
  <c r="E29" i="17"/>
  <c r="F4" i="11"/>
  <c r="B23" i="16"/>
  <c r="C23" i="16" s="1"/>
  <c r="E23" i="16"/>
  <c r="F23" i="16"/>
  <c r="G23" i="16" l="1"/>
  <c r="H23" i="16" s="1"/>
  <c r="J5" i="17"/>
  <c r="H5" i="17"/>
  <c r="G27" i="17"/>
  <c r="J27" i="17"/>
  <c r="G23" i="17"/>
  <c r="X23" i="17" s="1"/>
  <c r="J23" i="17"/>
  <c r="G19" i="17"/>
  <c r="X19" i="17" s="1"/>
  <c r="J19" i="17"/>
  <c r="G22" i="17"/>
  <c r="J22" i="17"/>
  <c r="G18" i="17"/>
  <c r="J18" i="17"/>
  <c r="G10" i="17"/>
  <c r="J10" i="17"/>
  <c r="G25" i="17"/>
  <c r="J25" i="17"/>
  <c r="Q25" i="17" s="1"/>
  <c r="G26" i="17"/>
  <c r="J26" i="17"/>
  <c r="G14" i="17"/>
  <c r="J14" i="17"/>
  <c r="G6" i="17"/>
  <c r="J6" i="17"/>
  <c r="G29" i="17"/>
  <c r="J29" i="17"/>
  <c r="G28" i="17"/>
  <c r="J28" i="17"/>
  <c r="G15" i="17"/>
  <c r="O15" i="17" s="1"/>
  <c r="G11" i="17"/>
  <c r="X11" i="17" s="1"/>
  <c r="G7" i="17"/>
  <c r="X7" i="17" s="1"/>
  <c r="G21" i="17"/>
  <c r="O21" i="17" s="1"/>
  <c r="G17" i="17"/>
  <c r="O17" i="17" s="1"/>
  <c r="G13" i="17"/>
  <c r="O13" i="17" s="1"/>
  <c r="G9" i="17"/>
  <c r="X9" i="17" s="1"/>
  <c r="G5" i="17"/>
  <c r="O5" i="17" s="1"/>
  <c r="G24" i="17"/>
  <c r="O24" i="17" s="1"/>
  <c r="G20" i="17"/>
  <c r="X20" i="17" s="1"/>
  <c r="G16" i="17"/>
  <c r="X16" i="17" s="1"/>
  <c r="G12" i="17"/>
  <c r="X12" i="17" s="1"/>
  <c r="G8" i="17"/>
  <c r="X8" i="17" s="1"/>
  <c r="L28" i="17"/>
  <c r="L20" i="17"/>
  <c r="L27" i="17"/>
  <c r="L16" i="17"/>
  <c r="L26" i="17"/>
  <c r="L18" i="17"/>
  <c r="L12" i="17"/>
  <c r="K29" i="17"/>
  <c r="K25" i="17"/>
  <c r="L24" i="17"/>
  <c r="L8" i="17"/>
  <c r="H28" i="17"/>
  <c r="L23" i="17"/>
  <c r="L19" i="17"/>
  <c r="L15" i="17"/>
  <c r="L11" i="17"/>
  <c r="L7" i="17"/>
  <c r="K6" i="17"/>
  <c r="L22" i="17"/>
  <c r="L14" i="17"/>
  <c r="L10" i="17"/>
  <c r="L6" i="17"/>
  <c r="K26" i="17"/>
  <c r="K18" i="17"/>
  <c r="L29" i="17"/>
  <c r="L25" i="17"/>
  <c r="L21" i="17"/>
  <c r="L17" i="17"/>
  <c r="L13" i="17"/>
  <c r="L9" i="17"/>
  <c r="L5" i="17"/>
  <c r="K28" i="17"/>
  <c r="K24" i="17"/>
  <c r="K20" i="17"/>
  <c r="K16" i="17"/>
  <c r="K12" i="17"/>
  <c r="K8" i="17"/>
  <c r="H27" i="17"/>
  <c r="H16" i="17"/>
  <c r="K27" i="17"/>
  <c r="K23" i="17"/>
  <c r="K19" i="17"/>
  <c r="K15" i="17"/>
  <c r="K11" i="17"/>
  <c r="K7" i="17"/>
  <c r="K22" i="17"/>
  <c r="K14" i="17"/>
  <c r="K10" i="17"/>
  <c r="K21" i="17"/>
  <c r="K17" i="17"/>
  <c r="K13" i="17"/>
  <c r="K9" i="17"/>
  <c r="K5" i="17"/>
  <c r="H26" i="17"/>
  <c r="H18" i="17"/>
  <c r="H12" i="17"/>
  <c r="H29" i="17"/>
  <c r="H25" i="17"/>
  <c r="H24" i="17"/>
  <c r="H8" i="17"/>
  <c r="H20" i="17"/>
  <c r="H23" i="17"/>
  <c r="H19" i="17"/>
  <c r="H15" i="17"/>
  <c r="H11" i="17"/>
  <c r="H7" i="17"/>
  <c r="H22" i="17"/>
  <c r="H14" i="17"/>
  <c r="H10" i="17"/>
  <c r="H6" i="17"/>
  <c r="H21" i="17"/>
  <c r="H17" i="17"/>
  <c r="H13" i="17"/>
  <c r="H9" i="17"/>
  <c r="J35" i="15"/>
  <c r="J36" i="15"/>
  <c r="J37" i="15"/>
  <c r="J38" i="15"/>
  <c r="J39" i="15"/>
  <c r="J40" i="15"/>
  <c r="J41" i="15"/>
  <c r="J42" i="15"/>
  <c r="J43" i="15"/>
  <c r="J34" i="15"/>
  <c r="E35" i="15"/>
  <c r="E36" i="15"/>
  <c r="E37" i="15"/>
  <c r="E38" i="15"/>
  <c r="E39" i="15"/>
  <c r="E34" i="15"/>
  <c r="O23" i="17" l="1"/>
  <c r="X15" i="17"/>
  <c r="O19" i="17"/>
  <c r="X17" i="17"/>
  <c r="O8" i="17"/>
  <c r="O12" i="17"/>
  <c r="O16" i="17"/>
  <c r="O7" i="17"/>
  <c r="X21" i="17"/>
  <c r="O9" i="17"/>
  <c r="X24" i="17"/>
  <c r="O20" i="17"/>
  <c r="X5" i="17"/>
  <c r="X13" i="17"/>
  <c r="O11" i="17"/>
  <c r="S5" i="17"/>
  <c r="AF5" i="17"/>
  <c r="S21" i="17"/>
  <c r="AF21" i="17"/>
  <c r="S10" i="17"/>
  <c r="AF10" i="17"/>
  <c r="S7" i="17"/>
  <c r="AF7" i="17"/>
  <c r="S23" i="17"/>
  <c r="AF23" i="17"/>
  <c r="S24" i="17"/>
  <c r="AF24" i="17"/>
  <c r="S12" i="17"/>
  <c r="AF12" i="17"/>
  <c r="S16" i="17"/>
  <c r="AF16" i="17"/>
  <c r="S28" i="17"/>
  <c r="AF28" i="17"/>
  <c r="S9" i="17"/>
  <c r="AF9" i="17"/>
  <c r="S25" i="17"/>
  <c r="AF25" i="17"/>
  <c r="S14" i="17"/>
  <c r="AF14" i="17"/>
  <c r="S11" i="17"/>
  <c r="AF11" i="17"/>
  <c r="S18" i="17"/>
  <c r="AF18" i="17"/>
  <c r="S27" i="17"/>
  <c r="AF27" i="17"/>
  <c r="S32" i="17"/>
  <c r="AF32" i="17"/>
  <c r="S13" i="17"/>
  <c r="AF13" i="17"/>
  <c r="S29" i="17"/>
  <c r="AF29" i="17"/>
  <c r="S22" i="17"/>
  <c r="AF22" i="17"/>
  <c r="S15" i="17"/>
  <c r="AF15" i="17"/>
  <c r="S26" i="17"/>
  <c r="AF26" i="17"/>
  <c r="S31" i="17"/>
  <c r="AF31" i="17"/>
  <c r="S17" i="17"/>
  <c r="AF17" i="17"/>
  <c r="S33" i="17"/>
  <c r="AF33" i="17"/>
  <c r="S6" i="17"/>
  <c r="AF6" i="17"/>
  <c r="S19" i="17"/>
  <c r="AF19" i="17"/>
  <c r="S8" i="17"/>
  <c r="AF8" i="17"/>
  <c r="S30" i="17"/>
  <c r="AF30" i="17"/>
  <c r="S20" i="17"/>
  <c r="AF20" i="17"/>
  <c r="O25" i="17"/>
  <c r="X25" i="17"/>
  <c r="X32" i="17"/>
  <c r="O32" i="17"/>
  <c r="AB14" i="17"/>
  <c r="Q14" i="17"/>
  <c r="AB15" i="17"/>
  <c r="Q15" i="17"/>
  <c r="AD13" i="17"/>
  <c r="R13" i="17"/>
  <c r="AD19" i="17"/>
  <c r="R19" i="17"/>
  <c r="AD16" i="17"/>
  <c r="R16" i="17"/>
  <c r="AB16" i="17"/>
  <c r="Q16" i="17"/>
  <c r="AD6" i="17"/>
  <c r="R6" i="17"/>
  <c r="X31" i="17"/>
  <c r="O31" i="17"/>
  <c r="Z13" i="17"/>
  <c r="P13" i="17"/>
  <c r="Z19" i="17"/>
  <c r="P19" i="17"/>
  <c r="AB21" i="17"/>
  <c r="Q21" i="17"/>
  <c r="Z20" i="17"/>
  <c r="P20" i="17"/>
  <c r="Z8" i="17"/>
  <c r="P8" i="17"/>
  <c r="Z33" i="17"/>
  <c r="P33" i="17"/>
  <c r="AB19" i="17"/>
  <c r="Q19" i="17"/>
  <c r="Z12" i="17"/>
  <c r="P12" i="17"/>
  <c r="AB32" i="17"/>
  <c r="Q32" i="17"/>
  <c r="AD14" i="17"/>
  <c r="R14" i="17"/>
  <c r="AD7" i="17"/>
  <c r="R7" i="17"/>
  <c r="AD23" i="17"/>
  <c r="R23" i="17"/>
  <c r="Z16" i="17"/>
  <c r="P16" i="17"/>
  <c r="AB28" i="17"/>
  <c r="Q28" i="17"/>
  <c r="AD20" i="17"/>
  <c r="R20" i="17"/>
  <c r="Z9" i="17"/>
  <c r="P9" i="17"/>
  <c r="Z15" i="17"/>
  <c r="P15" i="17"/>
  <c r="AB33" i="17"/>
  <c r="Q33" i="17"/>
  <c r="Z29" i="17"/>
  <c r="P29" i="17"/>
  <c r="Z30" i="17"/>
  <c r="P30" i="17"/>
  <c r="AB24" i="17"/>
  <c r="Q24" i="17"/>
  <c r="Z32" i="17"/>
  <c r="P32" i="17"/>
  <c r="AD33" i="17"/>
  <c r="R33" i="17"/>
  <c r="X26" i="17"/>
  <c r="O26" i="17"/>
  <c r="P6" i="17"/>
  <c r="Z6" i="17"/>
  <c r="AB5" i="17"/>
  <c r="Q5" i="17"/>
  <c r="X30" i="17"/>
  <c r="O30" i="17"/>
  <c r="P10" i="17"/>
  <c r="Z10" i="17"/>
  <c r="Z7" i="17"/>
  <c r="P7" i="17"/>
  <c r="Z23" i="17"/>
  <c r="P23" i="17"/>
  <c r="AB9" i="17"/>
  <c r="Q9" i="17"/>
  <c r="AB25" i="17"/>
  <c r="AB6" i="17"/>
  <c r="Q6" i="17"/>
  <c r="Q22" i="17"/>
  <c r="AB22" i="17"/>
  <c r="P24" i="17"/>
  <c r="Z24" i="17"/>
  <c r="AB7" i="17"/>
  <c r="Q7" i="17"/>
  <c r="AB23" i="17"/>
  <c r="Q23" i="17"/>
  <c r="R5" i="17"/>
  <c r="AD5" i="17"/>
  <c r="AD21" i="17"/>
  <c r="R21" i="17"/>
  <c r="AD22" i="17"/>
  <c r="R22" i="17"/>
  <c r="R11" i="17"/>
  <c r="AD11" i="17"/>
  <c r="AD27" i="17"/>
  <c r="R27" i="17"/>
  <c r="Z27" i="17"/>
  <c r="P27" i="17"/>
  <c r="AD8" i="17"/>
  <c r="R8" i="17"/>
  <c r="AD24" i="17"/>
  <c r="R24" i="17"/>
  <c r="AD26" i="17"/>
  <c r="R26" i="17"/>
  <c r="P28" i="17"/>
  <c r="Z28" i="17"/>
  <c r="R25" i="17"/>
  <c r="AD25" i="17"/>
  <c r="X10" i="17"/>
  <c r="O10" i="17"/>
  <c r="X6" i="17"/>
  <c r="O6" i="17"/>
  <c r="X29" i="17"/>
  <c r="O29" i="17"/>
  <c r="Z22" i="17"/>
  <c r="P22" i="17"/>
  <c r="AB30" i="17"/>
  <c r="Q30" i="17"/>
  <c r="AB31" i="17"/>
  <c r="Q31" i="17"/>
  <c r="AD10" i="17"/>
  <c r="R10" i="17"/>
  <c r="AB12" i="17"/>
  <c r="Q12" i="17"/>
  <c r="X33" i="17"/>
  <c r="O33" i="17"/>
  <c r="X27" i="17"/>
  <c r="O27" i="17"/>
  <c r="Z5" i="17"/>
  <c r="P5" i="17"/>
  <c r="Z21" i="17"/>
  <c r="P21" i="17"/>
  <c r="Z14" i="17"/>
  <c r="P14" i="17"/>
  <c r="Z11" i="17"/>
  <c r="P11" i="17"/>
  <c r="X28" i="17"/>
  <c r="O28" i="17"/>
  <c r="AB13" i="17"/>
  <c r="Q13" i="17"/>
  <c r="AB29" i="17"/>
  <c r="Q29" i="17"/>
  <c r="AB10" i="17"/>
  <c r="Q10" i="17"/>
  <c r="AB26" i="17"/>
  <c r="Q26" i="17"/>
  <c r="Z25" i="17"/>
  <c r="P25" i="17"/>
  <c r="AB11" i="17"/>
  <c r="Q11" i="17"/>
  <c r="AB27" i="17"/>
  <c r="Q27" i="17"/>
  <c r="Z26" i="17"/>
  <c r="P26" i="17"/>
  <c r="AD9" i="17"/>
  <c r="R9" i="17"/>
  <c r="AB20" i="17"/>
  <c r="Q20" i="17"/>
  <c r="AB8" i="17"/>
  <c r="Q8" i="17"/>
  <c r="AD15" i="17"/>
  <c r="R15" i="17"/>
  <c r="AD31" i="17"/>
  <c r="R31" i="17"/>
  <c r="Z31" i="17"/>
  <c r="P31" i="17"/>
  <c r="R12" i="17"/>
  <c r="AD12" i="17"/>
  <c r="AD28" i="17"/>
  <c r="R28" i="17"/>
  <c r="AD30" i="17"/>
  <c r="R30" i="17"/>
  <c r="AD32" i="17"/>
  <c r="R32" i="17"/>
  <c r="AD29" i="17"/>
  <c r="R29" i="17"/>
  <c r="X22" i="17"/>
  <c r="O22" i="17"/>
  <c r="X14" i="17"/>
  <c r="O14" i="17"/>
  <c r="Q18" i="17"/>
  <c r="AB18" i="17"/>
  <c r="R18" i="17"/>
  <c r="AD18" i="17"/>
  <c r="O18" i="17"/>
  <c r="X18" i="17"/>
  <c r="P18" i="17"/>
  <c r="Z18" i="17"/>
  <c r="Z17" i="17"/>
  <c r="P17" i="17"/>
  <c r="AB17" i="17"/>
  <c r="Q17" i="17"/>
  <c r="R17" i="17"/>
  <c r="AD17" i="17"/>
  <c r="J27" i="15"/>
  <c r="J28" i="15"/>
  <c r="J26" i="15"/>
  <c r="E27" i="15"/>
  <c r="E28" i="15"/>
  <c r="E26" i="15"/>
  <c r="T19" i="15"/>
  <c r="T18" i="15"/>
  <c r="O19" i="15"/>
  <c r="O20" i="15"/>
  <c r="O21" i="15"/>
  <c r="O22" i="15"/>
  <c r="O23" i="15"/>
  <c r="O24" i="15"/>
  <c r="O25" i="15"/>
  <c r="O26" i="15"/>
  <c r="O27" i="15"/>
  <c r="O28" i="15"/>
  <c r="O29" i="15"/>
  <c r="O18" i="15"/>
  <c r="J19" i="15"/>
  <c r="J20" i="15"/>
  <c r="J21" i="15"/>
  <c r="J22" i="15"/>
  <c r="J23" i="15"/>
  <c r="J18" i="15"/>
  <c r="E19" i="15"/>
  <c r="E20" i="15"/>
  <c r="E21" i="15"/>
  <c r="E22" i="15"/>
  <c r="E23" i="15"/>
  <c r="E18" i="15"/>
  <c r="T5" i="15" l="1"/>
  <c r="T6" i="15"/>
  <c r="T7" i="15"/>
  <c r="T8" i="15"/>
  <c r="T9" i="15"/>
  <c r="T10" i="15"/>
  <c r="T11" i="15"/>
  <c r="T4" i="15"/>
  <c r="O5" i="15"/>
  <c r="O6" i="15"/>
  <c r="O7" i="15"/>
  <c r="O8" i="15"/>
  <c r="O9" i="15"/>
  <c r="O10" i="15"/>
  <c r="O11" i="15"/>
  <c r="O12" i="15"/>
  <c r="O13" i="15"/>
  <c r="O4" i="15"/>
  <c r="J10" i="15"/>
  <c r="J5" i="15"/>
  <c r="E5" i="15"/>
  <c r="E6" i="15"/>
  <c r="E8" i="15"/>
  <c r="E10" i="15"/>
  <c r="E12" i="15"/>
  <c r="E4" i="15"/>
  <c r="I32" i="14" l="1"/>
  <c r="K32" i="14" s="1"/>
  <c r="L32" i="14" s="1"/>
  <c r="G32" i="14"/>
  <c r="E32" i="14"/>
  <c r="I31" i="14"/>
  <c r="G31" i="14"/>
  <c r="E31" i="14"/>
  <c r="I30" i="14"/>
  <c r="K30" i="14" s="1"/>
  <c r="G30" i="14"/>
  <c r="E30" i="14"/>
  <c r="I29" i="14"/>
  <c r="K29" i="14" s="1"/>
  <c r="G29" i="14"/>
  <c r="E29" i="14"/>
  <c r="I28" i="14"/>
  <c r="K28" i="14" s="1"/>
  <c r="L28" i="14" s="1"/>
  <c r="G28" i="14"/>
  <c r="E28" i="14"/>
  <c r="I27" i="14"/>
  <c r="G27" i="14"/>
  <c r="E27" i="14"/>
  <c r="I26" i="14"/>
  <c r="K26" i="14" s="1"/>
  <c r="G26" i="14"/>
  <c r="E26" i="14"/>
  <c r="I25" i="14"/>
  <c r="K25" i="14" s="1"/>
  <c r="G25" i="14"/>
  <c r="E25" i="14"/>
  <c r="I24" i="14"/>
  <c r="G24" i="14"/>
  <c r="E24" i="14"/>
  <c r="I23" i="14"/>
  <c r="G23" i="14"/>
  <c r="E23" i="14"/>
  <c r="I22" i="14"/>
  <c r="K22" i="14" s="1"/>
  <c r="G22" i="14"/>
  <c r="E22" i="14"/>
  <c r="I21" i="14"/>
  <c r="K21" i="14" s="1"/>
  <c r="G21" i="14"/>
  <c r="E21" i="14"/>
  <c r="I20" i="14"/>
  <c r="K20" i="14" s="1"/>
  <c r="L20" i="14" s="1"/>
  <c r="G20" i="14"/>
  <c r="E20" i="14"/>
  <c r="I19" i="14"/>
  <c r="G19" i="14"/>
  <c r="E19" i="14"/>
  <c r="I18" i="14"/>
  <c r="K18" i="14" s="1"/>
  <c r="G18" i="14"/>
  <c r="E18" i="14"/>
  <c r="I17" i="14"/>
  <c r="K17" i="14" s="1"/>
  <c r="G17" i="14"/>
  <c r="E17" i="14"/>
  <c r="I16" i="14"/>
  <c r="K16" i="14" s="1"/>
  <c r="L16" i="14" s="1"/>
  <c r="G16" i="14"/>
  <c r="E16" i="14"/>
  <c r="I15" i="14"/>
  <c r="G15" i="14"/>
  <c r="E15" i="14"/>
  <c r="I14" i="14"/>
  <c r="K14" i="14" s="1"/>
  <c r="G14" i="14"/>
  <c r="E14" i="14"/>
  <c r="I13" i="14"/>
  <c r="K13" i="14" s="1"/>
  <c r="L13" i="14" s="1"/>
  <c r="G13" i="14"/>
  <c r="E13" i="14"/>
  <c r="N12" i="14"/>
  <c r="I12" i="14"/>
  <c r="K12" i="14" s="1"/>
  <c r="L12" i="14" s="1"/>
  <c r="G12" i="14"/>
  <c r="E12" i="14"/>
  <c r="I11" i="14"/>
  <c r="G11" i="14"/>
  <c r="E11" i="14"/>
  <c r="I10" i="14"/>
  <c r="K10" i="14" s="1"/>
  <c r="G10" i="14"/>
  <c r="E10" i="14"/>
  <c r="I9" i="14"/>
  <c r="K9" i="14" s="1"/>
  <c r="L9" i="14" s="1"/>
  <c r="M9" i="14" s="1"/>
  <c r="N9" i="14" s="1"/>
  <c r="G9" i="14"/>
  <c r="E9" i="14"/>
  <c r="I8" i="14"/>
  <c r="K8" i="14" s="1"/>
  <c r="L8" i="14" s="1"/>
  <c r="G8" i="14"/>
  <c r="E8" i="14"/>
  <c r="I7" i="14"/>
  <c r="G7" i="14"/>
  <c r="E7" i="14"/>
  <c r="I6" i="14"/>
  <c r="K6" i="14" s="1"/>
  <c r="G6" i="14"/>
  <c r="E6" i="14"/>
  <c r="N5" i="14"/>
  <c r="I5" i="14"/>
  <c r="K5" i="14" s="1"/>
  <c r="L5" i="14" s="1"/>
  <c r="M5" i="14" s="1"/>
  <c r="G5" i="14"/>
  <c r="E5" i="14"/>
  <c r="I4" i="14"/>
  <c r="K4" i="14" s="1"/>
  <c r="L4" i="14" s="1"/>
  <c r="G4" i="14"/>
  <c r="E4" i="14"/>
  <c r="I32" i="13"/>
  <c r="K32" i="13" s="1"/>
  <c r="L32" i="13" s="1"/>
  <c r="G32" i="13"/>
  <c r="E32" i="13"/>
  <c r="I31" i="13"/>
  <c r="G31" i="13"/>
  <c r="E31" i="13"/>
  <c r="I30" i="13"/>
  <c r="K30" i="13" s="1"/>
  <c r="G30" i="13"/>
  <c r="E30" i="13"/>
  <c r="I29" i="13"/>
  <c r="K29" i="13" s="1"/>
  <c r="L29" i="13" s="1"/>
  <c r="G29" i="13"/>
  <c r="E29" i="13"/>
  <c r="I28" i="13"/>
  <c r="K28" i="13" s="1"/>
  <c r="L28" i="13" s="1"/>
  <c r="G28" i="13"/>
  <c r="E28" i="13"/>
  <c r="I27" i="13"/>
  <c r="G27" i="13"/>
  <c r="E27" i="13"/>
  <c r="I26" i="13"/>
  <c r="K26" i="13" s="1"/>
  <c r="G26" i="13"/>
  <c r="E26" i="13"/>
  <c r="I25" i="13"/>
  <c r="G25" i="13"/>
  <c r="E25" i="13"/>
  <c r="I24" i="13"/>
  <c r="K24" i="13" s="1"/>
  <c r="L24" i="13" s="1"/>
  <c r="G24" i="13"/>
  <c r="E24" i="13"/>
  <c r="I23" i="13"/>
  <c r="G23" i="13"/>
  <c r="E23" i="13"/>
  <c r="I22" i="13"/>
  <c r="K22" i="13" s="1"/>
  <c r="G22" i="13"/>
  <c r="E22" i="13"/>
  <c r="I21" i="13"/>
  <c r="G21" i="13"/>
  <c r="E21" i="13"/>
  <c r="I20" i="13"/>
  <c r="K20" i="13" s="1"/>
  <c r="L20" i="13" s="1"/>
  <c r="G20" i="13"/>
  <c r="E20" i="13"/>
  <c r="I19" i="13"/>
  <c r="G19" i="13"/>
  <c r="E19" i="13"/>
  <c r="I18" i="13"/>
  <c r="G18" i="13"/>
  <c r="E18" i="13"/>
  <c r="I17" i="13"/>
  <c r="K17" i="13" s="1"/>
  <c r="L17" i="13" s="1"/>
  <c r="G17" i="13"/>
  <c r="E17" i="13"/>
  <c r="I16" i="13"/>
  <c r="K16" i="13" s="1"/>
  <c r="L16" i="13" s="1"/>
  <c r="G16" i="13"/>
  <c r="E16" i="13"/>
  <c r="I15" i="13"/>
  <c r="G15" i="13"/>
  <c r="E15" i="13"/>
  <c r="I14" i="13"/>
  <c r="K14" i="13" s="1"/>
  <c r="L14" i="13" s="1"/>
  <c r="M14" i="13" s="1"/>
  <c r="N14" i="13" s="1"/>
  <c r="G14" i="13"/>
  <c r="E14" i="13"/>
  <c r="I13" i="13"/>
  <c r="K13" i="13" s="1"/>
  <c r="L13" i="13" s="1"/>
  <c r="G13" i="13"/>
  <c r="E13" i="13"/>
  <c r="N12" i="13"/>
  <c r="I12" i="13"/>
  <c r="G12" i="13"/>
  <c r="E12" i="13"/>
  <c r="I11" i="13"/>
  <c r="G11" i="13"/>
  <c r="E11" i="13"/>
  <c r="I10" i="13"/>
  <c r="K10" i="13" s="1"/>
  <c r="L10" i="13" s="1"/>
  <c r="G10" i="13"/>
  <c r="E10" i="13"/>
  <c r="I9" i="13"/>
  <c r="K9" i="13" s="1"/>
  <c r="L9" i="13" s="1"/>
  <c r="G9" i="13"/>
  <c r="E9" i="13"/>
  <c r="I8" i="13"/>
  <c r="K8" i="13" s="1"/>
  <c r="L8" i="13" s="1"/>
  <c r="G8" i="13"/>
  <c r="E8" i="13"/>
  <c r="I7" i="13"/>
  <c r="G7" i="13"/>
  <c r="E7" i="13"/>
  <c r="I6" i="13"/>
  <c r="K6" i="13" s="1"/>
  <c r="G6" i="13"/>
  <c r="E6" i="13"/>
  <c r="N5" i="13"/>
  <c r="I5" i="13"/>
  <c r="K5" i="13" s="1"/>
  <c r="L5" i="13" s="1"/>
  <c r="G5" i="13"/>
  <c r="E5" i="13"/>
  <c r="I4" i="13"/>
  <c r="K4" i="13" s="1"/>
  <c r="L4" i="13" s="1"/>
  <c r="G4" i="13"/>
  <c r="E4" i="13"/>
  <c r="I32" i="12"/>
  <c r="G32" i="12"/>
  <c r="E32" i="12"/>
  <c r="I31" i="12"/>
  <c r="G31" i="12"/>
  <c r="E31" i="12"/>
  <c r="I30" i="12"/>
  <c r="K30" i="12" s="1"/>
  <c r="L30" i="12" s="1"/>
  <c r="M30" i="12" s="1"/>
  <c r="N30" i="12" s="1"/>
  <c r="G30" i="12"/>
  <c r="E30" i="12"/>
  <c r="I29" i="12"/>
  <c r="K29" i="12" s="1"/>
  <c r="L29" i="12" s="1"/>
  <c r="G29" i="12"/>
  <c r="E29" i="12"/>
  <c r="I28" i="12"/>
  <c r="K28" i="12" s="1"/>
  <c r="G28" i="12"/>
  <c r="E28" i="12"/>
  <c r="I27" i="12"/>
  <c r="G27" i="12"/>
  <c r="E27" i="12"/>
  <c r="I26" i="12"/>
  <c r="K26" i="12" s="1"/>
  <c r="L26" i="12" s="1"/>
  <c r="M26" i="12" s="1"/>
  <c r="N26" i="12" s="1"/>
  <c r="G26" i="12"/>
  <c r="E26" i="12"/>
  <c r="I25" i="12"/>
  <c r="K25" i="12" s="1"/>
  <c r="L25" i="12" s="1"/>
  <c r="G25" i="12"/>
  <c r="E25" i="12"/>
  <c r="I24" i="12"/>
  <c r="K24" i="12" s="1"/>
  <c r="G24" i="12"/>
  <c r="E24" i="12"/>
  <c r="I23" i="12"/>
  <c r="G23" i="12"/>
  <c r="E23" i="12"/>
  <c r="I22" i="12"/>
  <c r="K22" i="12" s="1"/>
  <c r="L22" i="12" s="1"/>
  <c r="M22" i="12" s="1"/>
  <c r="N22" i="12" s="1"/>
  <c r="G22" i="12"/>
  <c r="E22" i="12"/>
  <c r="I21" i="12"/>
  <c r="K21" i="12" s="1"/>
  <c r="L21" i="12" s="1"/>
  <c r="G21" i="12"/>
  <c r="E21" i="12"/>
  <c r="I20" i="12"/>
  <c r="K20" i="12" s="1"/>
  <c r="G20" i="12"/>
  <c r="E20" i="12"/>
  <c r="I19" i="12"/>
  <c r="G19" i="12"/>
  <c r="E19" i="12"/>
  <c r="I18" i="12"/>
  <c r="K18" i="12" s="1"/>
  <c r="L18" i="12" s="1"/>
  <c r="M18" i="12" s="1"/>
  <c r="N18" i="12" s="1"/>
  <c r="G18" i="12"/>
  <c r="E18" i="12"/>
  <c r="I17" i="12"/>
  <c r="K17" i="12" s="1"/>
  <c r="L17" i="12" s="1"/>
  <c r="G17" i="12"/>
  <c r="E17" i="12"/>
  <c r="I16" i="12"/>
  <c r="K16" i="12" s="1"/>
  <c r="G16" i="12"/>
  <c r="E16" i="12"/>
  <c r="I15" i="12"/>
  <c r="G15" i="12"/>
  <c r="E15" i="12"/>
  <c r="I14" i="12"/>
  <c r="K14" i="12" s="1"/>
  <c r="L14" i="12" s="1"/>
  <c r="M14" i="12" s="1"/>
  <c r="N14" i="12" s="1"/>
  <c r="G14" i="12"/>
  <c r="E14" i="12"/>
  <c r="I13" i="12"/>
  <c r="K13" i="12" s="1"/>
  <c r="L13" i="12" s="1"/>
  <c r="G13" i="12"/>
  <c r="E13" i="12"/>
  <c r="N12" i="12"/>
  <c r="I12" i="12"/>
  <c r="K12" i="12" s="1"/>
  <c r="G12" i="12"/>
  <c r="E12" i="12"/>
  <c r="I11" i="12"/>
  <c r="G11" i="12"/>
  <c r="E11" i="12"/>
  <c r="I10" i="12"/>
  <c r="K10" i="12" s="1"/>
  <c r="L10" i="12" s="1"/>
  <c r="M10" i="12" s="1"/>
  <c r="N10" i="12" s="1"/>
  <c r="G10" i="12"/>
  <c r="E10" i="12"/>
  <c r="I9" i="12"/>
  <c r="K9" i="12" s="1"/>
  <c r="L9" i="12" s="1"/>
  <c r="G9" i="12"/>
  <c r="E9" i="12"/>
  <c r="I8" i="12"/>
  <c r="K8" i="12" s="1"/>
  <c r="G8" i="12"/>
  <c r="E8" i="12"/>
  <c r="I7" i="12"/>
  <c r="G7" i="12"/>
  <c r="E7" i="12"/>
  <c r="I6" i="12"/>
  <c r="K6" i="12" s="1"/>
  <c r="L6" i="12" s="1"/>
  <c r="M6" i="12" s="1"/>
  <c r="N6" i="12" s="1"/>
  <c r="G6" i="12"/>
  <c r="E6" i="12"/>
  <c r="N5" i="12"/>
  <c r="I5" i="12"/>
  <c r="K5" i="12" s="1"/>
  <c r="L5" i="12" s="1"/>
  <c r="G5" i="12"/>
  <c r="E5" i="12"/>
  <c r="I4" i="12"/>
  <c r="K4" i="12" s="1"/>
  <c r="G4" i="12"/>
  <c r="E4" i="12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H4" i="11"/>
  <c r="J4" i="11" s="1"/>
  <c r="N5" i="7"/>
  <c r="N12" i="7"/>
  <c r="F5" i="11" l="1"/>
  <c r="H5" i="11" s="1"/>
  <c r="J5" i="11" s="1"/>
  <c r="K5" i="11" s="1"/>
  <c r="L5" i="11" s="1"/>
  <c r="O5" i="11" s="1"/>
  <c r="F13" i="11"/>
  <c r="H13" i="11" s="1"/>
  <c r="J13" i="11" s="1"/>
  <c r="K13" i="11" s="1"/>
  <c r="L13" i="11" s="1"/>
  <c r="O13" i="11" s="1"/>
  <c r="F25" i="11"/>
  <c r="H25" i="11" s="1"/>
  <c r="J25" i="11" s="1"/>
  <c r="K25" i="11" s="1"/>
  <c r="L25" i="11" s="1"/>
  <c r="O25" i="11" s="1"/>
  <c r="F6" i="11"/>
  <c r="H6" i="11" s="1"/>
  <c r="J6" i="11" s="1"/>
  <c r="K6" i="11" s="1"/>
  <c r="L6" i="11" s="1"/>
  <c r="O6" i="11" s="1"/>
  <c r="F10" i="11"/>
  <c r="H10" i="11" s="1"/>
  <c r="J10" i="11" s="1"/>
  <c r="K10" i="11" s="1"/>
  <c r="L10" i="11" s="1"/>
  <c r="O10" i="11" s="1"/>
  <c r="F14" i="11"/>
  <c r="H14" i="11" s="1"/>
  <c r="J14" i="11" s="1"/>
  <c r="K14" i="11" s="1"/>
  <c r="L14" i="11" s="1"/>
  <c r="O14" i="11" s="1"/>
  <c r="F18" i="11"/>
  <c r="H18" i="11" s="1"/>
  <c r="J18" i="11" s="1"/>
  <c r="K18" i="11" s="1"/>
  <c r="L18" i="11" s="1"/>
  <c r="O18" i="11" s="1"/>
  <c r="F22" i="11"/>
  <c r="H22" i="11" s="1"/>
  <c r="J22" i="11" s="1"/>
  <c r="K22" i="11" s="1"/>
  <c r="L22" i="11" s="1"/>
  <c r="O22" i="11" s="1"/>
  <c r="F26" i="11"/>
  <c r="H26" i="11" s="1"/>
  <c r="J26" i="11" s="1"/>
  <c r="K26" i="11" s="1"/>
  <c r="L26" i="11" s="1"/>
  <c r="O26" i="11" s="1"/>
  <c r="F30" i="11"/>
  <c r="H30" i="11" s="1"/>
  <c r="J30" i="11" s="1"/>
  <c r="K30" i="11" s="1"/>
  <c r="L30" i="11" s="1"/>
  <c r="O30" i="11" s="1"/>
  <c r="F8" i="11"/>
  <c r="H8" i="11" s="1"/>
  <c r="J8" i="11" s="1"/>
  <c r="K8" i="11" s="1"/>
  <c r="L8" i="11" s="1"/>
  <c r="O8" i="11" s="1"/>
  <c r="F12" i="11"/>
  <c r="H12" i="11" s="1"/>
  <c r="J12" i="11" s="1"/>
  <c r="K12" i="11" s="1"/>
  <c r="L12" i="11" s="1"/>
  <c r="O12" i="11" s="1"/>
  <c r="F16" i="11"/>
  <c r="H16" i="11" s="1"/>
  <c r="J16" i="11" s="1"/>
  <c r="K16" i="11" s="1"/>
  <c r="L16" i="11" s="1"/>
  <c r="O16" i="11" s="1"/>
  <c r="F20" i="11"/>
  <c r="H20" i="11" s="1"/>
  <c r="J20" i="11" s="1"/>
  <c r="K20" i="11" s="1"/>
  <c r="L20" i="11" s="1"/>
  <c r="O20" i="11" s="1"/>
  <c r="F24" i="11"/>
  <c r="H24" i="11" s="1"/>
  <c r="J24" i="11" s="1"/>
  <c r="K24" i="11" s="1"/>
  <c r="L24" i="11" s="1"/>
  <c r="O24" i="11" s="1"/>
  <c r="F28" i="11"/>
  <c r="H28" i="11" s="1"/>
  <c r="J28" i="11" s="1"/>
  <c r="K28" i="11" s="1"/>
  <c r="L28" i="11" s="1"/>
  <c r="O28" i="11" s="1"/>
  <c r="F32" i="11"/>
  <c r="H32" i="11" s="1"/>
  <c r="F9" i="11"/>
  <c r="H9" i="11" s="1"/>
  <c r="J9" i="11" s="1"/>
  <c r="K9" i="11" s="1"/>
  <c r="L9" i="11" s="1"/>
  <c r="O9" i="11" s="1"/>
  <c r="F17" i="11"/>
  <c r="H17" i="11" s="1"/>
  <c r="J17" i="11" s="1"/>
  <c r="K17" i="11" s="1"/>
  <c r="L17" i="11" s="1"/>
  <c r="O17" i="11" s="1"/>
  <c r="F21" i="11"/>
  <c r="H21" i="11" s="1"/>
  <c r="J21" i="11" s="1"/>
  <c r="K21" i="11" s="1"/>
  <c r="L21" i="11" s="1"/>
  <c r="O21" i="11" s="1"/>
  <c r="F29" i="11"/>
  <c r="H29" i="11" s="1"/>
  <c r="J29" i="11" s="1"/>
  <c r="K29" i="11" s="1"/>
  <c r="L29" i="11" s="1"/>
  <c r="O29" i="11" s="1"/>
  <c r="F7" i="11"/>
  <c r="H7" i="11" s="1"/>
  <c r="J7" i="11" s="1"/>
  <c r="K7" i="11" s="1"/>
  <c r="F11" i="11"/>
  <c r="H11" i="11" s="1"/>
  <c r="J11" i="11" s="1"/>
  <c r="K11" i="11" s="1"/>
  <c r="F15" i="11"/>
  <c r="F19" i="11"/>
  <c r="H19" i="11" s="1"/>
  <c r="J19" i="11" s="1"/>
  <c r="K19" i="11" s="1"/>
  <c r="F23" i="11"/>
  <c r="F27" i="11"/>
  <c r="H27" i="11" s="1"/>
  <c r="J27" i="11" s="1"/>
  <c r="K27" i="11" s="1"/>
  <c r="F31" i="11"/>
  <c r="L17" i="14"/>
  <c r="M17" i="14" s="1"/>
  <c r="N17" i="14" s="1"/>
  <c r="L25" i="14"/>
  <c r="M25" i="14" s="1"/>
  <c r="N25" i="14" s="1"/>
  <c r="M20" i="14"/>
  <c r="N20" i="14" s="1"/>
  <c r="K24" i="14"/>
  <c r="L24" i="14" s="1"/>
  <c r="L29" i="14"/>
  <c r="M29" i="14" s="1"/>
  <c r="N29" i="14" s="1"/>
  <c r="M13" i="14"/>
  <c r="N13" i="14" s="1"/>
  <c r="L21" i="14"/>
  <c r="M21" i="14" s="1"/>
  <c r="N21" i="14" s="1"/>
  <c r="L10" i="14"/>
  <c r="M10" i="14" s="1"/>
  <c r="N10" i="14" s="1"/>
  <c r="L14" i="14"/>
  <c r="M14" i="14" s="1"/>
  <c r="N14" i="14" s="1"/>
  <c r="L30" i="14"/>
  <c r="M30" i="14" s="1"/>
  <c r="N30" i="14" s="1"/>
  <c r="L6" i="14"/>
  <c r="M6" i="14" s="1"/>
  <c r="N6" i="14" s="1"/>
  <c r="L26" i="14"/>
  <c r="M26" i="14" s="1"/>
  <c r="N26" i="14" s="1"/>
  <c r="M12" i="14"/>
  <c r="M16" i="14"/>
  <c r="N16" i="14" s="1"/>
  <c r="L22" i="14"/>
  <c r="M22" i="14" s="1"/>
  <c r="N22" i="14" s="1"/>
  <c r="M32" i="14"/>
  <c r="N32" i="14" s="1"/>
  <c r="M4" i="14"/>
  <c r="N4" i="14" s="1"/>
  <c r="M8" i="14"/>
  <c r="N8" i="14" s="1"/>
  <c r="L18" i="14"/>
  <c r="M18" i="14" s="1"/>
  <c r="N18" i="14" s="1"/>
  <c r="M28" i="14"/>
  <c r="N28" i="14" s="1"/>
  <c r="K7" i="14"/>
  <c r="L7" i="14" s="1"/>
  <c r="K11" i="14"/>
  <c r="L11" i="14" s="1"/>
  <c r="K15" i="14"/>
  <c r="L15" i="14" s="1"/>
  <c r="K19" i="14"/>
  <c r="L19" i="14" s="1"/>
  <c r="K23" i="14"/>
  <c r="L23" i="14" s="1"/>
  <c r="K27" i="14"/>
  <c r="L27" i="14" s="1"/>
  <c r="K31" i="14"/>
  <c r="L31" i="14" s="1"/>
  <c r="M10" i="13"/>
  <c r="N10" i="13" s="1"/>
  <c r="L6" i="13"/>
  <c r="M6" i="13" s="1"/>
  <c r="N6" i="13" s="1"/>
  <c r="K12" i="13"/>
  <c r="L12" i="13" s="1"/>
  <c r="K18" i="13"/>
  <c r="L18" i="13" s="1"/>
  <c r="K25" i="13"/>
  <c r="L25" i="13" s="1"/>
  <c r="M9" i="13"/>
  <c r="N9" i="13" s="1"/>
  <c r="K21" i="13"/>
  <c r="L21" i="13" s="1"/>
  <c r="M24" i="13"/>
  <c r="N24" i="13" s="1"/>
  <c r="M13" i="13"/>
  <c r="N13" i="13" s="1"/>
  <c r="M4" i="13"/>
  <c r="N4" i="13" s="1"/>
  <c r="M5" i="13"/>
  <c r="M16" i="13"/>
  <c r="N16" i="13" s="1"/>
  <c r="M17" i="13"/>
  <c r="N17" i="13" s="1"/>
  <c r="M28" i="13"/>
  <c r="N28" i="13" s="1"/>
  <c r="M29" i="13"/>
  <c r="N29" i="13" s="1"/>
  <c r="L30" i="13"/>
  <c r="M30" i="13" s="1"/>
  <c r="N30" i="13" s="1"/>
  <c r="M20" i="13"/>
  <c r="N20" i="13" s="1"/>
  <c r="L26" i="13"/>
  <c r="M26" i="13" s="1"/>
  <c r="N26" i="13" s="1"/>
  <c r="M8" i="13"/>
  <c r="N8" i="13" s="1"/>
  <c r="L22" i="13"/>
  <c r="M22" i="13" s="1"/>
  <c r="N22" i="13" s="1"/>
  <c r="M32" i="13"/>
  <c r="N32" i="13" s="1"/>
  <c r="K7" i="13"/>
  <c r="L7" i="13" s="1"/>
  <c r="K11" i="13"/>
  <c r="L11" i="13" s="1"/>
  <c r="K15" i="13"/>
  <c r="L15" i="13" s="1"/>
  <c r="K19" i="13"/>
  <c r="L19" i="13" s="1"/>
  <c r="K23" i="13"/>
  <c r="L23" i="13" s="1"/>
  <c r="K27" i="13"/>
  <c r="L27" i="13" s="1"/>
  <c r="K31" i="13"/>
  <c r="L31" i="13" s="1"/>
  <c r="K32" i="12"/>
  <c r="L32" i="12" s="1"/>
  <c r="L4" i="12"/>
  <c r="M4" i="12" s="1"/>
  <c r="N4" i="12" s="1"/>
  <c r="M5" i="12"/>
  <c r="K7" i="12"/>
  <c r="L7" i="12" s="1"/>
  <c r="L8" i="12"/>
  <c r="M8" i="12" s="1"/>
  <c r="N8" i="12" s="1"/>
  <c r="M9" i="12"/>
  <c r="N9" i="12" s="1"/>
  <c r="K11" i="12"/>
  <c r="L11" i="12" s="1"/>
  <c r="L12" i="12"/>
  <c r="M12" i="12" s="1"/>
  <c r="M13" i="12"/>
  <c r="N13" i="12" s="1"/>
  <c r="K15" i="12"/>
  <c r="L15" i="12" s="1"/>
  <c r="M15" i="12" s="1"/>
  <c r="N15" i="12" s="1"/>
  <c r="L16" i="12"/>
  <c r="M16" i="12" s="1"/>
  <c r="N16" i="12" s="1"/>
  <c r="M17" i="12"/>
  <c r="N17" i="12" s="1"/>
  <c r="K19" i="12"/>
  <c r="L19" i="12" s="1"/>
  <c r="L20" i="12"/>
  <c r="M20" i="12" s="1"/>
  <c r="N20" i="12" s="1"/>
  <c r="M21" i="12"/>
  <c r="N21" i="12" s="1"/>
  <c r="K23" i="12"/>
  <c r="L23" i="12" s="1"/>
  <c r="L24" i="12"/>
  <c r="M24" i="12" s="1"/>
  <c r="N24" i="12" s="1"/>
  <c r="M25" i="12"/>
  <c r="N25" i="12" s="1"/>
  <c r="K27" i="12"/>
  <c r="L27" i="12" s="1"/>
  <c r="L28" i="12"/>
  <c r="M28" i="12" s="1"/>
  <c r="N28" i="12" s="1"/>
  <c r="M29" i="12"/>
  <c r="N29" i="12" s="1"/>
  <c r="K31" i="12"/>
  <c r="L31" i="12" s="1"/>
  <c r="K4" i="11"/>
  <c r="L4" i="11" s="1"/>
  <c r="O4" i="11" s="1"/>
  <c r="G5" i="7"/>
  <c r="G12" i="7"/>
  <c r="G22" i="7"/>
  <c r="G23" i="7"/>
  <c r="G24" i="7"/>
  <c r="G25" i="7"/>
  <c r="G26" i="7"/>
  <c r="G27" i="7"/>
  <c r="G28" i="7"/>
  <c r="G29" i="7"/>
  <c r="G30" i="7"/>
  <c r="G31" i="7"/>
  <c r="G32" i="7"/>
  <c r="J32" i="11" l="1"/>
  <c r="K32" i="11" s="1"/>
  <c r="H31" i="11"/>
  <c r="J31" i="11" s="1"/>
  <c r="H23" i="11"/>
  <c r="J23" i="11" s="1"/>
  <c r="H15" i="11"/>
  <c r="J15" i="11" s="1"/>
  <c r="K15" i="11" s="1"/>
  <c r="M12" i="13"/>
  <c r="M24" i="14"/>
  <c r="N24" i="14" s="1"/>
  <c r="M19" i="14"/>
  <c r="N19" i="14" s="1"/>
  <c r="M31" i="14"/>
  <c r="N31" i="14" s="1"/>
  <c r="M15" i="14"/>
  <c r="N15" i="14" s="1"/>
  <c r="M23" i="14"/>
  <c r="N23" i="14" s="1"/>
  <c r="M11" i="14"/>
  <c r="N11" i="14" s="1"/>
  <c r="M27" i="14"/>
  <c r="N27" i="14" s="1"/>
  <c r="M7" i="14"/>
  <c r="N7" i="14" s="1"/>
  <c r="M21" i="13"/>
  <c r="N21" i="13" s="1"/>
  <c r="M18" i="13"/>
  <c r="N18" i="13" s="1"/>
  <c r="M23" i="13"/>
  <c r="N23" i="13" s="1"/>
  <c r="M7" i="13"/>
  <c r="N7" i="13" s="1"/>
  <c r="M25" i="13"/>
  <c r="N25" i="13" s="1"/>
  <c r="M27" i="13"/>
  <c r="N27" i="13" s="1"/>
  <c r="M11" i="13"/>
  <c r="N11" i="13" s="1"/>
  <c r="M15" i="13"/>
  <c r="N15" i="13" s="1"/>
  <c r="M19" i="13"/>
  <c r="N19" i="13" s="1"/>
  <c r="M31" i="13"/>
  <c r="N31" i="13" s="1"/>
  <c r="M32" i="12"/>
  <c r="N32" i="12" s="1"/>
  <c r="M23" i="12"/>
  <c r="N23" i="12" s="1"/>
  <c r="M27" i="12"/>
  <c r="N27" i="12" s="1"/>
  <c r="M11" i="12"/>
  <c r="N11" i="12" s="1"/>
  <c r="M31" i="12"/>
  <c r="N31" i="12" s="1"/>
  <c r="M7" i="12"/>
  <c r="N7" i="12" s="1"/>
  <c r="M19" i="12"/>
  <c r="N19" i="12" s="1"/>
  <c r="L11" i="11"/>
  <c r="O11" i="11" s="1"/>
  <c r="L27" i="11"/>
  <c r="O27" i="11" s="1"/>
  <c r="L19" i="11"/>
  <c r="O19" i="11" s="1"/>
  <c r="L7" i="11"/>
  <c r="O7" i="11" s="1"/>
  <c r="G4" i="7"/>
  <c r="G6" i="7"/>
  <c r="G7" i="7"/>
  <c r="G8" i="7"/>
  <c r="G9" i="7"/>
  <c r="G10" i="7"/>
  <c r="G11" i="7"/>
  <c r="G13" i="7"/>
  <c r="G14" i="7"/>
  <c r="G15" i="7"/>
  <c r="G16" i="7"/>
  <c r="G17" i="7"/>
  <c r="G18" i="7"/>
  <c r="G19" i="7"/>
  <c r="G20" i="7"/>
  <c r="G21" i="7"/>
  <c r="K23" i="11" l="1"/>
  <c r="L23" i="11" s="1"/>
  <c r="O23" i="11" s="1"/>
  <c r="K31" i="11"/>
  <c r="L31" i="11" s="1"/>
  <c r="O31" i="11" s="1"/>
  <c r="L15" i="11"/>
  <c r="O15" i="11" s="1"/>
  <c r="L32" i="11"/>
  <c r="O32" i="11" s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I24" i="7"/>
  <c r="I26" i="7"/>
  <c r="I27" i="7"/>
  <c r="K27" i="7" s="1"/>
  <c r="L27" i="7" s="1"/>
  <c r="I28" i="7"/>
  <c r="I29" i="7"/>
  <c r="I30" i="7"/>
  <c r="K30" i="7" s="1"/>
  <c r="L30" i="7" s="1"/>
  <c r="I31" i="7"/>
  <c r="K31" i="7" s="1"/>
  <c r="L31" i="7" s="1"/>
  <c r="G24" i="1"/>
  <c r="G25" i="1"/>
  <c r="G26" i="1"/>
  <c r="G27" i="1"/>
  <c r="G28" i="1"/>
  <c r="G30" i="1"/>
  <c r="G31" i="1"/>
  <c r="G32" i="1"/>
  <c r="G33" i="1"/>
  <c r="I24" i="1"/>
  <c r="I25" i="1"/>
  <c r="I26" i="1"/>
  <c r="I27" i="1"/>
  <c r="I28" i="1"/>
  <c r="I30" i="1"/>
  <c r="I31" i="1"/>
  <c r="I32" i="1"/>
  <c r="I33" i="1"/>
  <c r="K24" i="1"/>
  <c r="K25" i="1"/>
  <c r="K26" i="1"/>
  <c r="K27" i="1"/>
  <c r="K28" i="1"/>
  <c r="K30" i="1"/>
  <c r="K31" i="1"/>
  <c r="K32" i="1"/>
  <c r="K33" i="1"/>
  <c r="K26" i="7" l="1"/>
  <c r="L26" i="7" s="1"/>
  <c r="M26" i="7" s="1"/>
  <c r="N26" i="7" s="1"/>
  <c r="K29" i="7"/>
  <c r="L29" i="7" s="1"/>
  <c r="M29" i="7" s="1"/>
  <c r="N29" i="7" s="1"/>
  <c r="K24" i="7"/>
  <c r="L24" i="7" s="1"/>
  <c r="I25" i="7"/>
  <c r="K25" i="7" s="1"/>
  <c r="L25" i="7" s="1"/>
  <c r="M25" i="7" s="1"/>
  <c r="N25" i="7" s="1"/>
  <c r="K28" i="7"/>
  <c r="L28" i="7" s="1"/>
  <c r="M28" i="7" s="1"/>
  <c r="N28" i="7" s="1"/>
  <c r="I32" i="7"/>
  <c r="K32" i="7" s="1"/>
  <c r="M31" i="7"/>
  <c r="N31" i="7" s="1"/>
  <c r="M27" i="7"/>
  <c r="N27" i="7" s="1"/>
  <c r="M30" i="7"/>
  <c r="N30" i="7" s="1"/>
  <c r="I5" i="7"/>
  <c r="I7" i="7"/>
  <c r="I8" i="7"/>
  <c r="I9" i="7"/>
  <c r="I10" i="7"/>
  <c r="I12" i="7"/>
  <c r="I15" i="7"/>
  <c r="I16" i="7"/>
  <c r="I17" i="7"/>
  <c r="I19" i="7"/>
  <c r="I20" i="7"/>
  <c r="I21" i="7"/>
  <c r="I22" i="7"/>
  <c r="I23" i="7"/>
  <c r="I18" i="7" l="1"/>
  <c r="I14" i="7"/>
  <c r="K14" i="7" s="1"/>
  <c r="L14" i="7" s="1"/>
  <c r="I13" i="7"/>
  <c r="K13" i="7" s="1"/>
  <c r="L13" i="7" s="1"/>
  <c r="I11" i="7"/>
  <c r="I6" i="7"/>
  <c r="K6" i="7" s="1"/>
  <c r="L6" i="7" s="1"/>
  <c r="L32" i="7"/>
  <c r="M32" i="7" s="1"/>
  <c r="N32" i="7" s="1"/>
  <c r="M24" i="7"/>
  <c r="N24" i="7" s="1"/>
  <c r="K22" i="7"/>
  <c r="L22" i="7" s="1"/>
  <c r="K10" i="7"/>
  <c r="L10" i="7" s="1"/>
  <c r="K15" i="7"/>
  <c r="L15" i="7" s="1"/>
  <c r="K17" i="7"/>
  <c r="L17" i="7" s="1"/>
  <c r="K21" i="7"/>
  <c r="L21" i="7" s="1"/>
  <c r="K9" i="7"/>
  <c r="L9" i="7" s="1"/>
  <c r="K5" i="7"/>
  <c r="L5" i="7" s="1"/>
  <c r="K23" i="7"/>
  <c r="K20" i="7"/>
  <c r="L20" i="7" s="1"/>
  <c r="K16" i="7"/>
  <c r="L16" i="7" s="1"/>
  <c r="K8" i="7"/>
  <c r="L8" i="7" s="1"/>
  <c r="K4" i="7" l="1"/>
  <c r="M10" i="7"/>
  <c r="N10" i="7" s="1"/>
  <c r="M13" i="7"/>
  <c r="N13" i="7" s="1"/>
  <c r="M5" i="7"/>
  <c r="M9" i="7"/>
  <c r="N9" i="7" s="1"/>
  <c r="M15" i="7"/>
  <c r="N15" i="7" s="1"/>
  <c r="K7" i="7"/>
  <c r="L7" i="7" s="1"/>
  <c r="M21" i="7"/>
  <c r="N21" i="7" s="1"/>
  <c r="M6" i="7"/>
  <c r="N6" i="7" s="1"/>
  <c r="M22" i="7"/>
  <c r="N22" i="7" s="1"/>
  <c r="K18" i="7"/>
  <c r="L18" i="7" s="1"/>
  <c r="L23" i="7"/>
  <c r="M23" i="7" s="1"/>
  <c r="N23" i="7" s="1"/>
  <c r="M16" i="7"/>
  <c r="N16" i="7" s="1"/>
  <c r="M20" i="7"/>
  <c r="N20" i="7" s="1"/>
  <c r="M17" i="7"/>
  <c r="N17" i="7" s="1"/>
  <c r="M14" i="7"/>
  <c r="K11" i="7"/>
  <c r="L11" i="7" s="1"/>
  <c r="K19" i="7"/>
  <c r="L19" i="7" s="1"/>
  <c r="M8" i="7"/>
  <c r="N8" i="7" s="1"/>
  <c r="K12" i="7"/>
  <c r="L12" i="7" s="1"/>
  <c r="N14" i="7" l="1"/>
  <c r="Q14" i="7"/>
  <c r="L4" i="7"/>
  <c r="M18" i="7"/>
  <c r="N18" i="7" s="1"/>
  <c r="M7" i="7"/>
  <c r="M19" i="7"/>
  <c r="N19" i="7" s="1"/>
  <c r="M11" i="7"/>
  <c r="N11" i="7" s="1"/>
  <c r="M12" i="7"/>
  <c r="N7" i="7" l="1"/>
  <c r="Q7" i="7"/>
  <c r="R7" i="7" s="1"/>
  <c r="M4" i="7"/>
  <c r="N4" i="7" s="1"/>
  <c r="O4" i="3" l="1"/>
  <c r="V4" i="3" s="1"/>
  <c r="O5" i="3"/>
  <c r="V5" i="3" s="1"/>
  <c r="O6" i="3"/>
  <c r="V6" i="3" s="1"/>
  <c r="O7" i="3"/>
  <c r="V7" i="3" s="1"/>
  <c r="O8" i="3"/>
  <c r="V8" i="3" s="1"/>
  <c r="O9" i="3"/>
  <c r="V9" i="3" s="1"/>
  <c r="O10" i="3"/>
  <c r="V10" i="3" s="1"/>
  <c r="O11" i="3"/>
  <c r="V11" i="3" s="1"/>
  <c r="O12" i="3"/>
  <c r="V12" i="3" s="1"/>
  <c r="O13" i="3"/>
  <c r="V13" i="3" s="1"/>
  <c r="O14" i="3"/>
  <c r="V14" i="3" s="1"/>
  <c r="O15" i="3"/>
  <c r="V15" i="3" s="1"/>
  <c r="O16" i="3"/>
  <c r="V16" i="3" s="1"/>
  <c r="O17" i="3"/>
  <c r="V17" i="3" s="1"/>
  <c r="O18" i="3"/>
  <c r="V18" i="3" s="1"/>
  <c r="O19" i="3"/>
  <c r="V19" i="3" s="1"/>
  <c r="O20" i="3"/>
  <c r="V20" i="3" s="1"/>
  <c r="O21" i="3"/>
  <c r="V21" i="3" s="1"/>
  <c r="O22" i="3"/>
  <c r="V22" i="3" s="1"/>
  <c r="O23" i="3"/>
  <c r="V23" i="3" s="1"/>
  <c r="G14" i="3"/>
  <c r="G17" i="3" s="1"/>
  <c r="H17" i="3" s="1"/>
  <c r="G13" i="3"/>
  <c r="H13" i="3" s="1"/>
  <c r="G11" i="3"/>
  <c r="H11" i="3" s="1"/>
  <c r="G10" i="3"/>
  <c r="H10" i="3" s="1"/>
  <c r="R10" i="3" s="1"/>
  <c r="G9" i="3"/>
  <c r="H9" i="3" s="1"/>
  <c r="G8" i="3"/>
  <c r="H8" i="3" s="1"/>
  <c r="G7" i="3"/>
  <c r="H7" i="3" s="1"/>
  <c r="G6" i="3"/>
  <c r="H6" i="3" s="1"/>
  <c r="R6" i="3" s="1"/>
  <c r="G4" i="3"/>
  <c r="H4" i="3" s="1"/>
  <c r="G4" i="1"/>
  <c r="I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5" i="3" l="1"/>
  <c r="H5" i="3" s="1"/>
  <c r="F5" i="3" s="1"/>
  <c r="G23" i="3"/>
  <c r="H23" i="3" s="1"/>
  <c r="F23" i="3" s="1"/>
  <c r="G22" i="3"/>
  <c r="G12" i="3"/>
  <c r="H12" i="3" s="1"/>
  <c r="F12" i="3" s="1"/>
  <c r="G20" i="3"/>
  <c r="H20" i="3" s="1"/>
  <c r="R20" i="3" s="1"/>
  <c r="G19" i="3"/>
  <c r="H19" i="3" s="1"/>
  <c r="G15" i="3"/>
  <c r="H15" i="3" s="1"/>
  <c r="R15" i="3" s="1"/>
  <c r="G18" i="3"/>
  <c r="H18" i="3" s="1"/>
  <c r="R18" i="3" s="1"/>
  <c r="G21" i="3"/>
  <c r="H21" i="3" s="1"/>
  <c r="F10" i="3"/>
  <c r="H22" i="3"/>
  <c r="F22" i="3" s="1"/>
  <c r="G16" i="3"/>
  <c r="H16" i="3" s="1"/>
  <c r="R16" i="3" s="1"/>
  <c r="H14" i="3"/>
  <c r="R14" i="3" s="1"/>
  <c r="V24" i="3"/>
  <c r="F17" i="3"/>
  <c r="R17" i="3"/>
  <c r="F4" i="3"/>
  <c r="R4" i="3"/>
  <c r="F8" i="3"/>
  <c r="R8" i="3"/>
  <c r="F6" i="3"/>
  <c r="F13" i="3"/>
  <c r="R13" i="3"/>
  <c r="F7" i="3"/>
  <c r="R7" i="3"/>
  <c r="F11" i="3"/>
  <c r="R11" i="3"/>
  <c r="F9" i="3"/>
  <c r="R9" i="3"/>
  <c r="I23" i="3"/>
  <c r="K23" i="3" s="1"/>
  <c r="L23" i="3" s="1"/>
  <c r="I11" i="3"/>
  <c r="K11" i="3" s="1"/>
  <c r="L11" i="3" s="1"/>
  <c r="I7" i="3"/>
  <c r="K7" i="3" s="1"/>
  <c r="L7" i="3" s="1"/>
  <c r="I10" i="3"/>
  <c r="K10" i="3" s="1"/>
  <c r="L10" i="3" s="1"/>
  <c r="I6" i="3"/>
  <c r="K6" i="3" s="1"/>
  <c r="L6" i="3" s="1"/>
  <c r="I17" i="3"/>
  <c r="K17" i="3" s="1"/>
  <c r="L17" i="3" s="1"/>
  <c r="I13" i="3"/>
  <c r="K13" i="3" s="1"/>
  <c r="L13" i="3" s="1"/>
  <c r="I9" i="3"/>
  <c r="K9" i="3" s="1"/>
  <c r="L9" i="3" s="1"/>
  <c r="I5" i="3"/>
  <c r="K5" i="3" s="1"/>
  <c r="L5" i="3" s="1"/>
  <c r="I8" i="3"/>
  <c r="K8" i="3" s="1"/>
  <c r="L8" i="3" s="1"/>
  <c r="I4" i="3"/>
  <c r="I14" i="3" l="1"/>
  <c r="K14" i="3" s="1"/>
  <c r="L14" i="3" s="1"/>
  <c r="R5" i="3"/>
  <c r="F14" i="3"/>
  <c r="R23" i="3"/>
  <c r="I12" i="3"/>
  <c r="K12" i="3" s="1"/>
  <c r="L12" i="3" s="1"/>
  <c r="R12" i="3"/>
  <c r="R22" i="3"/>
  <c r="I22" i="3"/>
  <c r="K22" i="3" s="1"/>
  <c r="L22" i="3" s="1"/>
  <c r="K4" i="3"/>
  <c r="L4" i="3" s="1"/>
  <c r="I15" i="3"/>
  <c r="K15" i="3" s="1"/>
  <c r="L15" i="3" s="1"/>
  <c r="F15" i="3"/>
  <c r="I16" i="3"/>
  <c r="K16" i="3" s="1"/>
  <c r="L16" i="3" s="1"/>
  <c r="F16" i="3"/>
  <c r="I18" i="3"/>
  <c r="K18" i="3" s="1"/>
  <c r="L18" i="3" s="1"/>
  <c r="F18" i="3"/>
  <c r="I20" i="3"/>
  <c r="K20" i="3" s="1"/>
  <c r="L20" i="3" s="1"/>
  <c r="M20" i="3" s="1"/>
  <c r="F20" i="3"/>
  <c r="R19" i="3"/>
  <c r="M17" i="3"/>
  <c r="M14" i="3"/>
  <c r="M11" i="3"/>
  <c r="M8" i="3"/>
  <c r="M5" i="3"/>
  <c r="M9" i="3"/>
  <c r="M6" i="3"/>
  <c r="M13" i="3"/>
  <c r="M10" i="3"/>
  <c r="M7" i="3"/>
  <c r="M23" i="3"/>
  <c r="M12" i="3" l="1"/>
  <c r="P12" i="3" s="1"/>
  <c r="U12" i="3" s="1"/>
  <c r="W12" i="3" s="1"/>
  <c r="M16" i="3"/>
  <c r="P16" i="3" s="1"/>
  <c r="U16" i="3" s="1"/>
  <c r="W16" i="3" s="1"/>
  <c r="M22" i="3"/>
  <c r="P22" i="3" s="1"/>
  <c r="U22" i="3" s="1"/>
  <c r="W22" i="3" s="1"/>
  <c r="M4" i="3"/>
  <c r="N4" i="3" s="1"/>
  <c r="P13" i="3"/>
  <c r="U13" i="3" s="1"/>
  <c r="W13" i="3" s="1"/>
  <c r="N13" i="3"/>
  <c r="P9" i="3"/>
  <c r="U9" i="3" s="1"/>
  <c r="W9" i="3" s="1"/>
  <c r="N9" i="3"/>
  <c r="P8" i="3"/>
  <c r="U8" i="3" s="1"/>
  <c r="W8" i="3" s="1"/>
  <c r="N8" i="3"/>
  <c r="P17" i="3"/>
  <c r="U17" i="3" s="1"/>
  <c r="W17" i="3" s="1"/>
  <c r="N17" i="3"/>
  <c r="P23" i="3"/>
  <c r="U23" i="3" s="1"/>
  <c r="W23" i="3" s="1"/>
  <c r="N23" i="3"/>
  <c r="P20" i="3"/>
  <c r="U20" i="3" s="1"/>
  <c r="W20" i="3" s="1"/>
  <c r="N20" i="3"/>
  <c r="P7" i="3"/>
  <c r="U7" i="3" s="1"/>
  <c r="W7" i="3" s="1"/>
  <c r="N7" i="3"/>
  <c r="M18" i="3"/>
  <c r="P11" i="3"/>
  <c r="U11" i="3" s="1"/>
  <c r="W11" i="3" s="1"/>
  <c r="N11" i="3"/>
  <c r="P10" i="3"/>
  <c r="U10" i="3" s="1"/>
  <c r="W10" i="3" s="1"/>
  <c r="N10" i="3"/>
  <c r="P6" i="3"/>
  <c r="U6" i="3" s="1"/>
  <c r="W6" i="3" s="1"/>
  <c r="N6" i="3"/>
  <c r="P5" i="3"/>
  <c r="U5" i="3" s="1"/>
  <c r="W5" i="3" s="1"/>
  <c r="N5" i="3"/>
  <c r="P14" i="3"/>
  <c r="U14" i="3" s="1"/>
  <c r="W14" i="3" s="1"/>
  <c r="N14" i="3"/>
  <c r="F21" i="3"/>
  <c r="R21" i="3"/>
  <c r="M15" i="3"/>
  <c r="I19" i="3"/>
  <c r="K19" i="3" s="1"/>
  <c r="L19" i="3" s="1"/>
  <c r="F19" i="3"/>
  <c r="I21" i="3"/>
  <c r="K21" i="3" s="1"/>
  <c r="L21" i="3" s="1"/>
  <c r="N16" i="3" l="1"/>
  <c r="N12" i="3"/>
  <c r="N22" i="3"/>
  <c r="P4" i="3"/>
  <c r="U4" i="3" s="1"/>
  <c r="W4" i="3" s="1"/>
  <c r="P15" i="3"/>
  <c r="U15" i="3" s="1"/>
  <c r="W15" i="3" s="1"/>
  <c r="N15" i="3"/>
  <c r="P18" i="3"/>
  <c r="U18" i="3" s="1"/>
  <c r="W18" i="3" s="1"/>
  <c r="N18" i="3"/>
  <c r="M19" i="3"/>
  <c r="M21" i="3"/>
  <c r="P21" i="3" l="1"/>
  <c r="U21" i="3" s="1"/>
  <c r="W21" i="3" s="1"/>
  <c r="N21" i="3"/>
  <c r="P19" i="3"/>
  <c r="U19" i="3" s="1"/>
  <c r="W19" i="3" s="1"/>
  <c r="N19" i="3"/>
  <c r="W24" i="3" l="1"/>
  <c r="Y24" i="3" s="1"/>
  <c r="U24" i="3"/>
</calcChain>
</file>

<file path=xl/sharedStrings.xml><?xml version="1.0" encoding="utf-8"?>
<sst xmlns="http://schemas.openxmlformats.org/spreadsheetml/2006/main" count="840" uniqueCount="250">
  <si>
    <t>새피아</t>
  </si>
  <si>
    <t>땡큐</t>
  </si>
  <si>
    <t>땡큐/순수</t>
  </si>
  <si>
    <t>자연</t>
  </si>
  <si>
    <t>꿈집</t>
  </si>
  <si>
    <t>꽃지꿈집</t>
  </si>
  <si>
    <t>황토</t>
  </si>
  <si>
    <t>충무황토</t>
  </si>
  <si>
    <t>데코꿈집</t>
  </si>
  <si>
    <t>고급 150</t>
  </si>
  <si>
    <t>고급 180</t>
  </si>
  <si>
    <t>고급 200</t>
  </si>
  <si>
    <t>고급 300</t>
  </si>
  <si>
    <t>꽃지 150</t>
  </si>
  <si>
    <t>꽃지 180</t>
  </si>
  <si>
    <t>꽃지 200</t>
  </si>
  <si>
    <t>꽃지 300</t>
  </si>
  <si>
    <t>네프킨</t>
  </si>
  <si>
    <t>핸드타월</t>
  </si>
  <si>
    <t>기존마진</t>
    <phoneticPr fontId="1" type="noConversion"/>
  </si>
  <si>
    <t>C.M.W 상품 판매가</t>
    <phoneticPr fontId="1" type="noConversion"/>
  </si>
  <si>
    <t>#</t>
    <phoneticPr fontId="1" type="noConversion"/>
  </si>
  <si>
    <t>상품명</t>
    <phoneticPr fontId="1" type="noConversion"/>
  </si>
  <si>
    <t>롤&amp;매수</t>
    <phoneticPr fontId="1" type="noConversion"/>
  </si>
  <si>
    <t>원가</t>
    <phoneticPr fontId="1" type="noConversion"/>
  </si>
  <si>
    <t>기존가</t>
    <phoneticPr fontId="1" type="noConversion"/>
  </si>
  <si>
    <t>신규가</t>
    <phoneticPr fontId="1" type="noConversion"/>
  </si>
  <si>
    <t>신규마진</t>
    <phoneticPr fontId="1" type="noConversion"/>
  </si>
  <si>
    <t>수출가</t>
    <phoneticPr fontId="1" type="noConversion"/>
  </si>
  <si>
    <t>수출마진</t>
    <phoneticPr fontId="1" type="noConversion"/>
  </si>
  <si>
    <t>상품명</t>
    <phoneticPr fontId="1" type="noConversion"/>
  </si>
  <si>
    <t>롤</t>
    <phoneticPr fontId="1" type="noConversion"/>
  </si>
  <si>
    <t>수수료</t>
    <phoneticPr fontId="1" type="noConversion"/>
  </si>
  <si>
    <t>부가세</t>
    <phoneticPr fontId="1" type="noConversion"/>
  </si>
  <si>
    <t>중소세</t>
    <phoneticPr fontId="1" type="noConversion"/>
  </si>
  <si>
    <t>택배비</t>
    <phoneticPr fontId="1" type="noConversion"/>
  </si>
  <si>
    <t>기존가</t>
    <phoneticPr fontId="1" type="noConversion"/>
  </si>
  <si>
    <t>마진</t>
    <phoneticPr fontId="1" type="noConversion"/>
  </si>
  <si>
    <t>순수익</t>
    <phoneticPr fontId="1" type="noConversion"/>
  </si>
  <si>
    <t>Y</t>
    <phoneticPr fontId="1" type="noConversion"/>
  </si>
  <si>
    <t>N</t>
    <phoneticPr fontId="1" type="noConversion"/>
  </si>
  <si>
    <t>1차수익</t>
    <phoneticPr fontId="1" type="noConversion"/>
  </si>
  <si>
    <t>2차수익</t>
    <phoneticPr fontId="1" type="noConversion"/>
  </si>
  <si>
    <t>여부</t>
    <phoneticPr fontId="1" type="noConversion"/>
  </si>
  <si>
    <t>가격차</t>
    <phoneticPr fontId="1" type="noConversion"/>
  </si>
  <si>
    <t>마진율</t>
    <phoneticPr fontId="1" type="noConversion"/>
  </si>
  <si>
    <t>신규가</t>
    <phoneticPr fontId="1" type="noConversion"/>
  </si>
  <si>
    <t xml:space="preserve"> </t>
    <phoneticPr fontId="1" type="noConversion"/>
  </si>
  <si>
    <t>데코</t>
  </si>
  <si>
    <t>고급점보롤</t>
  </si>
  <si>
    <t>꽃지점보롤</t>
  </si>
  <si>
    <t>중소세</t>
    <phoneticPr fontId="1" type="noConversion"/>
  </si>
  <si>
    <t>수수료</t>
    <phoneticPr fontId="1" type="noConversion"/>
  </si>
  <si>
    <t>택배비</t>
    <phoneticPr fontId="1" type="noConversion"/>
  </si>
  <si>
    <t>부가세</t>
    <phoneticPr fontId="1" type="noConversion"/>
  </si>
  <si>
    <t>종소세</t>
    <phoneticPr fontId="1" type="noConversion"/>
  </si>
  <si>
    <t>순수익</t>
    <phoneticPr fontId="1" type="noConversion"/>
  </si>
  <si>
    <t>마진율</t>
    <phoneticPr fontId="1" type="noConversion"/>
  </si>
  <si>
    <t>여부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</si>
  <si>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</si>
  <si>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</si>
  <si>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</si>
  <si>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</si>
  <si>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</si>
  <si>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수수료</t>
    <phoneticPr fontId="1" type="noConversion"/>
  </si>
  <si>
    <t>원가</t>
    <phoneticPr fontId="1" type="noConversion"/>
  </si>
  <si>
    <t>차이</t>
    <phoneticPr fontId="1" type="noConversion"/>
  </si>
  <si>
    <t>인터넷판매가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</si>
  <si>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</si>
  <si>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</si>
  <si>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</si>
  <si>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</si>
  <si>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11번가</t>
    <phoneticPr fontId="1" type="noConversion"/>
  </si>
  <si>
    <t>1. 30롤 묶음 옵션셋팅</t>
    <phoneticPr fontId="1" type="noConversion"/>
  </si>
  <si>
    <t>순수</t>
    <phoneticPr fontId="1" type="noConversion"/>
  </si>
  <si>
    <t>자연</t>
    <phoneticPr fontId="1" type="noConversion"/>
  </si>
  <si>
    <t>꿈집</t>
    <phoneticPr fontId="1" type="noConversion"/>
  </si>
  <si>
    <t>꽃지꿈집</t>
    <phoneticPr fontId="1" type="noConversion"/>
  </si>
  <si>
    <t>황토</t>
    <phoneticPr fontId="1" type="noConversion"/>
  </si>
  <si>
    <t>황토</t>
    <phoneticPr fontId="1" type="noConversion"/>
  </si>
  <si>
    <t>데코꿈집</t>
    <phoneticPr fontId="1" type="noConversion"/>
  </si>
  <si>
    <t>데코꿈집</t>
    <phoneticPr fontId="1" type="noConversion"/>
  </si>
  <si>
    <t>2.새피아 24롤 묶음</t>
    <phoneticPr fontId="1" type="noConversion"/>
  </si>
  <si>
    <t>새피아</t>
    <phoneticPr fontId="1" type="noConversion"/>
  </si>
  <si>
    <t>-</t>
    <phoneticPr fontId="1" type="noConversion"/>
  </si>
  <si>
    <t>3.새피아 10롤 묶음</t>
    <phoneticPr fontId="1" type="noConversion"/>
  </si>
  <si>
    <t>4.두루마리 묶음 옵션셋팅</t>
    <phoneticPr fontId="1" type="noConversion"/>
  </si>
  <si>
    <t>새피아</t>
    <phoneticPr fontId="1" type="noConversion"/>
  </si>
  <si>
    <t>순수</t>
    <phoneticPr fontId="1" type="noConversion"/>
  </si>
  <si>
    <t>꽃지꿈집</t>
    <phoneticPr fontId="1" type="noConversion"/>
  </si>
  <si>
    <t>황토</t>
    <phoneticPr fontId="1" type="noConversion"/>
  </si>
  <si>
    <t>데코꿈집</t>
    <phoneticPr fontId="1" type="noConversion"/>
  </si>
  <si>
    <t>고급점</t>
    <phoneticPr fontId="1" type="noConversion"/>
  </si>
  <si>
    <t>꽃지점</t>
    <phoneticPr fontId="1" type="noConversion"/>
  </si>
  <si>
    <t>5. 점보롤 묶음 옵션셋팅</t>
    <phoneticPr fontId="1" type="noConversion"/>
  </si>
  <si>
    <t>고점</t>
    <phoneticPr fontId="1" type="noConversion"/>
  </si>
  <si>
    <t>꽃점</t>
    <phoneticPr fontId="1" type="noConversion"/>
  </si>
  <si>
    <t>스마트스토어</t>
    <phoneticPr fontId="1" type="noConversion"/>
  </si>
  <si>
    <t>1. 점보롤 묶음 옵션선택</t>
    <phoneticPr fontId="1" type="noConversion"/>
  </si>
  <si>
    <t>고점</t>
    <phoneticPr fontId="1" type="noConversion"/>
  </si>
  <si>
    <t>꽃점</t>
    <phoneticPr fontId="1" type="noConversion"/>
  </si>
  <si>
    <t>2. 30롤 묶음</t>
    <phoneticPr fontId="1" type="noConversion"/>
  </si>
  <si>
    <t>순수</t>
    <phoneticPr fontId="1" type="noConversion"/>
  </si>
  <si>
    <t>자연</t>
    <phoneticPr fontId="1" type="noConversion"/>
  </si>
  <si>
    <t>꿈집</t>
    <phoneticPr fontId="1" type="noConversion"/>
  </si>
  <si>
    <t>꽃지꿈집</t>
    <phoneticPr fontId="1" type="noConversion"/>
  </si>
  <si>
    <t>황토</t>
    <phoneticPr fontId="1" type="noConversion"/>
  </si>
  <si>
    <t>데코</t>
    <phoneticPr fontId="1" type="noConversion"/>
  </si>
  <si>
    <t>3.모든 묶음</t>
    <phoneticPr fontId="1" type="noConversion"/>
  </si>
  <si>
    <t>순수</t>
    <phoneticPr fontId="1" type="noConversion"/>
  </si>
  <si>
    <t>자연</t>
    <phoneticPr fontId="1" type="noConversion"/>
  </si>
  <si>
    <t>황토</t>
    <phoneticPr fontId="1" type="noConversion"/>
  </si>
  <si>
    <t>데코</t>
    <phoneticPr fontId="1" type="noConversion"/>
  </si>
  <si>
    <t>새피아</t>
    <phoneticPr fontId="1" type="noConversion"/>
  </si>
  <si>
    <t>새피아</t>
    <phoneticPr fontId="1" type="noConversion"/>
  </si>
  <si>
    <t>고점</t>
    <phoneticPr fontId="1" type="noConversion"/>
  </si>
  <si>
    <t>고점</t>
    <phoneticPr fontId="1" type="noConversion"/>
  </si>
  <si>
    <t>꽃점</t>
    <phoneticPr fontId="1" type="noConversion"/>
  </si>
  <si>
    <t>꽃점</t>
    <phoneticPr fontId="1" type="noConversion"/>
  </si>
  <si>
    <t>4. 300m 묶음</t>
    <phoneticPr fontId="1" type="noConversion"/>
  </si>
  <si>
    <t>고점</t>
    <phoneticPr fontId="1" type="noConversion"/>
  </si>
  <si>
    <t>꽃점</t>
    <phoneticPr fontId="1" type="noConversion"/>
  </si>
  <si>
    <t>5.꽃점 묶음</t>
    <phoneticPr fontId="1" type="noConversion"/>
  </si>
  <si>
    <t>꽃점</t>
    <phoneticPr fontId="1" type="noConversion"/>
  </si>
  <si>
    <t>6. 고점 묶음</t>
    <phoneticPr fontId="1" type="noConversion"/>
  </si>
  <si>
    <t>순수</t>
    <phoneticPr fontId="1" type="noConversion"/>
  </si>
  <si>
    <t>자연</t>
    <phoneticPr fontId="1" type="noConversion"/>
  </si>
  <si>
    <t>꿈집</t>
    <phoneticPr fontId="1" type="noConversion"/>
  </si>
  <si>
    <t>꽃지꿈집</t>
    <phoneticPr fontId="1" type="noConversion"/>
  </si>
  <si>
    <t>황토</t>
    <phoneticPr fontId="1" type="noConversion"/>
  </si>
  <si>
    <t>데코꿈집</t>
    <phoneticPr fontId="1" type="noConversion"/>
  </si>
  <si>
    <t>ESM</t>
    <phoneticPr fontId="1" type="noConversion"/>
  </si>
  <si>
    <t>1.30롤 묶음</t>
    <phoneticPr fontId="1" type="noConversion"/>
  </si>
  <si>
    <t>2.전체묶음</t>
    <phoneticPr fontId="1" type="noConversion"/>
  </si>
  <si>
    <t>순수</t>
    <phoneticPr fontId="1" type="noConversion"/>
  </si>
  <si>
    <t>새피아</t>
    <phoneticPr fontId="1" type="noConversion"/>
  </si>
  <si>
    <t>새피아</t>
    <phoneticPr fontId="1" type="noConversion"/>
  </si>
  <si>
    <t>고점</t>
    <phoneticPr fontId="1" type="noConversion"/>
  </si>
  <si>
    <t>꽃점</t>
    <phoneticPr fontId="1" type="noConversion"/>
  </si>
  <si>
    <t>10/11*판매가 - 마진*판매가 - 10/11*판매가 = 10/11*원가 +10/11택배비+(판매가 - 원가 - 수수료 - 택배비)/11*종소세비율</t>
    <phoneticPr fontId="1" type="noConversion"/>
  </si>
  <si>
    <t>마진율 = 판매가 - 원가 - 수수료 - 택배비 - 부가세 - 종소세 / 판매가</t>
    <phoneticPr fontId="1" type="noConversion"/>
  </si>
  <si>
    <t>판매가 * 마진율 = 판매가 - 원가 - 수수료 - 택배비 - 부가세 - 부가세 * 종소세비율</t>
    <phoneticPr fontId="1" type="noConversion"/>
  </si>
  <si>
    <t>판매가 * 마진율 = 판매가 - 원가 - 수수료 - 택배비 - (1+종비)*부가세</t>
    <phoneticPr fontId="1" type="noConversion"/>
  </si>
  <si>
    <t>판매가 * 마진율 - 판매가 =  - 원가 - 수수료 - 택배비 - (1+종비)*((판매가 - 원가 - 수수료 - 택배비)/11)</t>
    <phoneticPr fontId="1" type="noConversion"/>
  </si>
  <si>
    <t>판매가 - 마*판매가 - 수*판매가 = 원가 + 택배비 + 부가세 + 중소세</t>
    <phoneticPr fontId="1" type="noConversion"/>
  </si>
  <si>
    <t>판매가 - 마*판매가 - 수*판매가 = 원가 + 택배비 + (판매가 - 원가 - 수수료 - 택배비)/11 + 중소세</t>
    <phoneticPr fontId="1" type="noConversion"/>
  </si>
  <si>
    <t>11판매가 - 11마*판매가 - 11수*판매가 = 11원가 + 11택배비 + 판매가 - 원가 - 수수료 - 택배비 + 11중소세</t>
    <phoneticPr fontId="1" type="noConversion"/>
  </si>
  <si>
    <t>10판매가 - 11마*판매가 - 11수*판매가 = 10원가 + 10택배비 - 수수료 + 11중소세</t>
    <phoneticPr fontId="1" type="noConversion"/>
  </si>
  <si>
    <t>10판매가 - 11마*판매가 - 11수*판매가 = 10원가 + 10택배비 - (판매가 *수수료율) + 11(부가세 * 종소비율)</t>
    <phoneticPr fontId="1" type="noConversion"/>
  </si>
  <si>
    <t>10판매가 - 11마*판매가 - 10수*판매가 = 10원가 + 10택배비 + 11(부가세 * 종소비율)</t>
    <phoneticPr fontId="1" type="noConversion"/>
  </si>
  <si>
    <t>10판매가 - 11마*판매가 - 10수*판매가 = 10원가 + 10택배비 + 11 * 종소비율 * (판매가 - 원가 - 수수료 - 택배비)/11</t>
    <phoneticPr fontId="1" type="noConversion"/>
  </si>
  <si>
    <t>10판매가 - 11마*판매가 - 10수*판매가 = 10원가 + 10택배비 + 종소비율 * (판매가 - 원가 - 수수료 - 택배비)</t>
    <phoneticPr fontId="1" type="noConversion"/>
  </si>
  <si>
    <t>10판매가 - 11마*판매가 - 10수*판매가 - 종*판매가 + 종*수*판매가 = 10원가 + 10택배비 - 종* 원가 - 종*택배비</t>
    <phoneticPr fontId="1" type="noConversion"/>
  </si>
  <si>
    <t>판매가(10 - 11*마 - 10*수 - 종 + 종*수) = (10 - 종)(원가 + 택배비)</t>
    <phoneticPr fontId="1" type="noConversion"/>
  </si>
  <si>
    <t xml:space="preserve">판매가 = (10 - 종)(원가 + 택배비) / (10 - 11*마 - 10*수 - 종 + 종*수) </t>
    <phoneticPr fontId="1" type="noConversion"/>
  </si>
  <si>
    <t>판매가 = (10 - 종)(원가 + 택배비) / (10-종)(1-수)-11*마</t>
    <phoneticPr fontId="1" type="noConversion"/>
  </si>
  <si>
    <t>종소세</t>
    <phoneticPr fontId="1" type="noConversion"/>
  </si>
  <si>
    <t>수수료</t>
    <phoneticPr fontId="1" type="noConversion"/>
  </si>
  <si>
    <t>신규가2</t>
  </si>
  <si>
    <t>신규가3</t>
  </si>
  <si>
    <t>신규가4</t>
  </si>
  <si>
    <t>신규가5</t>
  </si>
  <si>
    <t>순수익2</t>
  </si>
  <si>
    <t>순수익3</t>
  </si>
  <si>
    <t>순수익4</t>
  </si>
  <si>
    <t>순수익5</t>
  </si>
  <si>
    <t>추가</t>
    <phoneticPr fontId="1" type="noConversion"/>
  </si>
  <si>
    <t>cafe24</t>
    <phoneticPr fontId="1" type="noConversion"/>
  </si>
  <si>
    <t>1.꽃점보롤 묶음</t>
    <phoneticPr fontId="1" type="noConversion"/>
  </si>
  <si>
    <t>꽃점</t>
    <phoneticPr fontId="1" type="noConversion"/>
  </si>
  <si>
    <t>사이트명</t>
    <phoneticPr fontId="1" type="noConversion"/>
  </si>
  <si>
    <t>vat포함</t>
    <phoneticPr fontId="1" type="noConversion"/>
  </si>
  <si>
    <t>쿠팡</t>
    <phoneticPr fontId="1" type="noConversion"/>
  </si>
  <si>
    <t>티몬</t>
    <phoneticPr fontId="1" type="noConversion"/>
  </si>
  <si>
    <t>위메프</t>
    <phoneticPr fontId="1" type="noConversion"/>
  </si>
  <si>
    <t>11번가</t>
    <phoneticPr fontId="1" type="noConversion"/>
  </si>
  <si>
    <t>옥션</t>
    <phoneticPr fontId="1" type="noConversion"/>
  </si>
  <si>
    <t>지마켓</t>
    <phoneticPr fontId="1" type="noConversion"/>
  </si>
  <si>
    <t>스마트스토어</t>
    <phoneticPr fontId="1" type="noConversion"/>
  </si>
  <si>
    <t>쇼핑몰</t>
    <phoneticPr fontId="1" type="noConversion"/>
  </si>
  <si>
    <t>추가3</t>
    <phoneticPr fontId="1" type="noConversion"/>
  </si>
  <si>
    <t>꽃지꿈집</t>
    <phoneticPr fontId="1" type="noConversion"/>
  </si>
  <si>
    <t>꽃지꿈집</t>
    <phoneticPr fontId="1" type="noConversion"/>
  </si>
  <si>
    <t>수수료</t>
    <phoneticPr fontId="1" type="noConversion"/>
  </si>
  <si>
    <t>종소세</t>
    <phoneticPr fontId="1" type="noConversion"/>
  </si>
  <si>
    <t>#</t>
    <phoneticPr fontId="1" type="noConversion"/>
  </si>
  <si>
    <t>상품명</t>
    <phoneticPr fontId="1" type="noConversion"/>
  </si>
  <si>
    <t>수량</t>
    <phoneticPr fontId="1" type="noConversion"/>
  </si>
  <si>
    <t>원가</t>
    <phoneticPr fontId="1" type="noConversion"/>
  </si>
  <si>
    <t>택배비</t>
    <phoneticPr fontId="1" type="noConversion"/>
  </si>
  <si>
    <t>판매가</t>
    <phoneticPr fontId="1" type="noConversion"/>
  </si>
  <si>
    <t>순수익</t>
    <phoneticPr fontId="1" type="noConversion"/>
  </si>
  <si>
    <t>30롤 묶음, 2팩, 3팩 옵션셋팅</t>
    <phoneticPr fontId="1" type="noConversion"/>
  </si>
  <si>
    <t>순수</t>
    <phoneticPr fontId="1" type="noConversion"/>
  </si>
  <si>
    <t>자연</t>
    <phoneticPr fontId="1" type="noConversion"/>
  </si>
  <si>
    <t>꿈집</t>
    <phoneticPr fontId="1" type="noConversion"/>
  </si>
  <si>
    <t>황토</t>
    <phoneticPr fontId="1" type="noConversion"/>
  </si>
  <si>
    <t>판매가 = (10 - 종)(원가 + 택배비) / (-11*마 + (10-종)(1-수))</t>
    <phoneticPr fontId="1" type="noConversion"/>
  </si>
  <si>
    <t>수수료</t>
    <phoneticPr fontId="1" type="noConversion"/>
  </si>
  <si>
    <t>마진</t>
    <phoneticPr fontId="1" type="noConversion"/>
  </si>
  <si>
    <t>실마진율</t>
    <phoneticPr fontId="1" type="noConversion"/>
  </si>
  <si>
    <t>꽃꿈</t>
    <phoneticPr fontId="1" type="noConversion"/>
  </si>
  <si>
    <t>데꿈</t>
    <phoneticPr fontId="1" type="noConversion"/>
  </si>
  <si>
    <t>10롤 묶음 옵션 셋팅</t>
    <phoneticPr fontId="1" type="noConversion"/>
  </si>
  <si>
    <t>원.판</t>
    <phoneticPr fontId="1" type="noConversion"/>
  </si>
  <si>
    <t>원.판</t>
    <phoneticPr fontId="1" type="noConversion"/>
  </si>
  <si>
    <t>점보롤 묶음 옵션 셋팅(300m제외)</t>
    <phoneticPr fontId="1" type="noConversion"/>
  </si>
  <si>
    <t>길이</t>
    <phoneticPr fontId="1" type="noConversion"/>
  </si>
  <si>
    <t>0,0</t>
    <phoneticPr fontId="1" type="noConversion"/>
  </si>
  <si>
    <t>제품명</t>
    <phoneticPr fontId="1" type="noConversion"/>
  </si>
  <si>
    <t>0,0,0,0,0,0</t>
    <phoneticPr fontId="1" type="noConversion"/>
  </si>
  <si>
    <t>순수 30롤, 자연 30롤, 꿈집 30롤, 꽃지꿈집 30롤, 황토 30롤, 데코꿈집 30롤</t>
    <phoneticPr fontId="1" type="noConversion"/>
  </si>
  <si>
    <t>조합형 1개, 1차 : 팩수(개수)</t>
    <phoneticPr fontId="1" type="noConversion"/>
  </si>
  <si>
    <t>개수(팩)</t>
    <phoneticPr fontId="1" type="noConversion"/>
  </si>
  <si>
    <t>조합형 2개, 1차 : 제품명, 2차 : 개수(팩)</t>
    <phoneticPr fontId="1" type="noConversion"/>
  </si>
  <si>
    <t>개수(팩)</t>
    <phoneticPr fontId="1" type="noConversion"/>
  </si>
  <si>
    <t>0,0,0,0</t>
    <phoneticPr fontId="1" type="noConversion"/>
  </si>
  <si>
    <t>조합형 2개, 1차 : 제품명, 2차 : 길이</t>
    <phoneticPr fontId="1" type="noConversion"/>
  </si>
  <si>
    <t>제품명</t>
    <phoneticPr fontId="1" type="noConversion"/>
  </si>
  <si>
    <t>길이</t>
    <phoneticPr fontId="1" type="noConversion"/>
  </si>
  <si>
    <t>고급점보롤(패턴없음), 꽃지점보롤(꽃무늬패턴)</t>
    <phoneticPr fontId="1" type="noConversion"/>
  </si>
  <si>
    <t>0,0</t>
    <phoneticPr fontId="1" type="noConversion"/>
  </si>
  <si>
    <t>0,0,0</t>
    <phoneticPr fontId="1" type="noConversion"/>
  </si>
  <si>
    <t>단품 구성</t>
    <phoneticPr fontId="1" type="noConversion"/>
  </si>
  <si>
    <t>수량</t>
    <phoneticPr fontId="1" type="noConversion"/>
  </si>
  <si>
    <t>순수</t>
    <phoneticPr fontId="1" type="noConversion"/>
  </si>
  <si>
    <t>자연</t>
    <phoneticPr fontId="1" type="noConversion"/>
  </si>
  <si>
    <t>꿈집</t>
    <phoneticPr fontId="1" type="noConversion"/>
  </si>
  <si>
    <t>새피아</t>
    <phoneticPr fontId="1" type="noConversion"/>
  </si>
  <si>
    <t>새피아</t>
    <phoneticPr fontId="1" type="noConversion"/>
  </si>
  <si>
    <t>순수</t>
    <phoneticPr fontId="1" type="noConversion"/>
  </si>
  <si>
    <t>자연</t>
    <phoneticPr fontId="1" type="noConversion"/>
  </si>
  <si>
    <t>꿈집</t>
    <phoneticPr fontId="1" type="noConversion"/>
  </si>
  <si>
    <t>꽃꿈</t>
    <phoneticPr fontId="1" type="noConversion"/>
  </si>
  <si>
    <t>황토</t>
    <phoneticPr fontId="1" type="noConversion"/>
  </si>
  <si>
    <t>데꿈</t>
    <phoneticPr fontId="1" type="noConversion"/>
  </si>
  <si>
    <t>고점</t>
    <phoneticPr fontId="1" type="noConversion"/>
  </si>
  <si>
    <t>고점</t>
    <phoneticPr fontId="1" type="noConversion"/>
  </si>
  <si>
    <t>고점</t>
    <phoneticPr fontId="1" type="noConversion"/>
  </si>
  <si>
    <t>꽃점</t>
    <phoneticPr fontId="1" type="noConversion"/>
  </si>
  <si>
    <t>꽃점</t>
    <phoneticPr fontId="1" type="noConversion"/>
  </si>
  <si>
    <t>꽃점</t>
    <phoneticPr fontId="1" type="noConversion"/>
  </si>
  <si>
    <t>꽃점</t>
    <phoneticPr fontId="1" type="noConversion"/>
  </si>
  <si>
    <t>전체상품 박스 판매가</t>
    <phoneticPr fontId="1" type="noConversion"/>
  </si>
  <si>
    <t>2팩(30롤x2개), 3팩(30롤x3개)</t>
    <phoneticPr fontId="1" type="noConversion"/>
  </si>
  <si>
    <t>5팩(10롤x5개), 6팩(10롤x6개), 7팩(10롤x7개), 10팩(10롤x10개)</t>
    <phoneticPr fontId="1" type="noConversion"/>
  </si>
  <si>
    <t>150m, 180m, 200m</t>
    <phoneticPr fontId="1" type="noConversion"/>
  </si>
  <si>
    <t>열1</t>
    <phoneticPr fontId="1" type="noConversion"/>
  </si>
  <si>
    <t>롯데온</t>
    <phoneticPr fontId="1" type="noConversion"/>
  </si>
  <si>
    <t>인터파크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</si>
</sst>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_ "/>
    <numFmt numFmtId="177" formatCode="0.0%"/>
    <numFmt numFmtId="178" formatCode="#,##0.0_ "/>
    <numFmt numFmtId="179" formatCode="#,##0_);[Red]\(#,##0\)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5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8"/>
      </patternFill>
    </fill>
  </fills>
  <borders count="7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178" fontId="4" fillId="0" borderId="0" xfId="0" applyNumberFormat="1" applyFont="1">
      <alignment vertical="center"/>
    </xf>
    <xf numFmtId="176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77" fontId="0" fillId="0" borderId="0" xfId="0" applyNumberFormat="1">
      <alignment vertical="center"/>
    </xf>
    <xf numFmtId="0" fontId="0" fillId="3" borderId="0" xfId="0" applyFill="1">
      <alignment vertical="center"/>
    </xf>
    <xf numFmtId="177" fontId="2" fillId="0" borderId="0" xfId="0" applyNumberFormat="1" applyFo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6" fontId="4" fillId="0" borderId="0" xfId="0" applyNumberFormat="1" applyFont="1" applyBorder="1">
      <alignment vertical="center"/>
    </xf>
    <xf numFmtId="177" fontId="4" fillId="0" borderId="0" xfId="0" applyNumberFormat="1" applyFont="1" applyBorder="1">
      <alignment vertical="center"/>
    </xf>
    <xf numFmtId="0" fontId="4" fillId="0" borderId="0" xfId="0" applyFont="1">
      <alignment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6" fillId="0" borderId="0" xfId="0" applyFont="1">
      <alignment vertical="center"/>
    </xf>
    <xf numFmtId="10" fontId="3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>
      <alignment vertical="center"/>
    </xf>
    <xf numFmtId="0" fontId="4" fillId="5" borderId="0" xfId="0" applyFont="1" applyFill="1">
      <alignment vertical="center"/>
    </xf>
    <xf numFmtId="176" fontId="4" fillId="5" borderId="0" xfId="0" applyNumberFormat="1" applyFont="1" applyFill="1">
      <alignment vertical="center"/>
    </xf>
    <xf numFmtId="0" fontId="3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right" vertical="center"/>
    </xf>
    <xf numFmtId="176" fontId="4" fillId="6" borderId="0" xfId="0" applyNumberFormat="1" applyFont="1" applyFill="1">
      <alignment vertical="center"/>
    </xf>
    <xf numFmtId="10" fontId="4" fillId="6" borderId="0" xfId="0" applyNumberFormat="1" applyFont="1" applyFill="1">
      <alignment vertical="center"/>
    </xf>
    <xf numFmtId="0" fontId="3" fillId="6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4" borderId="0" xfId="0" applyFont="1" applyFill="1" applyBorder="1" applyAlignment="1">
      <alignment vertical="center"/>
    </xf>
    <xf numFmtId="177" fontId="6" fillId="0" borderId="0" xfId="0" applyNumberFormat="1" applyFont="1" applyBorder="1">
      <alignment vertical="center"/>
    </xf>
    <xf numFmtId="178" fontId="0" fillId="0" borderId="0" xfId="0" applyNumberFormat="1">
      <alignment vertical="center"/>
    </xf>
    <xf numFmtId="178" fontId="3" fillId="0" borderId="0" xfId="0" applyNumberFormat="1" applyFont="1">
      <alignment vertical="center"/>
    </xf>
    <xf numFmtId="10" fontId="0" fillId="0" borderId="0" xfId="0" applyNumberFormat="1">
      <alignment vertical="center"/>
    </xf>
    <xf numFmtId="176" fontId="6" fillId="0" borderId="1" xfId="0" applyNumberFormat="1" applyFont="1" applyBorder="1">
      <alignment vertical="center"/>
    </xf>
    <xf numFmtId="0" fontId="2" fillId="3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7" fillId="7" borderId="2" xfId="0" applyFont="1" applyFill="1" applyBorder="1">
      <alignment vertical="center"/>
    </xf>
    <xf numFmtId="10" fontId="3" fillId="8" borderId="2" xfId="0" applyNumberFormat="1" applyFont="1" applyFill="1" applyBorder="1">
      <alignment vertical="center"/>
    </xf>
    <xf numFmtId="0" fontId="0" fillId="9" borderId="0" xfId="0" applyFill="1">
      <alignment vertical="center"/>
    </xf>
    <xf numFmtId="176" fontId="6" fillId="0" borderId="0" xfId="0" applyNumberFormat="1" applyFont="1">
      <alignment vertical="center"/>
    </xf>
    <xf numFmtId="176" fontId="6" fillId="5" borderId="0" xfId="0" applyNumberFormat="1" applyFont="1" applyFill="1">
      <alignment vertical="center"/>
    </xf>
    <xf numFmtId="10" fontId="6" fillId="0" borderId="0" xfId="0" applyNumberFormat="1" applyFont="1">
      <alignment vertical="center"/>
    </xf>
    <xf numFmtId="10" fontId="6" fillId="8" borderId="2" xfId="0" applyNumberFormat="1" applyFont="1" applyFill="1" applyBorder="1">
      <alignment vertical="center"/>
    </xf>
    <xf numFmtId="178" fontId="6" fillId="0" borderId="0" xfId="0" applyNumberFormat="1" applyFont="1">
      <alignment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>
      <alignment vertical="center"/>
    </xf>
    <xf numFmtId="176" fontId="6" fillId="6" borderId="0" xfId="0" applyNumberFormat="1" applyFont="1" applyFill="1">
      <alignment vertical="center"/>
    </xf>
    <xf numFmtId="10" fontId="6" fillId="6" borderId="0" xfId="0" applyNumberFormat="1" applyFont="1" applyFill="1">
      <alignment vertical="center"/>
    </xf>
    <xf numFmtId="0" fontId="6" fillId="6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0" fontId="6" fillId="5" borderId="0" xfId="0" applyFont="1" applyFill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7" fillId="10" borderId="1" xfId="0" applyFont="1" applyFill="1" applyBorder="1" applyAlignment="1">
      <alignment vertical="center"/>
    </xf>
    <xf numFmtId="0" fontId="4" fillId="3" borderId="0" xfId="0" applyFont="1" applyFill="1" applyAlignment="1">
      <alignment horizontal="center" vertical="center"/>
    </xf>
    <xf numFmtId="176" fontId="6" fillId="3" borderId="0" xfId="0" applyNumberFormat="1" applyFont="1" applyFill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9" borderId="0" xfId="0" applyFont="1" applyFill="1">
      <alignment vertical="center"/>
    </xf>
    <xf numFmtId="0" fontId="6" fillId="9" borderId="0" xfId="0" applyFont="1" applyFill="1" applyAlignment="1">
      <alignment vertical="center"/>
    </xf>
    <xf numFmtId="176" fontId="6" fillId="9" borderId="0" xfId="0" applyNumberFormat="1" applyFont="1" applyFill="1">
      <alignment vertical="center"/>
    </xf>
    <xf numFmtId="176" fontId="2" fillId="9" borderId="0" xfId="0" applyNumberFormat="1" applyFont="1" applyFill="1">
      <alignment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5" xfId="0" applyFont="1" applyFill="1" applyBorder="1">
      <alignment vertical="center"/>
    </xf>
    <xf numFmtId="176" fontId="6" fillId="9" borderId="5" xfId="0" applyNumberFormat="1" applyFont="1" applyFill="1" applyBorder="1">
      <alignment vertical="center"/>
    </xf>
    <xf numFmtId="10" fontId="6" fillId="9" borderId="5" xfId="0" applyNumberFormat="1" applyFont="1" applyFill="1" applyBorder="1">
      <alignment vertical="center"/>
    </xf>
    <xf numFmtId="177" fontId="6" fillId="9" borderId="5" xfId="0" applyNumberFormat="1" applyFont="1" applyFill="1" applyBorder="1">
      <alignment vertical="center"/>
    </xf>
    <xf numFmtId="0" fontId="2" fillId="9" borderId="4" xfId="0" applyFont="1" applyFill="1" applyBorder="1">
      <alignment vertical="center"/>
    </xf>
    <xf numFmtId="176" fontId="2" fillId="9" borderId="5" xfId="0" applyNumberFormat="1" applyFont="1" applyFill="1" applyBorder="1">
      <alignment vertical="center"/>
    </xf>
    <xf numFmtId="177" fontId="2" fillId="9" borderId="5" xfId="0" applyNumberFormat="1" applyFont="1" applyFill="1" applyBorder="1">
      <alignment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vertical="center"/>
    </xf>
    <xf numFmtId="176" fontId="6" fillId="3" borderId="5" xfId="0" applyNumberFormat="1" applyFont="1" applyFill="1" applyBorder="1">
      <alignment vertical="center"/>
    </xf>
    <xf numFmtId="176" fontId="6" fillId="3" borderId="6" xfId="0" applyNumberFormat="1" applyFont="1" applyFill="1" applyBorder="1">
      <alignment vertical="center"/>
    </xf>
    <xf numFmtId="176" fontId="2" fillId="3" borderId="5" xfId="0" applyNumberFormat="1" applyFont="1" applyFill="1" applyBorder="1">
      <alignment vertical="center"/>
    </xf>
    <xf numFmtId="176" fontId="2" fillId="3" borderId="6" xfId="0" applyNumberFormat="1" applyFont="1" applyFill="1" applyBorder="1">
      <alignment vertical="center"/>
    </xf>
    <xf numFmtId="179" fontId="6" fillId="3" borderId="5" xfId="0" applyNumberFormat="1" applyFont="1" applyFill="1" applyBorder="1">
      <alignment vertical="center"/>
    </xf>
    <xf numFmtId="179" fontId="2" fillId="9" borderId="5" xfId="0" applyNumberFormat="1" applyFont="1" applyFill="1" applyBorder="1">
      <alignment vertical="center"/>
    </xf>
    <xf numFmtId="177" fontId="2" fillId="9" borderId="6" xfId="0" applyNumberFormat="1" applyFont="1" applyFill="1" applyBorder="1">
      <alignment vertical="center"/>
    </xf>
    <xf numFmtId="176" fontId="10" fillId="0" borderId="0" xfId="0" applyNumberFormat="1" applyFont="1">
      <alignment vertical="center"/>
    </xf>
    <xf numFmtId="177" fontId="10" fillId="0" borderId="0" xfId="0" applyNumberFormat="1" applyFo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left" vertical="center"/>
    </xf>
    <xf numFmtId="0" fontId="2" fillId="9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123"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rgb="FF000000"/>
        <name val="맑은 고딕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  <fill>
        <patternFill patternType="solid">
          <fgColor indexed="64"/>
          <bgColor theme="4" tint="0.59999389629810485"/>
        </patternFill>
      </fill>
    </dxf>
    <dxf>
      <numFmt numFmtId="176" formatCode="#,##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  <fill>
        <patternFill patternType="solid">
          <fgColor indexed="64"/>
          <bgColor theme="4" tint="0.5999938962981048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rgb="FF000000"/>
        <name val="맑은 고딕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  <fill>
        <patternFill patternType="solid">
          <fgColor indexed="64"/>
          <bgColor theme="4" tint="0.59999389629810485"/>
        </patternFill>
      </fill>
    </dxf>
    <dxf>
      <numFmt numFmtId="176" formatCode="#,##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  <fill>
        <patternFill patternType="solid">
          <fgColor indexed="64"/>
          <bgColor theme="4" tint="0.5999938962981048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rgb="FF000000"/>
        <name val="맑은 고딕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  <fill>
        <patternFill patternType="solid">
          <fgColor indexed="64"/>
          <bgColor theme="4" tint="0.59999389629810485"/>
        </patternFill>
      </fill>
    </dxf>
    <dxf>
      <numFmt numFmtId="176" formatCode="#,##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  <fill>
        <patternFill patternType="solid">
          <fgColor indexed="64"/>
          <bgColor theme="4" tint="0.5999938962981048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  <fill>
        <patternFill patternType="solid">
          <fgColor indexed="64"/>
          <bgColor theme="4" tint="0.59999389629810485"/>
        </patternFill>
      </fill>
    </dxf>
    <dxf>
      <numFmt numFmtId="176" formatCode="#,##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  <fill>
        <patternFill patternType="solid">
          <fgColor indexed="64"/>
          <bgColor theme="4" tint="0.5999938962981048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맑은 고딕"/>
        <scheme val="none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10"/>
        <color rgb="FF000000"/>
        <name val="맑은 고딕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numFmt numFmtId="176" formatCode="#,##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  <fill>
        <patternFill patternType="solid">
          <fgColor indexed="64"/>
          <bgColor theme="4" tint="0.5999938962981048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맑은 고딕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176" formatCode="#,##0_ "/>
      <fill>
        <patternFill patternType="solid">
          <fgColor indexed="64"/>
          <bgColor theme="7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176" formatCode="#,##0_ "/>
      <fill>
        <patternFill patternType="solid">
          <fgColor indexed="64"/>
          <bgColor theme="7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176" formatCode="#,##0_ "/>
      <fill>
        <patternFill patternType="solid">
          <fgColor indexed="64"/>
          <bgColor theme="7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176" formatCode="#,##0_ "/>
      <fill>
        <patternFill patternType="solid">
          <fgColor indexed="64"/>
          <bgColor theme="7" tint="0.39997558519241921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9"/>
        <color theme="1"/>
        <name val="맑은 고딕"/>
        <scheme val="minor"/>
      </font>
      <numFmt numFmtId="176" formatCode="#,##0_ "/>
    </dxf>
    <dxf>
      <font>
        <strike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numFmt numFmtId="176" formatCode="#,##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176" formatCode="#,##0_ "/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176" formatCode="#,##0_ "/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176" formatCode="#,##0_ "/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176" formatCode="#,##0_ "/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176" formatCode="#,##0_ "/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맑은 고딕"/>
        <scheme val="minor"/>
      </font>
      <numFmt numFmtId="176" formatCode="#,##0_ "/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176" formatCode="#,##0_ "/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176" formatCode="#,##0_ "/>
      <fill>
        <patternFill patternType="solid">
          <fgColor indexed="64"/>
          <bgColor theme="4" tint="0.59999389629810485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176" formatCode="#,##0_ "/>
    </dxf>
    <dxf>
      <numFmt numFmtId="176" formatCode="#,##0_ "/>
    </dxf>
    <dxf>
      <numFmt numFmtId="176" formatCode="#,##0_ "/>
    </dxf>
    <dxf>
      <numFmt numFmtId="176" formatCode="#,##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numFmt numFmtId="176" formatCode="#,##0_ "/>
    </dxf>
    <dxf>
      <numFmt numFmtId="176" formatCode="#,##0_ "/>
    </dxf>
    <dxf>
      <numFmt numFmtId="176" formatCode="#,##0_ "/>
    </dxf>
    <dxf>
      <numFmt numFmtId="176" formatCode="#,##0_ "/>
    </dxf>
    <dxf>
      <numFmt numFmtId="176" formatCode="#,##0_ "/>
    </dxf>
    <dxf>
      <numFmt numFmtId="176" formatCode="#,##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numFmt numFmtId="176" formatCode="#,##0_ "/>
    </dxf>
    <dxf>
      <font>
        <strike val="0"/>
        <outline val="0"/>
        <shadow val="0"/>
        <u val="none"/>
        <vertAlign val="baseline"/>
        <sz val="10"/>
        <color theme="1"/>
        <name val="맑은 고딕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7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7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7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6" formatCode="#,##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77" formatCode="0.0%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colors>
    <mruColors>
      <color rgb="FFFF4F4F"/>
      <color rgb="FFFF0000"/>
      <color rgb="FFFD311B"/>
      <color rgb="FFFF45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표3" displayName="표3" ref="B3:L33" totalsRowShown="0" headerRowDxfId="122" dataDxfId="121" tableBorderDxfId="120">
  <tableColumns count="11">
    <tableColumn id="1" xr3:uid="{00000000-0010-0000-0000-000001000000}" name="#" dataDxfId="119"/>
    <tableColumn id="2" xr3:uid="{00000000-0010-0000-0000-000002000000}" name="상품명" dataDxfId="118"/>
    <tableColumn id="3" xr3:uid="{00000000-0010-0000-0000-000003000000}" name="롤&amp;매수" dataDxfId="117"/>
    <tableColumn id="4" xr3:uid="{00000000-0010-0000-0000-000004000000}" name="원가" dataDxfId="116"/>
    <tableColumn id="5" xr3:uid="{00000000-0010-0000-0000-000005000000}" name="기존가" dataDxfId="115"/>
    <tableColumn id="6" xr3:uid="{00000000-0010-0000-0000-000006000000}" name="기존마진" dataDxfId="114">
      <calculatedColumnFormula>(F4-E4)/F4</calculatedColumnFormula>
    </tableColumn>
    <tableColumn id="7" xr3:uid="{00000000-0010-0000-0000-000007000000}" name="신규가" dataDxfId="113"/>
    <tableColumn id="8" xr3:uid="{00000000-0010-0000-0000-000008000000}" name="신규마진" dataDxfId="112">
      <calculatedColumnFormula>(H4-E4)/H4</calculatedColumnFormula>
    </tableColumn>
    <tableColumn id="9" xr3:uid="{00000000-0010-0000-0000-000009000000}" name="수출가" dataDxfId="111"/>
    <tableColumn id="10" xr3:uid="{00000000-0010-0000-0000-00000A000000}" name="수출마진" dataDxfId="110">
      <calculatedColumnFormula>IF(J4=0, 0, (J4-E4)/J4)</calculatedColumnFormula>
    </tableColumn>
    <tableColumn id="11" xr3:uid="{00000000-0010-0000-0000-00000B000000}" name="인터넷판매가" dataDxfId="109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표6_210" displayName="표6_210" ref="B3:G32" totalsRowShown="0" headerRowDxfId="38">
  <tableColumns count="6">
    <tableColumn id="1" xr3:uid="{00000000-0010-0000-0900-000001000000}" name="#"/>
    <tableColumn id="2" xr3:uid="{00000000-0010-0000-0900-000002000000}" name="상품명"/>
    <tableColumn id="3" xr3:uid="{00000000-0010-0000-0900-000003000000}" name="롤"/>
    <tableColumn id="19" xr3:uid="{00000000-0010-0000-0900-000013000000}" name="원가" dataDxfId="37">
      <calculatedColumnFormula>표3[[#This Row],[원가]]</calculatedColumnFormula>
    </tableColumn>
    <tableColumn id="6" xr3:uid="{00000000-0010-0000-0900-000006000000}" name="신규가" dataDxfId="36">
      <calculatedColumnFormula>ROUND(표3[[#This Row],[원가]]/(1-#REF!), -1)</calculatedColumnFormula>
    </tableColumn>
    <tableColumn id="4" xr3:uid="{00000000-0010-0000-0900-000004000000}" name="차이" dataDxfId="35">
      <calculatedColumnFormula>IF(표3[[#This Row],[인터넷판매가]] = 0, 0, 표6_210[[#This Row],[신규가]]-표3[[#This Row],[인터넷판매가]])</calculatedColumnFormula>
    </tableColumn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표5_11" displayName="표5_11" ref="I3:O32" totalsRowShown="0" headerRowDxfId="34" dataDxfId="33">
  <autoFilter ref="I3:O32" xr:uid="{00000000-0009-0000-0100-00000A000000}"/>
  <tableColumns count="7">
    <tableColumn id="1" xr3:uid="{00000000-0010-0000-0A00-000001000000}" name="수수료" dataDxfId="32">
      <calculatedColumnFormula>ROUND(표6_210[[#This Row],[신규가]]*$C$2, 0)</calculatedColumnFormula>
    </tableColumn>
    <tableColumn id="2" xr3:uid="{00000000-0010-0000-0A00-000002000000}" name="택배비" dataDxfId="31"/>
    <tableColumn id="3" xr3:uid="{00000000-0010-0000-0A00-000003000000}" name="부가세" dataDxfId="30">
      <calculatedColumnFormula>ROUND(표6_210[[#This Row],[신규가]]/11-표3[[#This Row],[원가]]/11-표5_11[[#This Row],[수수료]]/11-표5_11[[#This Row],[택배비]]/11, 0)</calculatedColumnFormula>
    </tableColumn>
    <tableColumn id="4" xr3:uid="{00000000-0010-0000-0A00-000004000000}" name="종소세" dataDxfId="29">
      <calculatedColumnFormula>ROUND(표5_11[[#This Row],[부가세]]*$F$2, 0)</calculatedColumnFormula>
    </tableColumn>
    <tableColumn id="5" xr3:uid="{00000000-0010-0000-0A00-000005000000}" name="순수익" dataDxfId="28">
      <calculatedColumnFormula>표6_210[[#This Row],[신규가]]-표3[[#This Row],[원가]]-표5_11[[#This Row],[수수료]]-표5_11[[#This Row],[택배비]]-표5_11[[#This Row],[부가세]]-표5_11[[#This Row],[종소세]]</calculatedColumnFormula>
    </tableColumn>
    <tableColumn id="6" xr3:uid="{00000000-0010-0000-0A00-000006000000}" name="마진율" dataDxfId="27">
      <calculatedColumnFormula>IF(표6_210[[#This Row],[신규가]] = 0, 0, 표5_11[[#This Row],[순수익]]/표6_210[[#This Row],[신규가]])</calculatedColumnFormula>
    </tableColumn>
    <tableColumn id="7" xr3:uid="{00000000-0010-0000-0A00-000007000000}" name="여부" dataDxfId="26"/>
  </tableColumns>
  <tableStyleInfo name="TableStyleMedium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B000000}" name="표6_21012" displayName="표6_21012" ref="B3:G32" totalsRowShown="0" headerRowDxfId="25">
  <tableColumns count="6">
    <tableColumn id="1" xr3:uid="{00000000-0010-0000-0B00-000001000000}" name="#"/>
    <tableColumn id="2" xr3:uid="{00000000-0010-0000-0B00-000002000000}" name="상품명"/>
    <tableColumn id="3" xr3:uid="{00000000-0010-0000-0B00-000003000000}" name="롤"/>
    <tableColumn id="19" xr3:uid="{00000000-0010-0000-0B00-000013000000}" name="원가" dataDxfId="24">
      <calculatedColumnFormula>표3[[#This Row],[원가]]</calculatedColumnFormula>
    </tableColumn>
    <tableColumn id="6" xr3:uid="{00000000-0010-0000-0B00-000006000000}" name="신규가" dataDxfId="23">
      <calculatedColumnFormula>ROUND(표3[[#This Row],[원가]]/(1-#REF!), -1)</calculatedColumnFormula>
    </tableColumn>
    <tableColumn id="4" xr3:uid="{00000000-0010-0000-0B00-000004000000}" name="차이" dataDxfId="22">
      <calculatedColumnFormula>IF(표3[[#This Row],[인터넷판매가]] = 0, 0, 표6_21012[[#This Row],[신규가]]-표3[[#This Row],[인터넷판매가]])</calculatedColumnFormula>
    </tableColumn>
  </tableColumns>
  <tableStyleInfo name="TableStyleMedium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C000000}" name="표5_1113" displayName="표5_1113" ref="I3:O32" totalsRowShown="0" headerRowDxfId="21" dataDxfId="20">
  <autoFilter ref="I3:O32" xr:uid="{00000000-0009-0000-0100-00000C000000}"/>
  <tableColumns count="7">
    <tableColumn id="1" xr3:uid="{00000000-0010-0000-0C00-000001000000}" name="수수료" dataDxfId="19">
      <calculatedColumnFormula>ROUND(표6_21012[[#This Row],[신규가]]*$C$2, 0)</calculatedColumnFormula>
    </tableColumn>
    <tableColumn id="2" xr3:uid="{00000000-0010-0000-0C00-000002000000}" name="택배비" dataDxfId="18"/>
    <tableColumn id="3" xr3:uid="{00000000-0010-0000-0C00-000003000000}" name="부가세" dataDxfId="17">
      <calculatedColumnFormula>ROUND(표6_21012[[#This Row],[신규가]]/11-표3[[#This Row],[원가]]/11-표5_1113[[#This Row],[수수료]]/11-표5_1113[[#This Row],[택배비]]/11, 0)</calculatedColumnFormula>
    </tableColumn>
    <tableColumn id="4" xr3:uid="{00000000-0010-0000-0C00-000004000000}" name="종소세" dataDxfId="16">
      <calculatedColumnFormula>ROUND(표5_1113[[#This Row],[부가세]]*$F$2, 0)</calculatedColumnFormula>
    </tableColumn>
    <tableColumn id="5" xr3:uid="{00000000-0010-0000-0C00-000005000000}" name="순수익" dataDxfId="15">
      <calculatedColumnFormula>표6_21012[[#This Row],[신규가]]-표3[[#This Row],[원가]]-표5_1113[[#This Row],[수수료]]-표5_1113[[#This Row],[택배비]]-표5_1113[[#This Row],[부가세]]-표5_1113[[#This Row],[종소세]]</calculatedColumnFormula>
    </tableColumn>
    <tableColumn id="6" xr3:uid="{00000000-0010-0000-0C00-000006000000}" name="마진율" dataDxfId="14">
      <calculatedColumnFormula>IF(표6_21012[[#This Row],[신규가]] = 0, 0, 표5_1113[[#This Row],[순수익]]/표6_21012[[#This Row],[신규가]])</calculatedColumnFormula>
    </tableColumn>
    <tableColumn id="7" xr3:uid="{00000000-0010-0000-0C00-000007000000}" name="여부" dataDxfId="13"/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D000000}" name="표6_2101214" displayName="표6_2101214" ref="B3:G32" totalsRowShown="0" headerRowDxfId="12">
  <tableColumns count="6">
    <tableColumn id="1" xr3:uid="{00000000-0010-0000-0D00-000001000000}" name="#"/>
    <tableColumn id="2" xr3:uid="{00000000-0010-0000-0D00-000002000000}" name="상품명"/>
    <tableColumn id="3" xr3:uid="{00000000-0010-0000-0D00-000003000000}" name="롤"/>
    <tableColumn id="19" xr3:uid="{00000000-0010-0000-0D00-000013000000}" name="원가" dataDxfId="11">
      <calculatedColumnFormula>표3[[#This Row],[원가]]</calculatedColumnFormula>
    </tableColumn>
    <tableColumn id="6" xr3:uid="{00000000-0010-0000-0D00-000006000000}" name="신규가" dataDxfId="10">
      <calculatedColumnFormula>ROUND(표3[[#This Row],[원가]]/(1-#REF!), -1)</calculatedColumnFormula>
    </tableColumn>
    <tableColumn id="4" xr3:uid="{00000000-0010-0000-0D00-000004000000}" name="차이" dataDxfId="9">
      <calculatedColumnFormula>IF(표3[[#This Row],[인터넷판매가]] = 0, 0, 표6_2101214[[#This Row],[신규가]]-표3[[#This Row],[인터넷판매가]])</calculatedColumnFormula>
    </tableColumn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E000000}" name="표5_111315" displayName="표5_111315" ref="I3:O32" totalsRowShown="0" headerRowDxfId="8" dataDxfId="7">
  <autoFilter ref="I3:O32" xr:uid="{00000000-0009-0000-0100-00000E000000}"/>
  <tableColumns count="7">
    <tableColumn id="1" xr3:uid="{00000000-0010-0000-0E00-000001000000}" name="수수료" dataDxfId="6">
      <calculatedColumnFormula>ROUND(표6_2101214[[#This Row],[신규가]]*$C$2, 0)</calculatedColumnFormula>
    </tableColumn>
    <tableColumn id="2" xr3:uid="{00000000-0010-0000-0E00-000002000000}" name="택배비" dataDxfId="5"/>
    <tableColumn id="3" xr3:uid="{00000000-0010-0000-0E00-000003000000}" name="부가세" dataDxfId="4">
      <calculatedColumnFormula>ROUND(표6_2101214[[#This Row],[신규가]]/11-표3[[#This Row],[원가]]/11-표5_111315[[#This Row],[수수료]]/11-표5_111315[[#This Row],[택배비]]/11, 0)</calculatedColumnFormula>
    </tableColumn>
    <tableColumn id="4" xr3:uid="{00000000-0010-0000-0E00-000004000000}" name="종소세" dataDxfId="3">
      <calculatedColumnFormula>ROUND(표5_111315[[#This Row],[부가세]]*$F$2, 0)</calculatedColumnFormula>
    </tableColumn>
    <tableColumn id="5" xr3:uid="{00000000-0010-0000-0E00-000005000000}" name="순수익" dataDxfId="2">
      <calculatedColumnFormula>표6_2101214[[#This Row],[신규가]]-표3[[#This Row],[원가]]-표5_111315[[#This Row],[수수료]]-표5_111315[[#This Row],[택배비]]-표5_111315[[#This Row],[부가세]]-표5_111315[[#This Row],[종소세]]</calculatedColumnFormula>
    </tableColumn>
    <tableColumn id="6" xr3:uid="{00000000-0010-0000-0E00-000006000000}" name="마진율" dataDxfId="1">
      <calculatedColumnFormula>IF(표6_2101214[[#This Row],[신규가]] = 0, 0, 표5_111315[[#This Row],[순수익]]/표6_2101214[[#This Row],[신규가]])</calculatedColumnFormula>
    </tableColumn>
    <tableColumn id="7" xr3:uid="{00000000-0010-0000-0E00-000007000000}" name="여부" dataDxfId="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1000000}" name="표5_16" displayName="표5_16" ref="N2:P12" totalsRowShown="0" headerRowDxfId="108" dataDxfId="107">
  <tableColumns count="3">
    <tableColumn id="1" xr3:uid="{00000000-0010-0000-0100-000001000000}" name="사이트명" dataDxfId="106"/>
    <tableColumn id="2" xr3:uid="{00000000-0010-0000-0100-000002000000}" name="수수료" dataDxfId="105"/>
    <tableColumn id="3" xr3:uid="{00000000-0010-0000-0100-000003000000}" name="vat포함" dataDxfId="104">
      <calculatedColumnFormula>표5_16[[#This Row],[수수료]]*1.1</calculatedColumnFormula>
    </tableColumn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표6" displayName="표6" ref="B3:R23" totalsRowShown="0" headerRowDxfId="103">
  <autoFilter ref="B3:R23" xr:uid="{00000000-0009-0000-0100-000006000000}">
    <filterColumn colId="15">
      <filters>
        <filter val="Y"/>
      </filters>
    </filterColumn>
  </autoFilter>
  <tableColumns count="17">
    <tableColumn id="1" xr3:uid="{00000000-0010-0000-0200-000001000000}" name="#"/>
    <tableColumn id="2" xr3:uid="{00000000-0010-0000-0200-000002000000}" name="상품명"/>
    <tableColumn id="3" xr3:uid="{00000000-0010-0000-0200-000003000000}" name="롤"/>
    <tableColumn id="4" xr3:uid="{00000000-0010-0000-0200-000004000000}" name="기존가" dataDxfId="102"/>
    <tableColumn id="15" xr3:uid="{00000000-0010-0000-0200-00000F000000}" name="가격차" dataDxfId="101">
      <calculatedColumnFormula>표6[[#This Row],[신규가]]-표6[[#This Row],[기존가]]</calculatedColumnFormula>
    </tableColumn>
    <tableColumn id="5" xr3:uid="{00000000-0010-0000-0200-000005000000}" name="마진" dataDxfId="100"/>
    <tableColumn id="6" xr3:uid="{00000000-0010-0000-0200-000006000000}" name="신규가" dataDxfId="99">
      <calculatedColumnFormula>ROUND(표3[[#This Row],[신규가]]/((100-표6[[#This Row],[마진]])/100), -2)</calculatedColumnFormula>
    </tableColumn>
    <tableColumn id="7" xr3:uid="{00000000-0010-0000-0200-000007000000}" name="수수료" dataDxfId="98">
      <calculatedColumnFormula>표6[[#This Row],[신규가]]*$I$2</calculatedColumnFormula>
    </tableColumn>
    <tableColumn id="8" xr3:uid="{00000000-0010-0000-0200-000008000000}" name="택배비"/>
    <tableColumn id="9" xr3:uid="{00000000-0010-0000-0200-000009000000}" name="부가세" dataDxfId="97">
      <calculatedColumnFormula>표6[[#This Row],[신규가]]/11-표3[[#This Row],[원가]]/11-표6[[#This Row],[수수료]]/11-표6[[#This Row],[택배비]]/11</calculatedColumnFormula>
    </tableColumn>
    <tableColumn id="10" xr3:uid="{00000000-0010-0000-0200-00000A000000}" name="중소세" dataDxfId="96">
      <calculatedColumnFormula>표6[[#This Row],[부가세]]*$L$2</calculatedColumnFormula>
    </tableColumn>
    <tableColumn id="13" xr3:uid="{00000000-0010-0000-0200-00000D000000}" name="순수익" dataDxfId="95">
      <calculatedColumnFormula>표6[[#This Row],[신규가]]-표3[[#This Row],[원가]]-표6[[#This Row],[수수료]]-표6[[#This Row],[택배비]]-표6[[#This Row],[부가세]]-표6[[#This Row],[중소세]]</calculatedColumnFormula>
    </tableColumn>
    <tableColumn id="16" xr3:uid="{00000000-0010-0000-0200-000010000000}" name="마진율" dataDxfId="94">
      <calculatedColumnFormula>표6[[#This Row],[순수익]]/표6[[#This Row],[신규가]]</calculatedColumnFormula>
    </tableColumn>
    <tableColumn id="11" xr3:uid="{00000000-0010-0000-0200-00000B000000}" name="1차수익" dataDxfId="93">
      <calculatedColumnFormula>표3[[#This Row],[신규가]]-표3[[#This Row],[원가]]</calculatedColumnFormula>
    </tableColumn>
    <tableColumn id="14" xr3:uid="{00000000-0010-0000-0200-00000E000000}" name="2차수익" dataDxfId="92">
      <calculatedColumnFormula>표6[[#This Row],[순수익]]-표6[[#This Row],[1차수익]]</calculatedColumnFormula>
    </tableColumn>
    <tableColumn id="12" xr3:uid="{00000000-0010-0000-0200-00000C000000}" name="여부" dataDxfId="91">
      <calculatedColumnFormula>표6[[#This Row],[순수익]]-표6[[#This Row],[1차수익]]</calculatedColumnFormula>
    </tableColumn>
    <tableColumn id="17" xr3:uid="{00000000-0010-0000-0200-000011000000}" name=" " dataDxfId="90">
      <calculatedColumnFormula>(표6[[#This Row],[신규가]]-표3[[#This Row],[원가]])/표6[[#This Row],[신규가]]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표6_238" displayName="표6_238" ref="B4:L35" totalsRowCount="1" headerRowDxfId="89" dataDxfId="88">
  <tableColumns count="11">
    <tableColumn id="1" xr3:uid="{00000000-0010-0000-0300-000001000000}" name="#" dataDxfId="87"/>
    <tableColumn id="2" xr3:uid="{00000000-0010-0000-0300-000002000000}" name="상품명" dataDxfId="86"/>
    <tableColumn id="3" xr3:uid="{00000000-0010-0000-0300-000003000000}" name="롤" dataDxfId="85"/>
    <tableColumn id="19" xr3:uid="{00000000-0010-0000-0300-000013000000}" name="원가" dataDxfId="84">
      <calculatedColumnFormula>오프_판매가!E4</calculatedColumnFormula>
    </tableColumn>
    <tableColumn id="4" xr3:uid="{00000000-0010-0000-0300-000004000000}" name="추가" dataDxfId="83"/>
    <tableColumn id="6" xr3:uid="{00000000-0010-0000-0300-000006000000}" name="신규가" dataDxfId="82" totalsRowDxfId="81">
      <calculatedColumnFormula>ROUND((10 - $C$3)*(표6_238[[#This Row],[원가]]+표5_59[[#This Row],[택배비]])/(-11*표5_59[[#This Row],[마진율]]+(10-$C$3)*(1-$G$3)), -1)+표6_238[[#This Row],[추가]]</calculatedColumnFormula>
    </tableColumn>
    <tableColumn id="5" xr3:uid="{00000000-0010-0000-0300-000005000000}" name="신규가2" dataDxfId="80">
      <calculatedColumnFormula>ROUND((10 - $C$3)*(표6_238[[#This Row],[원가]]+표5_59[[#This Row],[택배비]])/(-11*표5_59[[#This Row],[마진율]]+(10-$C$3)*(1-$H$3)), -1)</calculatedColumnFormula>
    </tableColumn>
    <tableColumn id="10" xr3:uid="{00000000-0010-0000-0300-00000A000000}" name="추가3" dataDxfId="79"/>
    <tableColumn id="7" xr3:uid="{00000000-0010-0000-0300-000007000000}" name="신규가3" dataDxfId="78">
      <calculatedColumnFormula>ROUND((10 - $C$3)*(표6_238[[#This Row],[원가]]+표5_59[[#This Row],[택배비]])/(-11*표5_59[[#This Row],[마진율]]+(10-$C$3)*(1-$J$3)), -1)+표6_238[[#This Row],[추가3]]</calculatedColumnFormula>
    </tableColumn>
    <tableColumn id="8" xr3:uid="{00000000-0010-0000-0300-000008000000}" name="신규가4" dataDxfId="77">
      <calculatedColumnFormula>ROUND((10 - $C$3)*(표6_238[[#This Row],[원가]]+표5_59[[#This Row],[택배비]])/(-11*표5_59[[#This Row],[마진율]]+(10-$C$3)*(1-$K$3)), -1)</calculatedColumnFormula>
    </tableColumn>
    <tableColumn id="9" xr3:uid="{00000000-0010-0000-0300-000009000000}" name="신규가5" dataDxfId="76" totalsRowDxfId="75">
      <calculatedColumnFormula>ROUND((10 - $C$3)*(표6_238[[#This Row],[원가]]+표5_59[[#This Row],[택배비]])/(-11*표5_59[[#This Row],[마진율]]+(10-$C$3)*(1-$L$3)), -1)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표5_59" displayName="표5_59" ref="N4:U34" totalsRowShown="0" headerRowDxfId="74" dataDxfId="73">
  <autoFilter ref="N4:U34" xr:uid="{00000000-0009-0000-0100-000008000000}"/>
  <tableColumns count="8">
    <tableColumn id="2" xr3:uid="{00000000-0010-0000-0400-000002000000}" name="택배비" dataDxfId="72"/>
    <tableColumn id="5" xr3:uid="{00000000-0010-0000-0400-000005000000}" name="순수익" dataDxfId="71">
      <calculatedColumnFormula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calculatedColumnFormula>
    </tableColumn>
    <tableColumn id="4" xr3:uid="{00000000-0010-0000-0400-000004000000}" name="순수익2" dataDxfId="70">
      <calculatedColumnFormula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calculatedColumnFormula>
    </tableColumn>
    <tableColumn id="3" xr3:uid="{00000000-0010-0000-0400-000003000000}" name="순수익3" dataDxfId="69">
      <calculatedColumnFormula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calculatedColumnFormula>
    </tableColumn>
    <tableColumn id="1" xr3:uid="{00000000-0010-0000-0400-000001000000}" name="순수익4" dataDxfId="68">
      <calculatedColumnFormula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calculatedColumnFormula>
    </tableColumn>
    <tableColumn id="9" xr3:uid="{00000000-0010-0000-0400-000009000000}" name="순수익5" dataDxfId="67">
      <calculatedColumnFormula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calculatedColumnFormula>
    </tableColumn>
    <tableColumn id="6" xr3:uid="{00000000-0010-0000-0400-000006000000}" name="마진율" dataDxfId="66"/>
    <tableColumn id="7" xr3:uid="{00000000-0010-0000-0400-000007000000}" name="여부" dataDxfId="65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표6_23" displayName="표6_23" ref="B3:F32" totalsRowShown="0" headerRowDxfId="64">
  <tableColumns count="5">
    <tableColumn id="1" xr3:uid="{00000000-0010-0000-0500-000001000000}" name="#"/>
    <tableColumn id="2" xr3:uid="{00000000-0010-0000-0500-000002000000}" name="상품명"/>
    <tableColumn id="3" xr3:uid="{00000000-0010-0000-0500-000003000000}" name="롤"/>
    <tableColumn id="19" xr3:uid="{00000000-0010-0000-0500-000013000000}" name="원가" dataDxfId="63">
      <calculatedColumnFormula>표3[[#This Row],[원가]]</calculatedColumnFormula>
    </tableColumn>
    <tableColumn id="6" xr3:uid="{00000000-0010-0000-0500-000006000000}" name="신규가" dataDxfId="62">
      <calculatedColumnFormula>ROUND((10 - $F$2)*(표6_23[[#This Row],[원가]]+표5_5[[#This Row],[택배비]])/(-11*표5_5[[#This Row],[마진율]]+(10-$F$2)*(1-$C$2)), -1)</calculatedColumnFormula>
    </tableColumn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6000000}" name="표5_5" displayName="표5_5" ref="H3:O32" totalsRowShown="0" headerRowDxfId="61" dataDxfId="60">
  <autoFilter ref="H3:O32" xr:uid="{00000000-0009-0000-0100-000004000000}"/>
  <tableColumns count="8">
    <tableColumn id="1" xr3:uid="{00000000-0010-0000-0600-000001000000}" name="수수료" dataDxfId="59">
      <calculatedColumnFormula>ROUND(표6_23[[#This Row],[신규가]]*$C$2, 0)</calculatedColumnFormula>
    </tableColumn>
    <tableColumn id="2" xr3:uid="{00000000-0010-0000-0600-000002000000}" name="택배비" dataDxfId="58"/>
    <tableColumn id="3" xr3:uid="{00000000-0010-0000-0600-000003000000}" name="부가세" dataDxfId="57">
      <calculatedColumnFormula>ROUND(표6_23[[#This Row],[신규가]]/11-표3[[#This Row],[원가]]/11-표5_5[[#This Row],[수수료]]/11-표5_5[[#This Row],[택배비]]/11, 0)</calculatedColumnFormula>
    </tableColumn>
    <tableColumn id="4" xr3:uid="{00000000-0010-0000-0600-000004000000}" name="종소세" dataDxfId="56">
      <calculatedColumnFormula>ROUND(표5_5[[#This Row],[부가세]]*$F$2, 0)</calculatedColumnFormula>
    </tableColumn>
    <tableColumn id="5" xr3:uid="{00000000-0010-0000-0600-000005000000}" name="순수익" dataDxfId="55">
      <calculatedColumnFormula>표6_23[[#This Row],[신규가]]-표3[[#This Row],[원가]]-표5_5[[#This Row],[수수료]]-표5_5[[#This Row],[택배비]]-표5_5[[#This Row],[부가세]]-표5_5[[#This Row],[종소세]]</calculatedColumnFormula>
    </tableColumn>
    <tableColumn id="6" xr3:uid="{00000000-0010-0000-0600-000006000000}" name="마진율" dataDxfId="54"/>
    <tableColumn id="7" xr3:uid="{00000000-0010-0000-0600-000007000000}" name="여부" dataDxfId="53"/>
    <tableColumn id="8" xr3:uid="{C785D787-7875-465E-A876-102D3CAB1323}" name="열1" dataDxfId="52">
      <calculatedColumnFormula>표5_5[[#This Row],[순수익]]/표6_23[[#This Row],[신규가]]</calculatedColumnFormula>
    </tableColumn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7000000}" name="표6_2" displayName="표6_2" ref="B3:G32" totalsRowShown="0" headerRowDxfId="51">
  <tableColumns count="6">
    <tableColumn id="1" xr3:uid="{00000000-0010-0000-0700-000001000000}" name="#"/>
    <tableColumn id="2" xr3:uid="{00000000-0010-0000-0700-000002000000}" name="상품명"/>
    <tableColumn id="3" xr3:uid="{00000000-0010-0000-0700-000003000000}" name="롤"/>
    <tableColumn id="19" xr3:uid="{00000000-0010-0000-0700-000013000000}" name="원가" dataDxfId="50">
      <calculatedColumnFormula>표3[[#This Row],[원가]]</calculatedColumnFormula>
    </tableColumn>
    <tableColumn id="6" xr3:uid="{00000000-0010-0000-0700-000006000000}" name="신규가" dataDxfId="49">
      <calculatedColumnFormula>ROUND(표3[[#This Row],[원가]]/(1-#REF!), -1)</calculatedColumnFormula>
    </tableColumn>
    <tableColumn id="4" xr3:uid="{00000000-0010-0000-0700-000004000000}" name="차이" dataDxfId="48">
      <calculatedColumnFormula>IF(표3[[#This Row],[인터넷판매가]] = 0, 0, 표6_2[[#This Row],[신규가]]-표3[[#This Row],[인터넷판매가]])</calculatedColumnFormula>
    </tableColumn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표5" displayName="표5" ref="I3:O32" totalsRowShown="0" headerRowDxfId="47" dataDxfId="46">
  <autoFilter ref="I3:O32" xr:uid="{00000000-0009-0000-0100-000005000000}"/>
  <tableColumns count="7">
    <tableColumn id="1" xr3:uid="{00000000-0010-0000-0800-000001000000}" name="수수료" dataDxfId="45">
      <calculatedColumnFormula>ROUND(표6_2[[#This Row],[신규가]]*$C$2, 0)</calculatedColumnFormula>
    </tableColumn>
    <tableColumn id="2" xr3:uid="{00000000-0010-0000-0800-000002000000}" name="택배비" dataDxfId="44"/>
    <tableColumn id="3" xr3:uid="{00000000-0010-0000-0800-000003000000}" name="부가세" dataDxfId="43">
      <calculatedColumnFormula>ROUND(표6_2[[#This Row],[신규가]]/11-표3[[#This Row],[원가]]/11-표5[[#This Row],[수수료]]/11-표5[[#This Row],[택배비]]/11, 0)</calculatedColumnFormula>
    </tableColumn>
    <tableColumn id="4" xr3:uid="{00000000-0010-0000-0800-000004000000}" name="종소세" dataDxfId="42">
      <calculatedColumnFormula>ROUND(표5[[#This Row],[부가세]]*$F$2, 0)</calculatedColumnFormula>
    </tableColumn>
    <tableColumn id="5" xr3:uid="{00000000-0010-0000-0800-000005000000}" name="순수익" dataDxfId="41">
      <calculatedColumnFormula>표6_2[[#This Row],[신규가]]-표3[[#This Row],[원가]]-표5[[#This Row],[수수료]]-표5[[#This Row],[택배비]]-표5[[#This Row],[부가세]]-표5[[#This Row],[종소세]]</calculatedColumnFormula>
    </tableColumn>
    <tableColumn id="6" xr3:uid="{00000000-0010-0000-0800-000006000000}" name="마진율" dataDxfId="40">
      <calculatedColumnFormula>IF(표6_2[[#This Row],[신규가]] = 0, 0, 표5[[#This Row],[순수익]]/표6_2[[#This Row],[신규가]])</calculatedColumnFormula>
    </tableColumn>
    <tableColumn id="7" xr3:uid="{00000000-0010-0000-0800-000007000000}" name="여부" dataDxfId="39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33"/>
  <sheetViews>
    <sheetView zoomScale="70" zoomScaleNormal="70" workbookViewId="0">
      <selection activeCell="T14" sqref="T14"/>
    </sheetView>
  </sheetViews>
  <sheetFormatPr defaultColWidth="8.69921875" defaultRowHeight="13.2" x14ac:dyDescent="0.4"/>
  <cols>
    <col min="1" max="1" width="3.59765625" style="2" customWidth="1"/>
    <col min="2" max="2" width="3.19921875" style="2" bestFit="1" customWidth="1"/>
    <col min="3" max="3" width="8.59765625" style="2" bestFit="1" customWidth="1"/>
    <col min="4" max="4" width="7.69921875" style="3" bestFit="1" customWidth="1"/>
    <col min="5" max="6" width="6.8984375" style="2" bestFit="1" customWidth="1"/>
    <col min="7" max="7" width="8" style="2" bestFit="1" customWidth="1"/>
    <col min="8" max="8" width="6.8984375" style="2" bestFit="1" customWidth="1"/>
    <col min="9" max="9" width="8" style="2" bestFit="1" customWidth="1"/>
    <col min="10" max="10" width="6.8984375" style="2" bestFit="1" customWidth="1"/>
    <col min="11" max="11" width="8" style="2" bestFit="1" customWidth="1"/>
    <col min="12" max="12" width="10.5" style="2" bestFit="1" customWidth="1"/>
    <col min="13" max="13" width="6.5" style="2" customWidth="1"/>
    <col min="14" max="14" width="9" style="2" bestFit="1" customWidth="1"/>
    <col min="15" max="15" width="7.19921875" style="2" bestFit="1" customWidth="1"/>
    <col min="16" max="16" width="4.5" style="2" bestFit="1" customWidth="1"/>
    <col min="17" max="18" width="6.69921875" style="2" bestFit="1" customWidth="1"/>
    <col min="19" max="19" width="5.69921875" style="2" bestFit="1" customWidth="1"/>
    <col min="20" max="20" width="6.69921875" style="2" bestFit="1" customWidth="1"/>
    <col min="21" max="21" width="5.69921875" style="2" bestFit="1" customWidth="1"/>
    <col min="22" max="16384" width="8.69921875" style="2"/>
  </cols>
  <sheetData>
    <row r="2" spans="2:21" ht="24" x14ac:dyDescent="0.4">
      <c r="B2" s="91" t="s">
        <v>20</v>
      </c>
      <c r="C2" s="91"/>
      <c r="D2" s="91"/>
      <c r="E2" s="91"/>
      <c r="F2" s="91"/>
      <c r="G2" s="91"/>
      <c r="H2" s="91"/>
      <c r="I2" s="91"/>
      <c r="J2" s="91"/>
      <c r="K2" s="91"/>
      <c r="L2" s="16"/>
      <c r="N2" s="2" t="s">
        <v>170</v>
      </c>
      <c r="O2" s="2" t="s">
        <v>64</v>
      </c>
      <c r="P2" s="25" t="s">
        <v>171</v>
      </c>
    </row>
    <row r="3" spans="2:21" ht="15.6" x14ac:dyDescent="0.4">
      <c r="B3" s="17" t="s">
        <v>21</v>
      </c>
      <c r="C3" s="17" t="s">
        <v>22</v>
      </c>
      <c r="D3" s="18" t="s">
        <v>23</v>
      </c>
      <c r="E3" s="18" t="s">
        <v>24</v>
      </c>
      <c r="F3" s="18" t="s">
        <v>25</v>
      </c>
      <c r="G3" s="19" t="s">
        <v>19</v>
      </c>
      <c r="H3" s="18" t="s">
        <v>26</v>
      </c>
      <c r="I3" s="19" t="s">
        <v>27</v>
      </c>
      <c r="J3" s="18" t="s">
        <v>28</v>
      </c>
      <c r="K3" s="19" t="s">
        <v>29</v>
      </c>
      <c r="L3" s="39" t="s">
        <v>67</v>
      </c>
      <c r="N3" s="2" t="s">
        <v>172</v>
      </c>
      <c r="O3" s="2">
        <v>7.8</v>
      </c>
      <c r="P3" s="25">
        <f>표5_16[[#This Row],[수수료]]*1.1</f>
        <v>8.58</v>
      </c>
    </row>
    <row r="4" spans="2:21" ht="15.6" x14ac:dyDescent="0.4">
      <c r="B4" s="17">
        <v>1</v>
      </c>
      <c r="C4" s="17" t="s">
        <v>0</v>
      </c>
      <c r="D4" s="18">
        <v>10</v>
      </c>
      <c r="E4" s="18">
        <v>19680</v>
      </c>
      <c r="F4" s="18">
        <v>23000</v>
      </c>
      <c r="G4" s="19">
        <f>(F4-E4)/F4</f>
        <v>0.14434782608695651</v>
      </c>
      <c r="H4" s="18">
        <v>23900</v>
      </c>
      <c r="I4" s="19">
        <f>(H4-E4)/H4</f>
        <v>0.17656903765690377</v>
      </c>
      <c r="J4" s="18">
        <v>26500</v>
      </c>
      <c r="K4" s="19">
        <f>IF(J4=0, 0, (J4-E4)/J4)</f>
        <v>0.25735849056603771</v>
      </c>
      <c r="L4" s="18">
        <v>30700</v>
      </c>
      <c r="N4" s="2" t="s">
        <v>173</v>
      </c>
      <c r="O4" s="2">
        <v>12</v>
      </c>
      <c r="P4" s="25">
        <v>12</v>
      </c>
      <c r="Q4" s="3"/>
      <c r="R4" s="3"/>
      <c r="S4" s="15"/>
      <c r="T4" s="3"/>
      <c r="U4" s="15"/>
    </row>
    <row r="5" spans="2:21" ht="15.6" x14ac:dyDescent="0.4">
      <c r="B5" s="17">
        <v>2</v>
      </c>
      <c r="C5" s="17" t="s">
        <v>1</v>
      </c>
      <c r="D5" s="18">
        <v>10</v>
      </c>
      <c r="E5" s="18">
        <v>19980</v>
      </c>
      <c r="F5" s="18">
        <v>23500</v>
      </c>
      <c r="G5" s="19">
        <f t="shared" ref="G5:G23" si="0">(F5-E5)/F5</f>
        <v>0.1497872340425532</v>
      </c>
      <c r="H5" s="18">
        <v>24300</v>
      </c>
      <c r="I5" s="19">
        <f t="shared" ref="I5:I23" si="1">(H5-E5)/H5</f>
        <v>0.17777777777777778</v>
      </c>
      <c r="J5" s="18">
        <v>0</v>
      </c>
      <c r="K5" s="19">
        <f t="shared" ref="K5:K23" si="2">IF(J5=0, 0, (J5-E5)/J5)</f>
        <v>0</v>
      </c>
      <c r="L5" s="18">
        <v>0</v>
      </c>
      <c r="N5" s="2" t="s">
        <v>174</v>
      </c>
      <c r="O5" s="2">
        <v>10</v>
      </c>
      <c r="P5" s="25">
        <f>표5_16[[#This Row],[수수료]]*1.1</f>
        <v>11</v>
      </c>
      <c r="Q5" s="3"/>
      <c r="R5" s="3"/>
      <c r="S5" s="15"/>
      <c r="T5" s="3"/>
      <c r="U5" s="15"/>
    </row>
    <row r="6" spans="2:21" ht="15.6" x14ac:dyDescent="0.4">
      <c r="B6" s="17">
        <v>3</v>
      </c>
      <c r="C6" s="17" t="s">
        <v>0</v>
      </c>
      <c r="D6" s="18">
        <v>24</v>
      </c>
      <c r="E6" s="18">
        <v>17046</v>
      </c>
      <c r="F6" s="18">
        <v>19700</v>
      </c>
      <c r="G6" s="19">
        <f t="shared" si="0"/>
        <v>0.13472081218274112</v>
      </c>
      <c r="H6" s="18">
        <v>20700</v>
      </c>
      <c r="I6" s="19">
        <f t="shared" si="1"/>
        <v>0.17652173913043478</v>
      </c>
      <c r="J6" s="18">
        <v>0</v>
      </c>
      <c r="K6" s="19">
        <f t="shared" si="2"/>
        <v>0</v>
      </c>
      <c r="L6" s="18">
        <v>27400</v>
      </c>
      <c r="N6" s="2" t="s">
        <v>175</v>
      </c>
      <c r="O6" s="2">
        <v>10</v>
      </c>
      <c r="P6" s="25">
        <v>10</v>
      </c>
      <c r="Q6" s="3"/>
      <c r="R6" s="3"/>
      <c r="S6" s="15"/>
      <c r="T6" s="3"/>
      <c r="U6" s="15"/>
    </row>
    <row r="7" spans="2:21" ht="15.6" x14ac:dyDescent="0.4">
      <c r="B7" s="17">
        <v>4</v>
      </c>
      <c r="C7" s="17" t="s">
        <v>2</v>
      </c>
      <c r="D7" s="18">
        <v>30</v>
      </c>
      <c r="E7" s="18">
        <v>12248</v>
      </c>
      <c r="F7" s="18">
        <v>14500</v>
      </c>
      <c r="G7" s="19">
        <f t="shared" si="0"/>
        <v>0.15531034482758621</v>
      </c>
      <c r="H7" s="18">
        <v>14900</v>
      </c>
      <c r="I7" s="19">
        <f t="shared" si="1"/>
        <v>0.17798657718120806</v>
      </c>
      <c r="J7" s="18">
        <v>16500</v>
      </c>
      <c r="K7" s="19">
        <f t="shared" si="2"/>
        <v>0.2576969696969697</v>
      </c>
      <c r="L7" s="18">
        <v>20400</v>
      </c>
      <c r="N7" s="2" t="s">
        <v>176</v>
      </c>
      <c r="O7" s="2">
        <v>9</v>
      </c>
      <c r="P7" s="25">
        <v>9</v>
      </c>
      <c r="Q7" s="3"/>
      <c r="R7" s="3"/>
      <c r="S7" s="15"/>
      <c r="T7" s="3"/>
      <c r="U7" s="15"/>
    </row>
    <row r="8" spans="2:21" ht="15.6" x14ac:dyDescent="0.4">
      <c r="B8" s="17">
        <v>5</v>
      </c>
      <c r="C8" s="17" t="s">
        <v>3</v>
      </c>
      <c r="D8" s="18">
        <v>30</v>
      </c>
      <c r="E8" s="18">
        <v>14190</v>
      </c>
      <c r="F8" s="18">
        <v>17500</v>
      </c>
      <c r="G8" s="19">
        <f t="shared" si="0"/>
        <v>0.18914285714285714</v>
      </c>
      <c r="H8" s="18">
        <v>17300</v>
      </c>
      <c r="I8" s="19">
        <f t="shared" si="1"/>
        <v>0.17976878612716762</v>
      </c>
      <c r="J8" s="18">
        <v>19100</v>
      </c>
      <c r="K8" s="19">
        <f t="shared" si="2"/>
        <v>0.25706806282722511</v>
      </c>
      <c r="L8" s="18">
        <v>25490</v>
      </c>
      <c r="N8" s="2" t="s">
        <v>177</v>
      </c>
      <c r="O8" s="2">
        <v>9</v>
      </c>
      <c r="P8" s="25">
        <v>9</v>
      </c>
      <c r="Q8" s="3"/>
      <c r="R8" s="3"/>
      <c r="S8" s="15"/>
      <c r="T8" s="3"/>
      <c r="U8" s="15"/>
    </row>
    <row r="9" spans="2:21" ht="15.6" x14ac:dyDescent="0.4">
      <c r="B9" s="17">
        <v>6</v>
      </c>
      <c r="C9" s="17" t="s">
        <v>4</v>
      </c>
      <c r="D9" s="18">
        <v>30</v>
      </c>
      <c r="E9" s="18">
        <v>14190</v>
      </c>
      <c r="F9" s="18">
        <v>17500</v>
      </c>
      <c r="G9" s="19">
        <f t="shared" si="0"/>
        <v>0.18914285714285714</v>
      </c>
      <c r="H9" s="18">
        <v>17300</v>
      </c>
      <c r="I9" s="19">
        <f t="shared" si="1"/>
        <v>0.17976878612716762</v>
      </c>
      <c r="J9" s="18">
        <v>19100</v>
      </c>
      <c r="K9" s="19">
        <f t="shared" si="2"/>
        <v>0.25706806282722511</v>
      </c>
      <c r="L9" s="18">
        <v>25490</v>
      </c>
      <c r="N9" s="2" t="s">
        <v>178</v>
      </c>
      <c r="O9" s="2">
        <v>5.2</v>
      </c>
      <c r="P9" s="25">
        <f>표5_16[[#This Row],[수수료]]*1.1</f>
        <v>5.7200000000000006</v>
      </c>
      <c r="Q9" s="3"/>
      <c r="R9" s="3"/>
      <c r="S9" s="15"/>
      <c r="T9" s="3"/>
      <c r="U9" s="15"/>
    </row>
    <row r="10" spans="2:21" ht="15.6" x14ac:dyDescent="0.4">
      <c r="B10" s="17">
        <v>7</v>
      </c>
      <c r="C10" s="17" t="s">
        <v>5</v>
      </c>
      <c r="D10" s="18">
        <v>30</v>
      </c>
      <c r="E10" s="18">
        <v>16044</v>
      </c>
      <c r="F10" s="18">
        <v>19000</v>
      </c>
      <c r="G10" s="19">
        <f t="shared" si="0"/>
        <v>0.15557894736842104</v>
      </c>
      <c r="H10" s="18">
        <v>19600</v>
      </c>
      <c r="I10" s="19">
        <f t="shared" si="1"/>
        <v>0.18142857142857144</v>
      </c>
      <c r="J10" s="18">
        <v>0</v>
      </c>
      <c r="K10" s="19">
        <f t="shared" si="2"/>
        <v>0</v>
      </c>
      <c r="L10" s="18">
        <v>26300</v>
      </c>
      <c r="N10" s="2" t="s">
        <v>179</v>
      </c>
      <c r="O10" s="2">
        <v>3.75</v>
      </c>
      <c r="P10" s="25">
        <f>표5_16[[#This Row],[수수료]]*1.1</f>
        <v>4.125</v>
      </c>
      <c r="Q10" s="3"/>
      <c r="R10" s="3"/>
      <c r="S10" s="15"/>
      <c r="T10" s="3"/>
      <c r="U10" s="15"/>
    </row>
    <row r="11" spans="2:21" ht="15.6" x14ac:dyDescent="0.4">
      <c r="B11" s="17">
        <v>8</v>
      </c>
      <c r="C11" s="17" t="s">
        <v>6</v>
      </c>
      <c r="D11" s="18">
        <v>30</v>
      </c>
      <c r="E11" s="18">
        <v>16519</v>
      </c>
      <c r="F11" s="18">
        <v>20000</v>
      </c>
      <c r="G11" s="19">
        <f t="shared" si="0"/>
        <v>0.17405000000000001</v>
      </c>
      <c r="H11" s="18">
        <v>20200</v>
      </c>
      <c r="I11" s="19">
        <f t="shared" si="1"/>
        <v>0.18222772277227722</v>
      </c>
      <c r="J11" s="18">
        <v>22200</v>
      </c>
      <c r="K11" s="19">
        <f t="shared" si="2"/>
        <v>0.2559009009009009</v>
      </c>
      <c r="L11" s="18">
        <v>27400</v>
      </c>
      <c r="N11" s="25" t="s">
        <v>248</v>
      </c>
      <c r="O11" s="25">
        <v>6.91</v>
      </c>
      <c r="P11" s="25">
        <v>6.91</v>
      </c>
      <c r="Q11" s="3"/>
      <c r="R11" s="3"/>
      <c r="S11" s="15"/>
      <c r="T11" s="3"/>
      <c r="U11" s="15"/>
    </row>
    <row r="12" spans="2:21" ht="15.6" x14ac:dyDescent="0.4">
      <c r="B12" s="17">
        <v>9</v>
      </c>
      <c r="C12" s="17" t="s">
        <v>7</v>
      </c>
      <c r="D12" s="18">
        <v>30</v>
      </c>
      <c r="E12" s="18">
        <v>14190</v>
      </c>
      <c r="F12" s="18">
        <v>17000</v>
      </c>
      <c r="G12" s="19">
        <f t="shared" si="0"/>
        <v>0.16529411764705881</v>
      </c>
      <c r="H12" s="18">
        <v>17300</v>
      </c>
      <c r="I12" s="19">
        <f t="shared" si="1"/>
        <v>0.17976878612716762</v>
      </c>
      <c r="J12" s="18">
        <v>0</v>
      </c>
      <c r="K12" s="19">
        <f t="shared" si="2"/>
        <v>0</v>
      </c>
      <c r="L12" s="18">
        <v>0</v>
      </c>
      <c r="N12" s="25" t="s">
        <v>249</v>
      </c>
      <c r="O12" s="25"/>
      <c r="P12" s="25">
        <f>표5_16[[#This Row],[수수료]]*1.1</f>
        <v>0</v>
      </c>
      <c r="Q12" s="3"/>
      <c r="R12" s="3"/>
      <c r="S12" s="15"/>
      <c r="T12" s="3"/>
      <c r="U12" s="15"/>
    </row>
    <row r="13" spans="2:21" ht="15.6" x14ac:dyDescent="0.4">
      <c r="B13" s="17">
        <v>10</v>
      </c>
      <c r="C13" s="17" t="s">
        <v>8</v>
      </c>
      <c r="D13" s="18">
        <v>30</v>
      </c>
      <c r="E13" s="18">
        <v>16906</v>
      </c>
      <c r="F13" s="18">
        <v>21000</v>
      </c>
      <c r="G13" s="19">
        <f t="shared" si="0"/>
        <v>0.19495238095238096</v>
      </c>
      <c r="H13" s="18">
        <v>20600</v>
      </c>
      <c r="I13" s="19">
        <f t="shared" si="1"/>
        <v>0.17932038834951455</v>
      </c>
      <c r="J13" s="18">
        <v>22800</v>
      </c>
      <c r="K13" s="19">
        <f t="shared" si="2"/>
        <v>0.25850877192982458</v>
      </c>
      <c r="L13" s="18">
        <v>28600</v>
      </c>
    </row>
    <row r="14" spans="2:21" ht="15.6" x14ac:dyDescent="0.4">
      <c r="B14" s="17">
        <v>11</v>
      </c>
      <c r="C14" s="17" t="s">
        <v>9</v>
      </c>
      <c r="D14" s="18">
        <v>16</v>
      </c>
      <c r="E14" s="18">
        <v>11983</v>
      </c>
      <c r="F14" s="18">
        <v>15000</v>
      </c>
      <c r="G14" s="19">
        <f t="shared" si="0"/>
        <v>0.20113333333333333</v>
      </c>
      <c r="H14" s="18">
        <v>15000</v>
      </c>
      <c r="I14" s="19">
        <f t="shared" si="1"/>
        <v>0.20113333333333333</v>
      </c>
      <c r="J14" s="18">
        <v>0</v>
      </c>
      <c r="K14" s="19">
        <f t="shared" si="2"/>
        <v>0</v>
      </c>
      <c r="L14" s="18">
        <v>20700</v>
      </c>
    </row>
    <row r="15" spans="2:21" ht="15.6" x14ac:dyDescent="0.4">
      <c r="B15" s="17">
        <v>12</v>
      </c>
      <c r="C15" s="17" t="s">
        <v>10</v>
      </c>
      <c r="D15" s="18">
        <v>16</v>
      </c>
      <c r="E15" s="18">
        <v>13777</v>
      </c>
      <c r="F15" s="18">
        <v>18000</v>
      </c>
      <c r="G15" s="19">
        <f t="shared" si="0"/>
        <v>0.2346111111111111</v>
      </c>
      <c r="H15" s="18">
        <v>17250</v>
      </c>
      <c r="I15" s="19">
        <f t="shared" si="1"/>
        <v>0.20133333333333334</v>
      </c>
      <c r="J15" s="18">
        <v>0</v>
      </c>
      <c r="K15" s="19">
        <f t="shared" si="2"/>
        <v>0</v>
      </c>
      <c r="L15" s="18">
        <v>24490</v>
      </c>
    </row>
    <row r="16" spans="2:21" ht="15.6" x14ac:dyDescent="0.4">
      <c r="B16" s="17">
        <v>13</v>
      </c>
      <c r="C16" s="17" t="s">
        <v>11</v>
      </c>
      <c r="D16" s="18">
        <v>16</v>
      </c>
      <c r="E16" s="18">
        <v>14963</v>
      </c>
      <c r="F16" s="18">
        <v>20000</v>
      </c>
      <c r="G16" s="19">
        <f t="shared" si="0"/>
        <v>0.25185000000000002</v>
      </c>
      <c r="H16" s="18">
        <v>18700</v>
      </c>
      <c r="I16" s="19">
        <f t="shared" si="1"/>
        <v>0.19983957219251336</v>
      </c>
      <c r="J16" s="18">
        <v>0</v>
      </c>
      <c r="K16" s="19">
        <f t="shared" si="2"/>
        <v>0</v>
      </c>
      <c r="L16" s="18">
        <v>25990</v>
      </c>
    </row>
    <row r="17" spans="2:12" ht="15.6" x14ac:dyDescent="0.4">
      <c r="B17" s="17">
        <v>14</v>
      </c>
      <c r="C17" s="17" t="s">
        <v>12</v>
      </c>
      <c r="D17" s="18">
        <v>16</v>
      </c>
      <c r="E17" s="18">
        <v>21207</v>
      </c>
      <c r="F17" s="18">
        <v>30000</v>
      </c>
      <c r="G17" s="19">
        <f t="shared" si="0"/>
        <v>0.29310000000000003</v>
      </c>
      <c r="H17" s="18">
        <v>26500</v>
      </c>
      <c r="I17" s="19">
        <f t="shared" si="1"/>
        <v>0.19973584905660377</v>
      </c>
      <c r="J17" s="18">
        <v>0</v>
      </c>
      <c r="K17" s="19">
        <f t="shared" si="2"/>
        <v>0</v>
      </c>
      <c r="L17" s="18">
        <v>34990</v>
      </c>
    </row>
    <row r="18" spans="2:12" ht="15.6" x14ac:dyDescent="0.4">
      <c r="B18" s="17">
        <v>15</v>
      </c>
      <c r="C18" s="17" t="s">
        <v>13</v>
      </c>
      <c r="D18" s="18">
        <v>16</v>
      </c>
      <c r="E18" s="18">
        <v>12568</v>
      </c>
      <c r="F18" s="18">
        <v>16000</v>
      </c>
      <c r="G18" s="19">
        <f t="shared" si="0"/>
        <v>0.2145</v>
      </c>
      <c r="H18" s="18">
        <v>15750</v>
      </c>
      <c r="I18" s="19">
        <f t="shared" si="1"/>
        <v>0.20203174603174603</v>
      </c>
      <c r="J18" s="18">
        <v>0</v>
      </c>
      <c r="K18" s="19">
        <f t="shared" si="2"/>
        <v>0</v>
      </c>
      <c r="L18" s="18">
        <v>21500</v>
      </c>
    </row>
    <row r="19" spans="2:12" ht="15.6" x14ac:dyDescent="0.4">
      <c r="B19" s="17">
        <v>16</v>
      </c>
      <c r="C19" s="17" t="s">
        <v>14</v>
      </c>
      <c r="D19" s="18">
        <v>16</v>
      </c>
      <c r="E19" s="18">
        <v>14459</v>
      </c>
      <c r="F19" s="18">
        <v>19000</v>
      </c>
      <c r="G19" s="19">
        <f t="shared" si="0"/>
        <v>0.23899999999999999</v>
      </c>
      <c r="H19" s="18">
        <v>18100</v>
      </c>
      <c r="I19" s="19">
        <f t="shared" si="1"/>
        <v>0.20116022099447514</v>
      </c>
      <c r="J19" s="18">
        <v>0</v>
      </c>
      <c r="K19" s="19">
        <f t="shared" si="2"/>
        <v>0</v>
      </c>
      <c r="L19" s="18">
        <v>25490</v>
      </c>
    </row>
    <row r="20" spans="2:12" ht="15.6" x14ac:dyDescent="0.4">
      <c r="B20" s="17">
        <v>17</v>
      </c>
      <c r="C20" s="17" t="s">
        <v>15</v>
      </c>
      <c r="D20" s="18">
        <v>16</v>
      </c>
      <c r="E20" s="18">
        <v>15710</v>
      </c>
      <c r="F20" s="18">
        <v>21000</v>
      </c>
      <c r="G20" s="19">
        <f t="shared" si="0"/>
        <v>0.25190476190476191</v>
      </c>
      <c r="H20" s="18">
        <v>19650</v>
      </c>
      <c r="I20" s="19">
        <f t="shared" si="1"/>
        <v>0.20050890585241729</v>
      </c>
      <c r="J20" s="18">
        <v>0</v>
      </c>
      <c r="K20" s="19">
        <f t="shared" si="2"/>
        <v>0</v>
      </c>
      <c r="L20" s="18">
        <v>26990</v>
      </c>
    </row>
    <row r="21" spans="2:12" ht="15.6" x14ac:dyDescent="0.4">
      <c r="B21" s="17">
        <v>18</v>
      </c>
      <c r="C21" s="17" t="s">
        <v>16</v>
      </c>
      <c r="D21" s="18">
        <v>16</v>
      </c>
      <c r="E21" s="18">
        <v>21993</v>
      </c>
      <c r="F21" s="18">
        <v>31000</v>
      </c>
      <c r="G21" s="19">
        <f t="shared" si="0"/>
        <v>0.29054838709677422</v>
      </c>
      <c r="H21" s="18">
        <v>27500</v>
      </c>
      <c r="I21" s="19">
        <f t="shared" si="1"/>
        <v>0.20025454545454546</v>
      </c>
      <c r="J21" s="18">
        <v>0</v>
      </c>
      <c r="K21" s="19">
        <f t="shared" si="2"/>
        <v>0</v>
      </c>
      <c r="L21" s="18">
        <v>35990</v>
      </c>
    </row>
    <row r="22" spans="2:12" ht="15.6" x14ac:dyDescent="0.4">
      <c r="B22" s="17">
        <v>19</v>
      </c>
      <c r="C22" s="17" t="s">
        <v>17</v>
      </c>
      <c r="D22" s="18">
        <v>10000</v>
      </c>
      <c r="E22" s="18">
        <v>9000</v>
      </c>
      <c r="F22" s="18">
        <v>11500</v>
      </c>
      <c r="G22" s="19">
        <f t="shared" si="0"/>
        <v>0.21739130434782608</v>
      </c>
      <c r="H22" s="18">
        <v>11250</v>
      </c>
      <c r="I22" s="19">
        <f t="shared" si="1"/>
        <v>0.2</v>
      </c>
      <c r="J22" s="18">
        <v>0</v>
      </c>
      <c r="K22" s="19">
        <f t="shared" si="2"/>
        <v>0</v>
      </c>
      <c r="L22" s="18">
        <v>0</v>
      </c>
    </row>
    <row r="23" spans="2:12" ht="15.6" x14ac:dyDescent="0.4">
      <c r="B23" s="17">
        <v>20</v>
      </c>
      <c r="C23" s="17" t="s">
        <v>18</v>
      </c>
      <c r="D23" s="18">
        <v>5000</v>
      </c>
      <c r="E23" s="18">
        <v>16000</v>
      </c>
      <c r="F23" s="18">
        <v>19000</v>
      </c>
      <c r="G23" s="19">
        <f t="shared" si="0"/>
        <v>0.15789473684210525</v>
      </c>
      <c r="H23" s="18">
        <v>20000</v>
      </c>
      <c r="I23" s="19">
        <f t="shared" si="1"/>
        <v>0.2</v>
      </c>
      <c r="J23" s="18">
        <v>0</v>
      </c>
      <c r="K23" s="19">
        <f t="shared" si="2"/>
        <v>0</v>
      </c>
      <c r="L23" s="18">
        <v>0</v>
      </c>
    </row>
    <row r="24" spans="2:12" ht="15.6" x14ac:dyDescent="0.4">
      <c r="B24" s="17">
        <v>21</v>
      </c>
      <c r="C24" s="27" t="s">
        <v>0</v>
      </c>
      <c r="D24" s="5">
        <v>7</v>
      </c>
      <c r="E24" s="5">
        <v>13776</v>
      </c>
      <c r="F24" s="5">
        <v>16100</v>
      </c>
      <c r="G24" s="6">
        <f t="shared" ref="G24:G33" si="3">(F24-E24)/F24</f>
        <v>0.14434782608695651</v>
      </c>
      <c r="H24" s="5">
        <v>16800</v>
      </c>
      <c r="I24" s="6">
        <f t="shared" ref="I24:I33" si="4">(H24-E24)/H24</f>
        <v>0.18</v>
      </c>
      <c r="J24" s="18">
        <v>0</v>
      </c>
      <c r="K24" s="6">
        <f t="shared" ref="K24:K33" si="5">IF(J24=0, 0, (J24-E24)/J24)</f>
        <v>0</v>
      </c>
      <c r="L24" s="18">
        <v>0</v>
      </c>
    </row>
    <row r="25" spans="2:12" ht="15.6" x14ac:dyDescent="0.4">
      <c r="B25" s="17">
        <v>22</v>
      </c>
      <c r="C25" s="27" t="s">
        <v>0</v>
      </c>
      <c r="D25" s="5">
        <v>6</v>
      </c>
      <c r="E25" s="5">
        <v>11808</v>
      </c>
      <c r="F25" s="5">
        <v>13800</v>
      </c>
      <c r="G25" s="6">
        <f t="shared" si="3"/>
        <v>0.14434782608695651</v>
      </c>
      <c r="H25" s="5">
        <v>14400</v>
      </c>
      <c r="I25" s="6">
        <f t="shared" si="4"/>
        <v>0.18</v>
      </c>
      <c r="J25" s="18">
        <v>0</v>
      </c>
      <c r="K25" s="6">
        <f t="shared" si="5"/>
        <v>0</v>
      </c>
      <c r="L25" s="18">
        <v>0</v>
      </c>
    </row>
    <row r="26" spans="2:12" ht="15.6" x14ac:dyDescent="0.4">
      <c r="B26" s="17">
        <v>23</v>
      </c>
      <c r="C26" s="27" t="s">
        <v>0</v>
      </c>
      <c r="D26" s="5">
        <v>5</v>
      </c>
      <c r="E26" s="5">
        <v>9840</v>
      </c>
      <c r="F26" s="5">
        <v>11500</v>
      </c>
      <c r="G26" s="6">
        <f t="shared" si="3"/>
        <v>0.14434782608695651</v>
      </c>
      <c r="H26" s="5">
        <v>12000</v>
      </c>
      <c r="I26" s="6">
        <f t="shared" si="4"/>
        <v>0.18</v>
      </c>
      <c r="J26" s="18">
        <v>0</v>
      </c>
      <c r="K26" s="6">
        <f t="shared" si="5"/>
        <v>0</v>
      </c>
      <c r="L26" s="18">
        <v>0</v>
      </c>
    </row>
    <row r="27" spans="2:12" ht="15.6" x14ac:dyDescent="0.4">
      <c r="B27" s="17">
        <v>24</v>
      </c>
      <c r="C27" s="27" t="s">
        <v>0</v>
      </c>
      <c r="D27" s="5">
        <v>3</v>
      </c>
      <c r="E27" s="5">
        <v>12785</v>
      </c>
      <c r="F27" s="5">
        <v>14775</v>
      </c>
      <c r="G27" s="6">
        <f t="shared" si="3"/>
        <v>0.13468697123519457</v>
      </c>
      <c r="H27" s="5">
        <v>15600</v>
      </c>
      <c r="I27" s="6">
        <f t="shared" si="4"/>
        <v>0.18044871794871795</v>
      </c>
      <c r="J27" s="18">
        <v>0</v>
      </c>
      <c r="K27" s="6">
        <f t="shared" si="5"/>
        <v>0</v>
      </c>
      <c r="L27" s="18">
        <v>0</v>
      </c>
    </row>
    <row r="28" spans="2:12" ht="15.6" x14ac:dyDescent="0.4">
      <c r="B28" s="17">
        <v>25</v>
      </c>
      <c r="C28" s="27" t="s">
        <v>0</v>
      </c>
      <c r="D28" s="5">
        <v>2</v>
      </c>
      <c r="E28" s="5">
        <v>8523</v>
      </c>
      <c r="F28" s="5">
        <v>9850</v>
      </c>
      <c r="G28" s="6">
        <f t="shared" si="3"/>
        <v>0.13472081218274112</v>
      </c>
      <c r="H28" s="5">
        <v>10400</v>
      </c>
      <c r="I28" s="6">
        <f t="shared" si="4"/>
        <v>0.18048076923076922</v>
      </c>
      <c r="J28" s="18">
        <v>0</v>
      </c>
      <c r="K28" s="6">
        <f t="shared" si="5"/>
        <v>0</v>
      </c>
      <c r="L28" s="18">
        <v>0</v>
      </c>
    </row>
    <row r="29" spans="2:12" ht="15.6" x14ac:dyDescent="0.4">
      <c r="B29" s="66">
        <v>26</v>
      </c>
      <c r="C29" s="61" t="s">
        <v>181</v>
      </c>
      <c r="D29" s="5">
        <v>2</v>
      </c>
      <c r="E29" s="5">
        <v>10696</v>
      </c>
      <c r="F29" s="5">
        <f>F10/3*2</f>
        <v>12666.666666666666</v>
      </c>
      <c r="G29" s="6">
        <f>(F29-E29)/F29</f>
        <v>0.15557894736842101</v>
      </c>
      <c r="H29" s="5">
        <v>12990</v>
      </c>
      <c r="I29" s="6">
        <f>(H29-E29)/H29</f>
        <v>0.17659738260200153</v>
      </c>
      <c r="J29" s="18">
        <v>0</v>
      </c>
      <c r="K29" s="6">
        <f>IF(J29=0, 0, (J29-E29)/J29)</f>
        <v>0</v>
      </c>
      <c r="L29" s="18">
        <v>0</v>
      </c>
    </row>
    <row r="30" spans="2:12" ht="15.6" x14ac:dyDescent="0.4">
      <c r="B30" s="17">
        <v>26</v>
      </c>
      <c r="C30" s="27" t="s">
        <v>6</v>
      </c>
      <c r="D30" s="5">
        <v>2</v>
      </c>
      <c r="E30" s="5">
        <v>11013</v>
      </c>
      <c r="F30" s="5">
        <v>13333</v>
      </c>
      <c r="G30" s="6">
        <f t="shared" si="3"/>
        <v>0.17400435010875273</v>
      </c>
      <c r="H30" s="5">
        <v>13467</v>
      </c>
      <c r="I30" s="6">
        <f t="shared" si="4"/>
        <v>0.18222321229672533</v>
      </c>
      <c r="J30" s="18">
        <v>0</v>
      </c>
      <c r="K30" s="6">
        <f t="shared" si="5"/>
        <v>0</v>
      </c>
      <c r="L30" s="18">
        <v>0</v>
      </c>
    </row>
    <row r="31" spans="2:12" ht="15.6" x14ac:dyDescent="0.4">
      <c r="B31" s="17">
        <v>27</v>
      </c>
      <c r="C31" s="27" t="s">
        <v>48</v>
      </c>
      <c r="D31" s="5">
        <v>2</v>
      </c>
      <c r="E31" s="5">
        <v>11271</v>
      </c>
      <c r="F31" s="5">
        <v>14000</v>
      </c>
      <c r="G31" s="6">
        <f t="shared" si="3"/>
        <v>0.19492857142857142</v>
      </c>
      <c r="H31" s="5">
        <v>13767</v>
      </c>
      <c r="I31" s="6">
        <f t="shared" si="4"/>
        <v>0.18130311614730879</v>
      </c>
      <c r="J31" s="18">
        <v>0</v>
      </c>
      <c r="K31" s="6">
        <f t="shared" si="5"/>
        <v>0</v>
      </c>
      <c r="L31" s="18">
        <v>0</v>
      </c>
    </row>
    <row r="32" spans="2:12" ht="15.6" x14ac:dyDescent="0.4">
      <c r="B32" s="17">
        <v>28</v>
      </c>
      <c r="C32" s="27" t="s">
        <v>49</v>
      </c>
      <c r="D32" s="5">
        <v>3</v>
      </c>
      <c r="E32" s="5">
        <v>8987</v>
      </c>
      <c r="F32" s="5">
        <v>11250</v>
      </c>
      <c r="G32" s="6">
        <f t="shared" si="3"/>
        <v>0.20115555555555556</v>
      </c>
      <c r="H32" s="5">
        <v>11250</v>
      </c>
      <c r="I32" s="6">
        <f t="shared" si="4"/>
        <v>0.20115555555555556</v>
      </c>
      <c r="J32" s="18">
        <v>0</v>
      </c>
      <c r="K32" s="6">
        <f t="shared" si="5"/>
        <v>0</v>
      </c>
      <c r="L32" s="18">
        <v>0</v>
      </c>
    </row>
    <row r="33" spans="2:12" ht="15.6" x14ac:dyDescent="0.4">
      <c r="B33" s="17">
        <v>29</v>
      </c>
      <c r="C33" s="27" t="s">
        <v>50</v>
      </c>
      <c r="D33" s="5">
        <v>3</v>
      </c>
      <c r="E33" s="5">
        <v>9426</v>
      </c>
      <c r="F33" s="5">
        <v>12000</v>
      </c>
      <c r="G33" s="6">
        <f t="shared" si="3"/>
        <v>0.2145</v>
      </c>
      <c r="H33" s="5">
        <v>11813</v>
      </c>
      <c r="I33" s="6">
        <f t="shared" si="4"/>
        <v>0.20206552103614661</v>
      </c>
      <c r="J33" s="18">
        <v>0</v>
      </c>
      <c r="K33" s="6">
        <f t="shared" si="5"/>
        <v>0</v>
      </c>
      <c r="L33" s="18">
        <v>0</v>
      </c>
    </row>
  </sheetData>
  <mergeCells count="1">
    <mergeCell ref="B2:K2"/>
  </mergeCells>
  <phoneticPr fontId="1" type="noConversion"/>
  <pageMargins left="0.7" right="0.7" top="0.75" bottom="0.75" header="0.3" footer="0.3"/>
  <pageSetup paperSize="9" orientation="portrait" verticalDpi="203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S34"/>
  <sheetViews>
    <sheetView topLeftCell="A4" workbookViewId="0">
      <selection activeCell="F4" sqref="F4:F32"/>
    </sheetView>
  </sheetViews>
  <sheetFormatPr defaultRowHeight="17.399999999999999" x14ac:dyDescent="0.4"/>
  <cols>
    <col min="1" max="1" width="2.8984375" customWidth="1"/>
    <col min="2" max="2" width="5.8984375" bestFit="1" customWidth="1"/>
    <col min="3" max="3" width="9.8984375" bestFit="1" customWidth="1"/>
    <col min="4" max="4" width="5.8984375" bestFit="1" customWidth="1"/>
    <col min="5" max="5" width="6.8984375" bestFit="1" customWidth="1"/>
    <col min="6" max="6" width="7.69921875" bestFit="1" customWidth="1"/>
    <col min="7" max="7" width="6" bestFit="1" customWidth="1"/>
    <col min="8" max="8" width="3.3984375" customWidth="1"/>
    <col min="9" max="14" width="7.8984375" bestFit="1" customWidth="1"/>
    <col min="15" max="15" width="6.3984375" style="23" bestFit="1" customWidth="1"/>
    <col min="17" max="17" width="8.69921875" style="42"/>
    <col min="18" max="18" width="9.8984375" bestFit="1" customWidth="1"/>
    <col min="19" max="19" width="10.19921875" bestFit="1" customWidth="1"/>
  </cols>
  <sheetData>
    <row r="2" spans="2:17" x14ac:dyDescent="0.4">
      <c r="B2" s="24" t="s">
        <v>64</v>
      </c>
      <c r="C2" s="24">
        <v>0.12</v>
      </c>
      <c r="D2" s="24"/>
      <c r="E2" s="24" t="s">
        <v>51</v>
      </c>
      <c r="F2" s="24">
        <v>0.4</v>
      </c>
      <c r="G2" s="38"/>
    </row>
    <row r="3" spans="2:17" x14ac:dyDescent="0.4">
      <c r="B3" s="4" t="s">
        <v>21</v>
      </c>
      <c r="C3" s="27" t="s">
        <v>30</v>
      </c>
      <c r="D3" s="27" t="s">
        <v>31</v>
      </c>
      <c r="E3" s="27" t="s">
        <v>65</v>
      </c>
      <c r="F3" s="27" t="s">
        <v>26</v>
      </c>
      <c r="G3" s="27" t="s">
        <v>66</v>
      </c>
      <c r="H3" s="1"/>
      <c r="I3" s="2" t="s">
        <v>52</v>
      </c>
      <c r="J3" s="25" t="s">
        <v>53</v>
      </c>
      <c r="K3" s="25" t="s">
        <v>54</v>
      </c>
      <c r="L3" s="25" t="s">
        <v>55</v>
      </c>
      <c r="M3" s="25" t="s">
        <v>56</v>
      </c>
      <c r="N3" s="25" t="s">
        <v>57</v>
      </c>
      <c r="O3" s="37" t="s">
        <v>58</v>
      </c>
    </row>
    <row r="4" spans="2:17" x14ac:dyDescent="0.4">
      <c r="B4" s="4">
        <v>1</v>
      </c>
      <c r="C4" s="8" t="s">
        <v>0</v>
      </c>
      <c r="D4" s="8">
        <v>10</v>
      </c>
      <c r="E4" s="5">
        <f>표3[[#This Row],[원가]]</f>
        <v>19680</v>
      </c>
      <c r="F4" s="5">
        <v>33400</v>
      </c>
      <c r="G4" s="5">
        <f>IF(표3[[#This Row],[인터넷판매가]] = 0, 0, 표6_2101214[[#This Row],[신규가]]-표3[[#This Row],[인터넷판매가]])</f>
        <v>2700</v>
      </c>
      <c r="H4" s="1"/>
      <c r="I4" s="22">
        <f>ROUND(표6_2101214[[#This Row],[신규가]]*$C$2, 0)</f>
        <v>4008</v>
      </c>
      <c r="J4" s="22">
        <v>3150</v>
      </c>
      <c r="K4" s="22">
        <f>ROUND(표6_2101214[[#This Row],[신규가]]/11-표3[[#This Row],[원가]]/11-표5_111315[[#This Row],[수수료]]/11-표5_111315[[#This Row],[택배비]]/11, 0)</f>
        <v>597</v>
      </c>
      <c r="L4" s="22">
        <f>ROUND(표5_111315[[#This Row],[부가세]]*$F$2, 0)</f>
        <v>239</v>
      </c>
      <c r="M4" s="22">
        <f>표6_2101214[[#This Row],[신규가]]-표3[[#This Row],[원가]]-표5_111315[[#This Row],[수수료]]-표5_111315[[#This Row],[택배비]]-표5_111315[[#This Row],[부가세]]-표5_111315[[#This Row],[종소세]]</f>
        <v>5726</v>
      </c>
      <c r="N4" s="26">
        <f>IF(표6_2101214[[#This Row],[신규가]] = 0, 0, 표5_111315[[#This Row],[순수익]]/표6_2101214[[#This Row],[신규가]])</f>
        <v>0.17143712574850301</v>
      </c>
      <c r="O4" s="4" t="s">
        <v>59</v>
      </c>
      <c r="Q4" s="42">
        <v>0.17136605189121601</v>
      </c>
    </row>
    <row r="5" spans="2:17" x14ac:dyDescent="0.4">
      <c r="B5" s="4">
        <v>2</v>
      </c>
      <c r="C5" s="8" t="s">
        <v>1</v>
      </c>
      <c r="D5" s="20">
        <v>10</v>
      </c>
      <c r="E5" s="5">
        <f>표3[[#This Row],[원가]]</f>
        <v>19980</v>
      </c>
      <c r="F5" s="5">
        <v>0</v>
      </c>
      <c r="G5" s="5">
        <f>IF(표3[[#This Row],[인터넷판매가]] = 0, 0, 표6_2101214[[#This Row],[신규가]]-표3[[#This Row],[인터넷판매가]])</f>
        <v>0</v>
      </c>
      <c r="H5" s="1"/>
      <c r="I5" s="22">
        <f>ROUND(표6_2101214[[#This Row],[신규가]]*$C$2, 0)</f>
        <v>0</v>
      </c>
      <c r="J5" s="22">
        <v>3150</v>
      </c>
      <c r="K5" s="22">
        <f>ROUND(표6_2101214[[#This Row],[신규가]]/11-표3[[#This Row],[원가]]/11-표5_111315[[#This Row],[수수료]]/11-표5_111315[[#This Row],[택배비]]/11, 0)</f>
        <v>-2103</v>
      </c>
      <c r="L5" s="22">
        <f>ROUND(표5_111315[[#This Row],[부가세]]*$F$2, 0)</f>
        <v>-841</v>
      </c>
      <c r="M5" s="22">
        <f>표6_2101214[[#This Row],[신규가]]-표3[[#This Row],[원가]]-표5_111315[[#This Row],[수수료]]-표5_111315[[#This Row],[택배비]]-표5_111315[[#This Row],[부가세]]-표5_111315[[#This Row],[종소세]]</f>
        <v>-20186</v>
      </c>
      <c r="N5" s="26">
        <f>IF(표6_2101214[[#This Row],[신규가]] = 0, 0, 표5_111315[[#This Row],[순수익]]/표6_2101214[[#This Row],[신규가]])</f>
        <v>0</v>
      </c>
      <c r="O5" s="4" t="s">
        <v>60</v>
      </c>
      <c r="Q5" s="42">
        <v>0</v>
      </c>
    </row>
    <row r="6" spans="2:17" x14ac:dyDescent="0.4">
      <c r="B6" s="4">
        <v>3</v>
      </c>
      <c r="C6" s="8" t="s">
        <v>0</v>
      </c>
      <c r="D6" s="8">
        <v>24</v>
      </c>
      <c r="E6" s="5">
        <f>표3[[#This Row],[원가]]</f>
        <v>17046</v>
      </c>
      <c r="F6" s="5">
        <v>29980</v>
      </c>
      <c r="G6" s="5">
        <f>IF(표3[[#This Row],[인터넷판매가]] = 0, 0, 표6_2101214[[#This Row],[신규가]]-표3[[#This Row],[인터넷판매가]])</f>
        <v>2580</v>
      </c>
      <c r="H6" s="1"/>
      <c r="I6" s="22">
        <f>ROUND(표6_2101214[[#This Row],[신규가]]*$C$2, 0)</f>
        <v>3598</v>
      </c>
      <c r="J6" s="22">
        <v>3150</v>
      </c>
      <c r="K6" s="22">
        <f>ROUND(표6_2101214[[#This Row],[신규가]]/11-표3[[#This Row],[원가]]/11-표5_111315[[#This Row],[수수료]]/11-표5_111315[[#This Row],[택배비]]/11, 0)</f>
        <v>562</v>
      </c>
      <c r="L6" s="22">
        <f>ROUND(표5_111315[[#This Row],[부가세]]*$F$2, 0)</f>
        <v>225</v>
      </c>
      <c r="M6" s="22">
        <f>표6_2101214[[#This Row],[신규가]]-표3[[#This Row],[원가]]-표5_111315[[#This Row],[수수료]]-표5_111315[[#This Row],[택배비]]-표5_111315[[#This Row],[부가세]]-표5_111315[[#This Row],[종소세]]</f>
        <v>5399</v>
      </c>
      <c r="N6" s="26">
        <f>IF(표6_2101214[[#This Row],[신규가]] = 0, 0, 표5_111315[[#This Row],[순수익]]/표6_2101214[[#This Row],[신규가]])</f>
        <v>0.18008672448298865</v>
      </c>
      <c r="O6" s="4" t="s">
        <v>59</v>
      </c>
      <c r="Q6" s="42">
        <v>0.18006968641114982</v>
      </c>
    </row>
    <row r="7" spans="2:17" x14ac:dyDescent="0.4">
      <c r="B7" s="4">
        <v>4</v>
      </c>
      <c r="C7" s="8" t="s">
        <v>2</v>
      </c>
      <c r="D7" s="8">
        <v>30</v>
      </c>
      <c r="E7" s="5">
        <f>표3[[#This Row],[원가]]</f>
        <v>12248</v>
      </c>
      <c r="F7" s="5">
        <v>21910</v>
      </c>
      <c r="G7" s="5">
        <f>IF(표3[[#This Row],[인터넷판매가]] = 0, 0, 표6_2101214[[#This Row],[신규가]]-표3[[#This Row],[인터넷판매가]])</f>
        <v>1510</v>
      </c>
      <c r="H7" s="1"/>
      <c r="I7" s="22">
        <f>ROUND(표6_2101214[[#This Row],[신규가]]*$C$2, 0)</f>
        <v>2629</v>
      </c>
      <c r="J7" s="22">
        <v>2750</v>
      </c>
      <c r="K7" s="22">
        <f>ROUND(표6_2101214[[#This Row],[신규가]]/11-표3[[#This Row],[원가]]/11-표5_111315[[#This Row],[수수료]]/11-표5_111315[[#This Row],[택배비]]/11, 0)</f>
        <v>389</v>
      </c>
      <c r="L7" s="22">
        <f>ROUND(표5_111315[[#This Row],[부가세]]*$F$2, 0)</f>
        <v>156</v>
      </c>
      <c r="M7" s="22">
        <f>표6_2101214[[#This Row],[신규가]]-표3[[#This Row],[원가]]-표5_111315[[#This Row],[수수료]]-표5_111315[[#This Row],[택배비]]-표5_111315[[#This Row],[부가세]]-표5_111315[[#This Row],[종소세]]</f>
        <v>3738</v>
      </c>
      <c r="N7" s="26">
        <f>IF(표6_2101214[[#This Row],[신규가]] = 0, 0, 표5_111315[[#This Row],[순수익]]/표6_2101214[[#This Row],[신규가]])</f>
        <v>0.17060702875399361</v>
      </c>
      <c r="O7" s="4" t="s">
        <v>59</v>
      </c>
      <c r="Q7" s="42">
        <v>0.17060505002382087</v>
      </c>
    </row>
    <row r="8" spans="2:17" x14ac:dyDescent="0.4">
      <c r="B8" s="4">
        <v>5</v>
      </c>
      <c r="C8" s="8" t="s">
        <v>3</v>
      </c>
      <c r="D8" s="8">
        <v>30</v>
      </c>
      <c r="E8" s="5">
        <f>표3[[#This Row],[원가]]</f>
        <v>14190</v>
      </c>
      <c r="F8" s="5">
        <v>25740</v>
      </c>
      <c r="G8" s="5">
        <f>IF(표3[[#This Row],[인터넷판매가]] = 0, 0, 표6_2101214[[#This Row],[신규가]]-표3[[#This Row],[인터넷판매가]])</f>
        <v>250</v>
      </c>
      <c r="H8" s="1"/>
      <c r="I8" s="22">
        <f>ROUND(표6_2101214[[#This Row],[신규가]]*$C$2, 0)</f>
        <v>3089</v>
      </c>
      <c r="J8" s="22">
        <v>3150</v>
      </c>
      <c r="K8" s="22">
        <f>ROUND(표6_2101214[[#This Row],[신규가]]/11-표3[[#This Row],[원가]]/11-표5_111315[[#This Row],[수수료]]/11-표5_111315[[#This Row],[택배비]]/11, 0)</f>
        <v>483</v>
      </c>
      <c r="L8" s="22">
        <f>ROUND(표5_111315[[#This Row],[부가세]]*$F$2, 0)</f>
        <v>193</v>
      </c>
      <c r="M8" s="22">
        <f>표6_2101214[[#This Row],[신규가]]-표3[[#This Row],[원가]]-표5_111315[[#This Row],[수수료]]-표5_111315[[#This Row],[택배비]]-표5_111315[[#This Row],[부가세]]-표5_111315[[#This Row],[종소세]]</f>
        <v>4635</v>
      </c>
      <c r="N8" s="26">
        <f>IF(표6_2101214[[#This Row],[신규가]] = 0, 0, 표5_111315[[#This Row],[순수익]]/표6_2101214[[#This Row],[신규가]])</f>
        <v>0.18006993006993008</v>
      </c>
      <c r="O8" s="4" t="s">
        <v>59</v>
      </c>
      <c r="Q8" s="42">
        <v>0.17999188311688311</v>
      </c>
    </row>
    <row r="9" spans="2:17" x14ac:dyDescent="0.4">
      <c r="B9" s="4">
        <v>6</v>
      </c>
      <c r="C9" s="8" t="s">
        <v>4</v>
      </c>
      <c r="D9" s="8">
        <v>30</v>
      </c>
      <c r="E9" s="5">
        <f>표3[[#This Row],[원가]]</f>
        <v>14190</v>
      </c>
      <c r="F9" s="5">
        <v>25740</v>
      </c>
      <c r="G9" s="5">
        <f>IF(표3[[#This Row],[인터넷판매가]] = 0, 0, 표6_2101214[[#This Row],[신규가]]-표3[[#This Row],[인터넷판매가]])</f>
        <v>250</v>
      </c>
      <c r="H9" s="1"/>
      <c r="I9" s="22">
        <f>ROUND(표6_2101214[[#This Row],[신규가]]*$C$2, 0)</f>
        <v>3089</v>
      </c>
      <c r="J9" s="22">
        <v>3150</v>
      </c>
      <c r="K9" s="22">
        <f>ROUND(표6_2101214[[#This Row],[신규가]]/11-표3[[#This Row],[원가]]/11-표5_111315[[#This Row],[수수료]]/11-표5_111315[[#This Row],[택배비]]/11, 0)</f>
        <v>483</v>
      </c>
      <c r="L9" s="22">
        <f>ROUND(표5_111315[[#This Row],[부가세]]*$F$2, 0)</f>
        <v>193</v>
      </c>
      <c r="M9" s="22">
        <f>표6_2101214[[#This Row],[신규가]]-표3[[#This Row],[원가]]-표5_111315[[#This Row],[수수료]]-표5_111315[[#This Row],[택배비]]-표5_111315[[#This Row],[부가세]]-표5_111315[[#This Row],[종소세]]</f>
        <v>4635</v>
      </c>
      <c r="N9" s="26">
        <f>IF(표6_2101214[[#This Row],[신규가]] = 0, 0, 표5_111315[[#This Row],[순수익]]/표6_2101214[[#This Row],[신규가]])</f>
        <v>0.18006993006993008</v>
      </c>
      <c r="O9" s="4" t="s">
        <v>59</v>
      </c>
      <c r="Q9" s="42">
        <v>0.17999188311688311</v>
      </c>
    </row>
    <row r="10" spans="2:17" x14ac:dyDescent="0.4">
      <c r="B10" s="4">
        <v>7</v>
      </c>
      <c r="C10" s="8" t="s">
        <v>5</v>
      </c>
      <c r="D10" s="8">
        <v>30</v>
      </c>
      <c r="E10" s="5">
        <f>표3[[#This Row],[원가]]</f>
        <v>16044</v>
      </c>
      <c r="F10" s="5">
        <v>28490</v>
      </c>
      <c r="G10" s="5">
        <f>IF(표3[[#This Row],[인터넷판매가]] = 0, 0, 표6_2101214[[#This Row],[신규가]]-표3[[#This Row],[인터넷판매가]])</f>
        <v>2190</v>
      </c>
      <c r="H10" s="1"/>
      <c r="I10" s="22">
        <f>ROUND(표6_2101214[[#This Row],[신규가]]*$C$2, 0)</f>
        <v>3419</v>
      </c>
      <c r="J10" s="22">
        <v>3150</v>
      </c>
      <c r="K10" s="22">
        <f>ROUND(표6_2101214[[#This Row],[신규가]]/11-표3[[#This Row],[원가]]/11-표5_111315[[#This Row],[수수료]]/11-표5_111315[[#This Row],[택배비]]/11, 0)</f>
        <v>534</v>
      </c>
      <c r="L10" s="22">
        <f>ROUND(표5_111315[[#This Row],[부가세]]*$F$2, 0)</f>
        <v>214</v>
      </c>
      <c r="M10" s="22">
        <f>표6_2101214[[#This Row],[신규가]]-표3[[#This Row],[원가]]-표5_111315[[#This Row],[수수료]]-표5_111315[[#This Row],[택배비]]-표5_111315[[#This Row],[부가세]]-표5_111315[[#This Row],[종소세]]</f>
        <v>5129</v>
      </c>
      <c r="N10" s="26">
        <f>IF(표6_2101214[[#This Row],[신규가]] = 0, 0, 표5_111315[[#This Row],[순수익]]/표6_2101214[[#This Row],[신규가]])</f>
        <v>0.18002808002808002</v>
      </c>
      <c r="O10" s="4" t="s">
        <v>59</v>
      </c>
      <c r="Q10" s="42">
        <v>0.18013196480938418</v>
      </c>
    </row>
    <row r="11" spans="2:17" x14ac:dyDescent="0.4">
      <c r="B11" s="4">
        <v>8</v>
      </c>
      <c r="C11" s="8" t="s">
        <v>6</v>
      </c>
      <c r="D11" s="8">
        <v>30</v>
      </c>
      <c r="E11" s="5">
        <f>표3[[#This Row],[원가]]</f>
        <v>16519</v>
      </c>
      <c r="F11" s="5">
        <v>29200</v>
      </c>
      <c r="G11" s="5">
        <f>IF(표3[[#This Row],[인터넷판매가]] = 0, 0, 표6_2101214[[#This Row],[신규가]]-표3[[#This Row],[인터넷판매가]])</f>
        <v>1800</v>
      </c>
      <c r="H11" s="1"/>
      <c r="I11" s="22">
        <f>ROUND(표6_2101214[[#This Row],[신규가]]*$C$2, 0)</f>
        <v>3504</v>
      </c>
      <c r="J11" s="22">
        <v>3150</v>
      </c>
      <c r="K11" s="22">
        <f>ROUND(표6_2101214[[#This Row],[신규가]]/11-표3[[#This Row],[원가]]/11-표5_111315[[#This Row],[수수료]]/11-표5_111315[[#This Row],[택배비]]/11, 0)</f>
        <v>548</v>
      </c>
      <c r="L11" s="22">
        <f>ROUND(표5_111315[[#This Row],[부가세]]*$F$2, 0)</f>
        <v>219</v>
      </c>
      <c r="M11" s="22">
        <f>표6_2101214[[#This Row],[신규가]]-표3[[#This Row],[원가]]-표5_111315[[#This Row],[수수료]]-표5_111315[[#This Row],[택배비]]-표5_111315[[#This Row],[부가세]]-표5_111315[[#This Row],[종소세]]</f>
        <v>5260</v>
      </c>
      <c r="N11" s="26">
        <f>IF(표6_2101214[[#This Row],[신규가]] = 0, 0, 표5_111315[[#This Row],[순수익]]/표6_2101214[[#This Row],[신규가]])</f>
        <v>0.18013698630136987</v>
      </c>
      <c r="O11" s="4" t="s">
        <v>59</v>
      </c>
      <c r="Q11" s="42">
        <v>0.18</v>
      </c>
    </row>
    <row r="12" spans="2:17" x14ac:dyDescent="0.4">
      <c r="B12" s="4">
        <v>9</v>
      </c>
      <c r="C12" s="8" t="s">
        <v>7</v>
      </c>
      <c r="D12" s="20">
        <v>30</v>
      </c>
      <c r="E12" s="5">
        <f>표3[[#This Row],[원가]]</f>
        <v>14190</v>
      </c>
      <c r="F12" s="5">
        <v>0</v>
      </c>
      <c r="G12" s="5">
        <f>IF(표3[[#This Row],[인터넷판매가]] = 0, 0, 표6_2101214[[#This Row],[신규가]]-표3[[#This Row],[인터넷판매가]])</f>
        <v>0</v>
      </c>
      <c r="H12" s="1"/>
      <c r="I12" s="22">
        <f>ROUND(표6_2101214[[#This Row],[신규가]]*$C$2, 0)</f>
        <v>0</v>
      </c>
      <c r="J12" s="22">
        <v>3150</v>
      </c>
      <c r="K12" s="22">
        <f>ROUND(표6_2101214[[#This Row],[신규가]]/11-표3[[#This Row],[원가]]/11-표5_111315[[#This Row],[수수료]]/11-표5_111315[[#This Row],[택배비]]/11, 0)</f>
        <v>-1576</v>
      </c>
      <c r="L12" s="22">
        <f>ROUND(표5_111315[[#This Row],[부가세]]*$F$2, 0)</f>
        <v>-630</v>
      </c>
      <c r="M12" s="22">
        <f>표6_2101214[[#This Row],[신규가]]-표3[[#This Row],[원가]]-표5_111315[[#This Row],[수수료]]-표5_111315[[#This Row],[택배비]]-표5_111315[[#This Row],[부가세]]-표5_111315[[#This Row],[종소세]]</f>
        <v>-15134</v>
      </c>
      <c r="N12" s="26">
        <f>IF(표6_2101214[[#This Row],[신규가]] = 0, 0, 표5_111315[[#This Row],[순수익]]/표6_2101214[[#This Row],[신규가]])</f>
        <v>0</v>
      </c>
      <c r="O12" s="4" t="s">
        <v>61</v>
      </c>
      <c r="Q12" s="42">
        <v>0</v>
      </c>
    </row>
    <row r="13" spans="2:17" x14ac:dyDescent="0.4">
      <c r="B13" s="4">
        <v>10</v>
      </c>
      <c r="C13" s="8" t="s">
        <v>8</v>
      </c>
      <c r="D13" s="8">
        <v>30</v>
      </c>
      <c r="E13" s="5">
        <f>표3[[#This Row],[원가]]</f>
        <v>16906</v>
      </c>
      <c r="F13" s="5">
        <v>29770</v>
      </c>
      <c r="G13" s="5">
        <f>IF(표3[[#This Row],[인터넷판매가]] = 0, 0, 표6_2101214[[#This Row],[신규가]]-표3[[#This Row],[인터넷판매가]])</f>
        <v>1170</v>
      </c>
      <c r="H13" s="1"/>
      <c r="I13" s="22">
        <f>ROUND(표6_2101214[[#This Row],[신규가]]*$C$2, 0)</f>
        <v>3572</v>
      </c>
      <c r="J13" s="22">
        <v>3150</v>
      </c>
      <c r="K13" s="22">
        <f>ROUND(표6_2101214[[#This Row],[신규가]]/11-표3[[#This Row],[원가]]/11-표5_111315[[#This Row],[수수료]]/11-표5_111315[[#This Row],[택배비]]/11, 0)</f>
        <v>558</v>
      </c>
      <c r="L13" s="22">
        <f>ROUND(표5_111315[[#This Row],[부가세]]*$F$2, 0)</f>
        <v>223</v>
      </c>
      <c r="M13" s="22">
        <f>표6_2101214[[#This Row],[신규가]]-표3[[#This Row],[원가]]-표5_111315[[#This Row],[수수료]]-표5_111315[[#This Row],[택배비]]-표5_111315[[#This Row],[부가세]]-표5_111315[[#This Row],[종소세]]</f>
        <v>5361</v>
      </c>
      <c r="N13" s="26">
        <f>IF(표6_2101214[[#This Row],[신규가]] = 0, 0, 표5_111315[[#This Row],[순수익]]/표6_2101214[[#This Row],[신규가]])</f>
        <v>0.18008061807188444</v>
      </c>
      <c r="O13" s="4" t="s">
        <v>59</v>
      </c>
      <c r="Q13" s="42">
        <v>0.18003508771929824</v>
      </c>
    </row>
    <row r="14" spans="2:17" x14ac:dyDescent="0.4">
      <c r="B14" s="4">
        <v>11</v>
      </c>
      <c r="C14" s="8" t="s">
        <v>9</v>
      </c>
      <c r="D14" s="8">
        <v>16</v>
      </c>
      <c r="E14" s="5">
        <f>표3[[#This Row],[원가]]</f>
        <v>11983</v>
      </c>
      <c r="F14" s="5">
        <v>21930</v>
      </c>
      <c r="G14" s="5">
        <f>IF(표3[[#This Row],[인터넷판매가]] = 0, 0, 표6_2101214[[#This Row],[신규가]]-표3[[#This Row],[인터넷판매가]])</f>
        <v>1230</v>
      </c>
      <c r="H14" s="1"/>
      <c r="I14" s="22">
        <f>ROUND(표6_2101214[[#This Row],[신규가]]*$C$2, 0)</f>
        <v>2632</v>
      </c>
      <c r="J14" s="22">
        <v>2750</v>
      </c>
      <c r="K14" s="22">
        <f>ROUND(표6_2101214[[#This Row],[신규가]]/11-표3[[#This Row],[원가]]/11-표5_111315[[#This Row],[수수료]]/11-표5_111315[[#This Row],[택배비]]/11, 0)</f>
        <v>415</v>
      </c>
      <c r="L14" s="22">
        <f>ROUND(표5_111315[[#This Row],[부가세]]*$F$2, 0)</f>
        <v>166</v>
      </c>
      <c r="M14" s="22">
        <f>표6_2101214[[#This Row],[신규가]]-표3[[#This Row],[원가]]-표5_111315[[#This Row],[수수료]]-표5_111315[[#This Row],[택배비]]-표5_111315[[#This Row],[부가세]]-표5_111315[[#This Row],[종소세]]</f>
        <v>3984</v>
      </c>
      <c r="N14" s="26">
        <f>IF(표6_2101214[[#This Row],[신규가]] = 0, 0, 표5_111315[[#This Row],[순수익]]/표6_2101214[[#This Row],[신규가]])</f>
        <v>0.18166894664842681</v>
      </c>
      <c r="O14" s="4" t="s">
        <v>59</v>
      </c>
      <c r="Q14" s="42">
        <v>0.18507816200852675</v>
      </c>
    </row>
    <row r="15" spans="2:17" x14ac:dyDescent="0.4">
      <c r="B15" s="4">
        <v>12</v>
      </c>
      <c r="C15" s="8" t="s">
        <v>10</v>
      </c>
      <c r="D15" s="8">
        <v>16</v>
      </c>
      <c r="E15" s="5">
        <f>표3[[#This Row],[원가]]</f>
        <v>13777</v>
      </c>
      <c r="F15" s="5">
        <v>25090</v>
      </c>
      <c r="G15" s="5">
        <f>IF(표3[[#This Row],[인터넷판매가]] = 0, 0, 표6_2101214[[#This Row],[신규가]]-표3[[#This Row],[인터넷판매가]])</f>
        <v>600</v>
      </c>
      <c r="H15" s="1"/>
      <c r="I15" s="22">
        <f>ROUND(표6_2101214[[#This Row],[신규가]]*$C$2, 0)</f>
        <v>3011</v>
      </c>
      <c r="J15" s="22">
        <v>2750</v>
      </c>
      <c r="K15" s="22">
        <f>ROUND(표6_2101214[[#This Row],[신규가]]/11-표3[[#This Row],[원가]]/11-표5_111315[[#This Row],[수수료]]/11-표5_111315[[#This Row],[택배비]]/11, 0)</f>
        <v>505</v>
      </c>
      <c r="L15" s="22">
        <f>ROUND(표5_111315[[#This Row],[부가세]]*$F$2, 0)</f>
        <v>202</v>
      </c>
      <c r="M15" s="22">
        <f>표6_2101214[[#This Row],[신규가]]-표3[[#This Row],[원가]]-표5_111315[[#This Row],[수수료]]-표5_111315[[#This Row],[택배비]]-표5_111315[[#This Row],[부가세]]-표5_111315[[#This Row],[종소세]]</f>
        <v>4845</v>
      </c>
      <c r="N15" s="26">
        <f>IF(표6_2101214[[#This Row],[신규가]] = 0, 0, 표5_111315[[#This Row],[순수익]]/표6_2101214[[#This Row],[신규가]])</f>
        <v>0.1931048226385014</v>
      </c>
      <c r="O15" s="4" t="s">
        <v>59</v>
      </c>
      <c r="Q15" s="42">
        <v>0.1929553980825344</v>
      </c>
    </row>
    <row r="16" spans="2:17" x14ac:dyDescent="0.4">
      <c r="B16" s="4">
        <v>13</v>
      </c>
      <c r="C16" s="8" t="s">
        <v>11</v>
      </c>
      <c r="D16" s="8">
        <v>16</v>
      </c>
      <c r="E16" s="5">
        <f>표3[[#This Row],[원가]]</f>
        <v>14963</v>
      </c>
      <c r="F16" s="5">
        <v>26890</v>
      </c>
      <c r="G16" s="5">
        <f>IF(표3[[#This Row],[인터넷판매가]] = 0, 0, 표6_2101214[[#This Row],[신규가]]-표3[[#This Row],[인터넷판매가]])</f>
        <v>900</v>
      </c>
      <c r="H16" s="1"/>
      <c r="I16" s="22">
        <f>ROUND(표6_2101214[[#This Row],[신규가]]*$C$2, 0)</f>
        <v>3227</v>
      </c>
      <c r="J16" s="22">
        <v>2750</v>
      </c>
      <c r="K16" s="22">
        <f>ROUND(표6_2101214[[#This Row],[신규가]]/11-표3[[#This Row],[원가]]/11-표5_111315[[#This Row],[수수료]]/11-표5_111315[[#This Row],[택배비]]/11, 0)</f>
        <v>541</v>
      </c>
      <c r="L16" s="22">
        <f>ROUND(표5_111315[[#This Row],[부가세]]*$F$2, 0)</f>
        <v>216</v>
      </c>
      <c r="M16" s="22">
        <f>표6_2101214[[#This Row],[신규가]]-표3[[#This Row],[원가]]-표5_111315[[#This Row],[수수료]]-표5_111315[[#This Row],[택배비]]-표5_111315[[#This Row],[부가세]]-표5_111315[[#This Row],[종소세]]</f>
        <v>5193</v>
      </c>
      <c r="N16" s="26">
        <f>IF(표6_2101214[[#This Row],[신규가]] = 0, 0, 표5_111315[[#This Row],[순수익]]/표6_2101214[[#This Row],[신규가]])</f>
        <v>0.19312011900334697</v>
      </c>
      <c r="O16" s="4" t="s">
        <v>59</v>
      </c>
      <c r="Q16" s="42">
        <v>0.19315707620528771</v>
      </c>
    </row>
    <row r="17" spans="2:19" x14ac:dyDescent="0.4">
      <c r="B17" s="4">
        <v>14</v>
      </c>
      <c r="C17" s="8" t="s">
        <v>12</v>
      </c>
      <c r="D17" s="8">
        <v>16</v>
      </c>
      <c r="E17" s="5">
        <f>표3[[#This Row],[원가]]</f>
        <v>21207</v>
      </c>
      <c r="F17" s="5">
        <v>36370</v>
      </c>
      <c r="G17" s="5">
        <f>IF(표3[[#This Row],[인터넷판매가]] = 0, 0, 표6_2101214[[#This Row],[신규가]]-표3[[#This Row],[인터넷판매가]])</f>
        <v>1380</v>
      </c>
      <c r="H17" s="1"/>
      <c r="I17" s="22">
        <f>ROUND(표6_2101214[[#This Row],[신규가]]*$C$2, 0)</f>
        <v>4364</v>
      </c>
      <c r="J17" s="22">
        <v>2750</v>
      </c>
      <c r="K17" s="22">
        <f>ROUND(표6_2101214[[#This Row],[신규가]]/11-표3[[#This Row],[원가]]/11-표5_111315[[#This Row],[수수료]]/11-표5_111315[[#This Row],[택배비]]/11, 0)</f>
        <v>732</v>
      </c>
      <c r="L17" s="22">
        <f>ROUND(표5_111315[[#This Row],[부가세]]*$F$2, 0)</f>
        <v>293</v>
      </c>
      <c r="M17" s="22">
        <f>표6_2101214[[#This Row],[신규가]]-표3[[#This Row],[원가]]-표5_111315[[#This Row],[수수료]]-표5_111315[[#This Row],[택배비]]-표5_111315[[#This Row],[부가세]]-표5_111315[[#This Row],[종소세]]</f>
        <v>7024</v>
      </c>
      <c r="N17" s="26">
        <f>IF(표6_2101214[[#This Row],[신규가]] = 0, 0, 표5_111315[[#This Row],[순수익]]/표6_2101214[[#This Row],[신규가]])</f>
        <v>0.19312620291448995</v>
      </c>
      <c r="O17" s="4" t="s">
        <v>59</v>
      </c>
      <c r="Q17" s="42">
        <v>0.19304197814836113</v>
      </c>
    </row>
    <row r="18" spans="2:19" x14ac:dyDescent="0.4">
      <c r="B18" s="4">
        <v>15</v>
      </c>
      <c r="C18" s="8" t="s">
        <v>13</v>
      </c>
      <c r="D18" s="8">
        <v>16</v>
      </c>
      <c r="E18" s="5">
        <f>표3[[#This Row],[원가]]</f>
        <v>12568</v>
      </c>
      <c r="F18" s="5">
        <v>22800</v>
      </c>
      <c r="G18" s="5">
        <f>IF(표3[[#This Row],[인터넷판매가]] = 0, 0, 표6_2101214[[#This Row],[신규가]]-표3[[#This Row],[인터넷판매가]])</f>
        <v>1300</v>
      </c>
      <c r="H18" s="1"/>
      <c r="I18" s="22">
        <f>ROUND(표6_2101214[[#This Row],[신규가]]*$C$2, 0)</f>
        <v>2736</v>
      </c>
      <c r="J18" s="22">
        <v>2750</v>
      </c>
      <c r="K18" s="22">
        <f>ROUND(표6_2101214[[#This Row],[신규가]]/11-표3[[#This Row],[원가]]/11-표5_111315[[#This Row],[수수료]]/11-표5_111315[[#This Row],[택배비]]/11, 0)</f>
        <v>431</v>
      </c>
      <c r="L18" s="22">
        <f>ROUND(표5_111315[[#This Row],[부가세]]*$F$2, 0)</f>
        <v>172</v>
      </c>
      <c r="M18" s="22">
        <f>표6_2101214[[#This Row],[신규가]]-표3[[#This Row],[원가]]-표5_111315[[#This Row],[수수료]]-표5_111315[[#This Row],[택배비]]-표5_111315[[#This Row],[부가세]]-표5_111315[[#This Row],[종소세]]</f>
        <v>4143</v>
      </c>
      <c r="N18" s="26">
        <f>IF(표6_2101214[[#This Row],[신규가]] = 0, 0, 표5_111315[[#This Row],[순수익]]/표6_2101214[[#This Row],[신규가]])</f>
        <v>0.18171052631578946</v>
      </c>
      <c r="O18" s="4" t="s">
        <v>59</v>
      </c>
      <c r="Q18" s="42">
        <v>0.18514806378132118</v>
      </c>
      <c r="S18" s="40"/>
    </row>
    <row r="19" spans="2:19" x14ac:dyDescent="0.4">
      <c r="B19" s="4">
        <v>16</v>
      </c>
      <c r="C19" s="8" t="s">
        <v>14</v>
      </c>
      <c r="D19" s="8">
        <v>16</v>
      </c>
      <c r="E19" s="5">
        <f>표3[[#This Row],[원가]]</f>
        <v>14459</v>
      </c>
      <c r="F19" s="5">
        <v>26120</v>
      </c>
      <c r="G19" s="5">
        <f>IF(표3[[#This Row],[인터넷판매가]] = 0, 0, 표6_2101214[[#This Row],[신규가]]-표3[[#This Row],[인터넷판매가]])</f>
        <v>630</v>
      </c>
      <c r="H19" s="1"/>
      <c r="I19" s="22">
        <f>ROUND(표6_2101214[[#This Row],[신규가]]*$C$2, 0)</f>
        <v>3134</v>
      </c>
      <c r="J19" s="22">
        <v>2750</v>
      </c>
      <c r="K19" s="22">
        <f>ROUND(표6_2101214[[#This Row],[신규가]]/11-표3[[#This Row],[원가]]/11-표5_111315[[#This Row],[수수료]]/11-표5_111315[[#This Row],[택배비]]/11, 0)</f>
        <v>525</v>
      </c>
      <c r="L19" s="22">
        <f>ROUND(표5_111315[[#This Row],[부가세]]*$F$2, 0)</f>
        <v>210</v>
      </c>
      <c r="M19" s="22">
        <f>표6_2101214[[#This Row],[신규가]]-표3[[#This Row],[원가]]-표5_111315[[#This Row],[수수료]]-표5_111315[[#This Row],[택배비]]-표5_111315[[#This Row],[부가세]]-표5_111315[[#This Row],[종소세]]</f>
        <v>5042</v>
      </c>
      <c r="N19" s="26">
        <f>IF(표6_2101214[[#This Row],[신규가]] = 0, 0, 표5_111315[[#This Row],[순수익]]/표6_2101214[[#This Row],[신규가]])</f>
        <v>0.19303215926493109</v>
      </c>
      <c r="O19" s="4" t="s">
        <v>59</v>
      </c>
      <c r="Q19" s="42">
        <v>0.19295436349079265</v>
      </c>
    </row>
    <row r="20" spans="2:19" x14ac:dyDescent="0.4">
      <c r="B20" s="4">
        <v>17</v>
      </c>
      <c r="C20" s="8" t="s">
        <v>15</v>
      </c>
      <c r="D20" s="8">
        <v>16</v>
      </c>
      <c r="E20" s="5">
        <f>표3[[#This Row],[원가]]</f>
        <v>15710</v>
      </c>
      <c r="F20" s="5">
        <v>28020</v>
      </c>
      <c r="G20" s="5">
        <f>IF(표3[[#This Row],[인터넷판매가]] = 0, 0, 표6_2101214[[#This Row],[신규가]]-표3[[#This Row],[인터넷판매가]])</f>
        <v>1030</v>
      </c>
      <c r="H20" s="1"/>
      <c r="I20" s="22">
        <f>ROUND(표6_2101214[[#This Row],[신규가]]*$C$2, 0)</f>
        <v>3362</v>
      </c>
      <c r="J20" s="22">
        <v>2750</v>
      </c>
      <c r="K20" s="22">
        <f>ROUND(표6_2101214[[#This Row],[신규가]]/11-표3[[#This Row],[원가]]/11-표5_111315[[#This Row],[수수료]]/11-표5_111315[[#This Row],[택배비]]/11, 0)</f>
        <v>563</v>
      </c>
      <c r="L20" s="22">
        <f>ROUND(표5_111315[[#This Row],[부가세]]*$F$2, 0)</f>
        <v>225</v>
      </c>
      <c r="M20" s="22">
        <f>표6_2101214[[#This Row],[신규가]]-표3[[#This Row],[원가]]-표5_111315[[#This Row],[수수료]]-표5_111315[[#This Row],[택배비]]-표5_111315[[#This Row],[부가세]]-표5_111315[[#This Row],[종소세]]</f>
        <v>5410</v>
      </c>
      <c r="N20" s="26">
        <f>IF(표6_2101214[[#This Row],[신규가]] = 0, 0, 표5_111315[[#This Row],[순수익]]/표6_2101214[[#This Row],[신규가]])</f>
        <v>0.19307637401855818</v>
      </c>
      <c r="O20" s="4" t="s">
        <v>59</v>
      </c>
      <c r="Q20" s="42">
        <v>0.19302238805970148</v>
      </c>
    </row>
    <row r="21" spans="2:19" x14ac:dyDescent="0.4">
      <c r="B21" s="4">
        <v>18</v>
      </c>
      <c r="C21" s="8" t="s">
        <v>16</v>
      </c>
      <c r="D21" s="8">
        <v>16</v>
      </c>
      <c r="E21" s="5">
        <f>표3[[#This Row],[원가]]</f>
        <v>21993</v>
      </c>
      <c r="F21" s="5">
        <v>37630</v>
      </c>
      <c r="G21" s="5">
        <f>IF(표3[[#This Row],[인터넷판매가]] = 0, 0, 표6_2101214[[#This Row],[신규가]]-표3[[#This Row],[인터넷판매가]])</f>
        <v>1640</v>
      </c>
      <c r="H21" s="1"/>
      <c r="I21" s="22">
        <f>ROUND(표6_2101214[[#This Row],[신규가]]*$C$2, 0)</f>
        <v>4516</v>
      </c>
      <c r="J21" s="22">
        <v>2750</v>
      </c>
      <c r="K21" s="22">
        <f>ROUND(표6_2101214[[#This Row],[신규가]]/11-표3[[#This Row],[원가]]/11-표5_111315[[#This Row],[수수료]]/11-표5_111315[[#This Row],[택배비]]/11, 0)</f>
        <v>761</v>
      </c>
      <c r="L21" s="22">
        <f>ROUND(표5_111315[[#This Row],[부가세]]*$F$2, 0)</f>
        <v>304</v>
      </c>
      <c r="M21" s="22">
        <f>표6_2101214[[#This Row],[신규가]]-표3[[#This Row],[원가]]-표5_111315[[#This Row],[수수료]]-표5_111315[[#This Row],[택배비]]-표5_111315[[#This Row],[부가세]]-표5_111315[[#This Row],[종소세]]</f>
        <v>7306</v>
      </c>
      <c r="N21" s="26">
        <f>IF(표6_2101214[[#This Row],[신규가]] = 0, 0, 표5_111315[[#This Row],[순수익]]/표6_2101214[[#This Row],[신규가]])</f>
        <v>0.19415360085038533</v>
      </c>
      <c r="O21" s="4" t="s">
        <v>69</v>
      </c>
      <c r="Q21" s="42">
        <v>0.19419283134203946</v>
      </c>
    </row>
    <row r="22" spans="2:19" x14ac:dyDescent="0.4">
      <c r="B22" s="4">
        <v>19</v>
      </c>
      <c r="C22" s="8" t="s">
        <v>17</v>
      </c>
      <c r="D22" s="8">
        <v>10000</v>
      </c>
      <c r="E22" s="5">
        <f>표3[[#This Row],[원가]]</f>
        <v>9000</v>
      </c>
      <c r="F22" s="5">
        <v>17740</v>
      </c>
      <c r="G22" s="5">
        <f>IF(표3[[#This Row],[인터넷판매가]] = 0, 0, 표6_2101214[[#This Row],[신규가]]-표3[[#This Row],[인터넷판매가]])</f>
        <v>0</v>
      </c>
      <c r="I22" s="22">
        <f>ROUND(표6_2101214[[#This Row],[신규가]]*$C$2, 0)</f>
        <v>2129</v>
      </c>
      <c r="J22" s="22">
        <v>2750</v>
      </c>
      <c r="K22" s="22">
        <f>ROUND(표6_2101214[[#This Row],[신규가]]/11-표3[[#This Row],[원가]]/11-표5_111315[[#This Row],[수수료]]/11-표5_111315[[#This Row],[택배비]]/11, 0)</f>
        <v>351</v>
      </c>
      <c r="L22" s="22">
        <f>ROUND(표5_111315[[#This Row],[부가세]]*$F$2, 0)</f>
        <v>140</v>
      </c>
      <c r="M22" s="22">
        <f>표6_2101214[[#This Row],[신규가]]-표3[[#This Row],[원가]]-표5_111315[[#This Row],[수수료]]-표5_111315[[#This Row],[택배비]]-표5_111315[[#This Row],[부가세]]-표5_111315[[#This Row],[종소세]]</f>
        <v>3370</v>
      </c>
      <c r="N22" s="26">
        <f>IF(표6_2101214[[#This Row],[신규가]] = 0, 0, 표5_111315[[#This Row],[순수익]]/표6_2101214[[#This Row],[신규가]])</f>
        <v>0.18996617812852312</v>
      </c>
      <c r="O22" s="4" t="s">
        <v>62</v>
      </c>
      <c r="Q22" s="42">
        <v>0.18992339422510313</v>
      </c>
    </row>
    <row r="23" spans="2:19" x14ac:dyDescent="0.4">
      <c r="B23" s="4">
        <v>20</v>
      </c>
      <c r="C23" s="8" t="s">
        <v>18</v>
      </c>
      <c r="D23" s="8">
        <v>5000</v>
      </c>
      <c r="E23" s="5">
        <f>표3[[#This Row],[원가]]</f>
        <v>16000</v>
      </c>
      <c r="F23" s="5">
        <v>28210</v>
      </c>
      <c r="G23" s="5">
        <f>IF(표3[[#This Row],[인터넷판매가]] = 0, 0, 표6_2101214[[#This Row],[신규가]]-표3[[#This Row],[인터넷판매가]])</f>
        <v>0</v>
      </c>
      <c r="I23" s="22">
        <f>ROUND(표6_2101214[[#This Row],[신규가]]*$C$2, 0)</f>
        <v>3385</v>
      </c>
      <c r="J23" s="22">
        <v>2750</v>
      </c>
      <c r="K23" s="22">
        <f>ROUND(표6_2101214[[#This Row],[신규가]]/11-표3[[#This Row],[원가]]/11-표5_111315[[#This Row],[수수료]]/11-표5_111315[[#This Row],[택배비]]/11, 0)</f>
        <v>552</v>
      </c>
      <c r="L23" s="22">
        <f>ROUND(표5_111315[[#This Row],[부가세]]*$F$2, 0)</f>
        <v>221</v>
      </c>
      <c r="M23" s="22">
        <f>표6_2101214[[#This Row],[신규가]]-표3[[#This Row],[원가]]-표5_111315[[#This Row],[수수료]]-표5_111315[[#This Row],[택배비]]-표5_111315[[#This Row],[부가세]]-표5_111315[[#This Row],[종소세]]</f>
        <v>5302</v>
      </c>
      <c r="N23" s="26">
        <f>IF(표6_2101214[[#This Row],[신규가]] = 0, 0, 표5_111315[[#This Row],[순수익]]/표6_2101214[[#This Row],[신규가]])</f>
        <v>0.1879475363346331</v>
      </c>
      <c r="O23" s="4" t="s">
        <v>63</v>
      </c>
      <c r="Q23" s="42">
        <v>0.18792145238977398</v>
      </c>
    </row>
    <row r="24" spans="2:19" x14ac:dyDescent="0.4">
      <c r="B24" s="28">
        <v>21</v>
      </c>
      <c r="C24" s="29" t="s">
        <v>0</v>
      </c>
      <c r="D24" s="30">
        <v>7</v>
      </c>
      <c r="E24" s="31">
        <f>표3[[#This Row],[원가]]</f>
        <v>13776</v>
      </c>
      <c r="F24" s="31">
        <v>24540</v>
      </c>
      <c r="G24" s="31">
        <f>IF(표3[[#This Row],[인터넷판매가]] = 0, 0, 표6_2101214[[#This Row],[신규가]]-표3[[#This Row],[인터넷판매가]])</f>
        <v>0</v>
      </c>
      <c r="I24" s="34">
        <f>ROUND(표6_2101214[[#This Row],[신규가]]*$C$2, 0)</f>
        <v>2945</v>
      </c>
      <c r="J24" s="34">
        <v>2750</v>
      </c>
      <c r="K24" s="34">
        <f>ROUND(표6_2101214[[#This Row],[신규가]]/11-표3[[#This Row],[원가]]/11-표5_111315[[#This Row],[수수료]]/11-표5_111315[[#This Row],[택배비]]/11, 0)</f>
        <v>461</v>
      </c>
      <c r="L24" s="34">
        <f>ROUND(표5_111315[[#This Row],[부가세]]*$F$2, 0)</f>
        <v>184</v>
      </c>
      <c r="M24" s="34">
        <f>표6_2101214[[#This Row],[신규가]]-표3[[#This Row],[원가]]-표5_111315[[#This Row],[수수료]]-표5_111315[[#This Row],[택배비]]-표5_111315[[#This Row],[부가세]]-표5_111315[[#This Row],[종소세]]</f>
        <v>4424</v>
      </c>
      <c r="N24" s="35">
        <f>IF(표6_2101214[[#This Row],[신규가]] = 0, 0, 표5_111315[[#This Row],[순수익]]/표6_2101214[[#This Row],[신규가]])</f>
        <v>0.18027709861450691</v>
      </c>
      <c r="O24" s="36" t="s">
        <v>63</v>
      </c>
      <c r="Q24" s="42">
        <v>0.18020434227330778</v>
      </c>
      <c r="R24" s="1"/>
    </row>
    <row r="25" spans="2:19" x14ac:dyDescent="0.4">
      <c r="B25" s="28">
        <v>22</v>
      </c>
      <c r="C25" s="32" t="s">
        <v>0</v>
      </c>
      <c r="D25" s="33">
        <v>6</v>
      </c>
      <c r="E25" s="31">
        <f>표3[[#This Row],[원가]]</f>
        <v>11808</v>
      </c>
      <c r="F25" s="31">
        <v>21610</v>
      </c>
      <c r="G25" s="31">
        <f>IF(표3[[#This Row],[인터넷판매가]] = 0, 0, 표6_2101214[[#This Row],[신규가]]-표3[[#This Row],[인터넷판매가]])</f>
        <v>0</v>
      </c>
      <c r="I25" s="34">
        <f>ROUND(표6_2101214[[#This Row],[신규가]]*$C$2, 0)</f>
        <v>2593</v>
      </c>
      <c r="J25" s="34">
        <v>2750</v>
      </c>
      <c r="K25" s="34">
        <f>ROUND(표6_2101214[[#This Row],[신규가]]/11-표3[[#This Row],[원가]]/11-표5_111315[[#This Row],[수수료]]/11-표5_111315[[#This Row],[택배비]]/11, 0)</f>
        <v>405</v>
      </c>
      <c r="L25" s="34">
        <f>ROUND(표5_111315[[#This Row],[부가세]]*$F$2, 0)</f>
        <v>162</v>
      </c>
      <c r="M25" s="34">
        <f>표6_2101214[[#This Row],[신규가]]-표3[[#This Row],[원가]]-표5_111315[[#This Row],[수수료]]-표5_111315[[#This Row],[택배비]]-표5_111315[[#This Row],[부가세]]-표5_111315[[#This Row],[종소세]]</f>
        <v>3892</v>
      </c>
      <c r="N25" s="35">
        <f>IF(표6_2101214[[#This Row],[신규가]] = 0, 0, 표5_111315[[#This Row],[순수익]]/표6_2101214[[#This Row],[신규가]])</f>
        <v>0.18010180472003701</v>
      </c>
      <c r="O25" s="36" t="s">
        <v>63</v>
      </c>
      <c r="Q25" s="42">
        <v>0.18013533107781537</v>
      </c>
    </row>
    <row r="26" spans="2:19" x14ac:dyDescent="0.4">
      <c r="B26" s="28">
        <v>23</v>
      </c>
      <c r="C26" s="29" t="s">
        <v>0</v>
      </c>
      <c r="D26" s="29">
        <v>5</v>
      </c>
      <c r="E26" s="31">
        <f>표3[[#This Row],[원가]]</f>
        <v>9840</v>
      </c>
      <c r="F26" s="31">
        <v>18690</v>
      </c>
      <c r="G26" s="31">
        <f>IF(표3[[#This Row],[인터넷판매가]] = 0, 0, 표6_2101214[[#This Row],[신규가]]-표3[[#This Row],[인터넷판매가]])</f>
        <v>0</v>
      </c>
      <c r="I26" s="34">
        <f>ROUND(표6_2101214[[#This Row],[신규가]]*$C$2, 0)</f>
        <v>2243</v>
      </c>
      <c r="J26" s="34">
        <v>2750</v>
      </c>
      <c r="K26" s="34">
        <f>ROUND(표6_2101214[[#This Row],[신규가]]/11-표3[[#This Row],[원가]]/11-표5_111315[[#This Row],[수수료]]/11-표5_111315[[#This Row],[택배비]]/11, 0)</f>
        <v>351</v>
      </c>
      <c r="L26" s="34">
        <f>ROUND(표5_111315[[#This Row],[부가세]]*$F$2, 0)</f>
        <v>140</v>
      </c>
      <c r="M26" s="34">
        <f>표6_2101214[[#This Row],[신규가]]-표3[[#This Row],[원가]]-표5_111315[[#This Row],[수수료]]-표5_111315[[#This Row],[택배비]]-표5_111315[[#This Row],[부가세]]-표5_111315[[#This Row],[종소세]]</f>
        <v>3366</v>
      </c>
      <c r="N26" s="35">
        <f>IF(표6_2101214[[#This Row],[신규가]] = 0, 0, 표5_111315[[#This Row],[순수익]]/표6_2101214[[#This Row],[신규가]])</f>
        <v>0.18009630818619582</v>
      </c>
      <c r="O26" s="36" t="s">
        <v>63</v>
      </c>
      <c r="Q26" s="42">
        <v>0.18004471771939631</v>
      </c>
    </row>
    <row r="27" spans="2:19" x14ac:dyDescent="0.4">
      <c r="B27" s="28">
        <v>24</v>
      </c>
      <c r="C27" s="29" t="s">
        <v>0</v>
      </c>
      <c r="D27" s="29">
        <v>3</v>
      </c>
      <c r="E27" s="31">
        <f>표3[[#This Row],[원가]]</f>
        <v>12785</v>
      </c>
      <c r="F27" s="31">
        <v>23410</v>
      </c>
      <c r="G27" s="31">
        <f>IF(표3[[#This Row],[인터넷판매가]] = 0, 0, 표6_2101214[[#This Row],[신규가]]-표3[[#This Row],[인터넷판매가]])</f>
        <v>0</v>
      </c>
      <c r="I27" s="34">
        <f>ROUND(표6_2101214[[#This Row],[신규가]]*$C$2, 0)</f>
        <v>2809</v>
      </c>
      <c r="J27" s="34">
        <v>2750</v>
      </c>
      <c r="K27" s="34">
        <f>ROUND(표6_2101214[[#This Row],[신규가]]/11-표3[[#This Row],[원가]]/11-표5_111315[[#This Row],[수수료]]/11-표5_111315[[#This Row],[택배비]]/11, 0)</f>
        <v>461</v>
      </c>
      <c r="L27" s="34">
        <f>ROUND(표5_111315[[#This Row],[부가세]]*$F$2, 0)</f>
        <v>184</v>
      </c>
      <c r="M27" s="34">
        <f>표6_2101214[[#This Row],[신규가]]-표3[[#This Row],[원가]]-표5_111315[[#This Row],[수수료]]-표5_111315[[#This Row],[택배비]]-표5_111315[[#This Row],[부가세]]-표5_111315[[#This Row],[종소세]]</f>
        <v>4421</v>
      </c>
      <c r="N27" s="35">
        <f>IF(표6_2101214[[#This Row],[신규가]] = 0, 0, 표5_111315[[#This Row],[순수익]]/표6_2101214[[#This Row],[신규가]])</f>
        <v>0.18885091841093549</v>
      </c>
      <c r="O27" s="36" t="s">
        <v>63</v>
      </c>
      <c r="Q27" s="42">
        <v>0.18892857142857142</v>
      </c>
    </row>
    <row r="28" spans="2:19" x14ac:dyDescent="0.4">
      <c r="B28" s="28">
        <v>25</v>
      </c>
      <c r="C28" s="29" t="s">
        <v>0</v>
      </c>
      <c r="D28" s="29">
        <v>2</v>
      </c>
      <c r="E28" s="31">
        <f>표3[[#This Row],[원가]]</f>
        <v>8523</v>
      </c>
      <c r="F28" s="31">
        <v>16240</v>
      </c>
      <c r="G28" s="31">
        <f>IF(표3[[#This Row],[인터넷판매가]] = 0, 0, 표6_2101214[[#This Row],[신규가]]-표3[[#This Row],[인터넷판매가]])</f>
        <v>0</v>
      </c>
      <c r="I28" s="34">
        <f>ROUND(표6_2101214[[#This Row],[신규가]]*$C$2, 0)</f>
        <v>1949</v>
      </c>
      <c r="J28" s="34">
        <v>2250</v>
      </c>
      <c r="K28" s="34">
        <f>ROUND(표6_2101214[[#This Row],[신규가]]/11-표3[[#This Row],[원가]]/11-표5_111315[[#This Row],[수수료]]/11-표5_111315[[#This Row],[택배비]]/11, 0)</f>
        <v>320</v>
      </c>
      <c r="L28" s="34">
        <f>ROUND(표5_111315[[#This Row],[부가세]]*$F$2, 0)</f>
        <v>128</v>
      </c>
      <c r="M28" s="34">
        <f>표6_2101214[[#This Row],[신규가]]-표3[[#This Row],[원가]]-표5_111315[[#This Row],[수수료]]-표5_111315[[#This Row],[택배비]]-표5_111315[[#This Row],[부가세]]-표5_111315[[#This Row],[종소세]]</f>
        <v>3070</v>
      </c>
      <c r="N28" s="35">
        <f>IF(표6_2101214[[#This Row],[신규가]] = 0, 0, 표5_111315[[#This Row],[순수익]]/표6_2101214[[#This Row],[신규가]])</f>
        <v>0.18903940886699508</v>
      </c>
      <c r="O28" s="36" t="s">
        <v>63</v>
      </c>
      <c r="Q28" s="42">
        <v>0.18879587894397939</v>
      </c>
    </row>
    <row r="29" spans="2:19" x14ac:dyDescent="0.4">
      <c r="B29" s="28">
        <v>26</v>
      </c>
      <c r="C29" s="29" t="s">
        <v>6</v>
      </c>
      <c r="D29" s="29">
        <v>2</v>
      </c>
      <c r="E29" s="31">
        <f>표3[[#This Row],[원가]]</f>
        <v>10696</v>
      </c>
      <c r="F29" s="31">
        <v>20700</v>
      </c>
      <c r="G29" s="31">
        <f>IF(표3[[#This Row],[인터넷판매가]] = 0, 0, 표6_2101214[[#This Row],[신규가]]-표3[[#This Row],[인터넷판매가]])</f>
        <v>0</v>
      </c>
      <c r="I29" s="34">
        <f>ROUND(표6_2101214[[#This Row],[신규가]]*$C$2, 0)</f>
        <v>2484</v>
      </c>
      <c r="J29" s="34">
        <v>2750</v>
      </c>
      <c r="K29" s="34">
        <f>ROUND(표6_2101214[[#This Row],[신규가]]/11-표3[[#This Row],[원가]]/11-표5_111315[[#This Row],[수수료]]/11-표5_111315[[#This Row],[택배비]]/11, 0)</f>
        <v>434</v>
      </c>
      <c r="L29" s="34">
        <f>ROUND(표5_111315[[#This Row],[부가세]]*$F$2, 0)</f>
        <v>174</v>
      </c>
      <c r="M29" s="34">
        <f>표6_2101214[[#This Row],[신규가]]-표3[[#This Row],[원가]]-표5_111315[[#This Row],[수수료]]-표5_111315[[#This Row],[택배비]]-표5_111315[[#This Row],[부가세]]-표5_111315[[#This Row],[종소세]]</f>
        <v>4162</v>
      </c>
      <c r="N29" s="35">
        <f>IF(표6_2101214[[#This Row],[신규가]] = 0, 0, 표5_111315[[#This Row],[순수익]]/표6_2101214[[#This Row],[신규가]])</f>
        <v>0.20106280193236714</v>
      </c>
      <c r="O29" s="36" t="s">
        <v>63</v>
      </c>
      <c r="Q29" s="42">
        <v>0.18752525252525251</v>
      </c>
    </row>
    <row r="30" spans="2:19" x14ac:dyDescent="0.4">
      <c r="B30" s="28">
        <v>27</v>
      </c>
      <c r="C30" s="29" t="s">
        <v>48</v>
      </c>
      <c r="D30" s="29">
        <v>2</v>
      </c>
      <c r="E30" s="31">
        <f>표3[[#This Row],[원가]]</f>
        <v>11013</v>
      </c>
      <c r="F30" s="31">
        <v>21080</v>
      </c>
      <c r="G30" s="31">
        <f>IF(표3[[#This Row],[인터넷판매가]] = 0, 0, 표6_2101214[[#This Row],[신규가]]-표3[[#This Row],[인터넷판매가]])</f>
        <v>0</v>
      </c>
      <c r="I30" s="34">
        <f>ROUND(표6_2101214[[#This Row],[신규가]]*$C$2, 0)</f>
        <v>2530</v>
      </c>
      <c r="J30" s="34">
        <v>2750</v>
      </c>
      <c r="K30" s="34">
        <f>ROUND(표6_2101214[[#This Row],[신규가]]/11-표3[[#This Row],[원가]]/11-표5_111315[[#This Row],[수수료]]/11-표5_111315[[#This Row],[택배비]]/11, 0)</f>
        <v>435</v>
      </c>
      <c r="L30" s="34">
        <f>ROUND(표5_111315[[#This Row],[부가세]]*$F$2, 0)</f>
        <v>174</v>
      </c>
      <c r="M30" s="34">
        <f>표6_2101214[[#This Row],[신규가]]-표3[[#This Row],[원가]]-표5_111315[[#This Row],[수수료]]-표5_111315[[#This Row],[택배비]]-표5_111315[[#This Row],[부가세]]-표5_111315[[#This Row],[종소세]]</f>
        <v>4178</v>
      </c>
      <c r="N30" s="35">
        <f>IF(표6_2101214[[#This Row],[신규가]] = 0, 0, 표5_111315[[#This Row],[순수익]]/표6_2101214[[#This Row],[신규가]])</f>
        <v>0.19819734345351045</v>
      </c>
      <c r="O30" s="36" t="s">
        <v>63</v>
      </c>
      <c r="Q30" s="42">
        <v>0.18750619732275656</v>
      </c>
    </row>
    <row r="31" spans="2:19" x14ac:dyDescent="0.4">
      <c r="B31" s="28">
        <v>28</v>
      </c>
      <c r="C31" s="29" t="s">
        <v>49</v>
      </c>
      <c r="D31" s="29">
        <v>3</v>
      </c>
      <c r="E31" s="31">
        <f>표3[[#This Row],[원가]]</f>
        <v>11271</v>
      </c>
      <c r="F31" s="31">
        <v>17730</v>
      </c>
      <c r="G31" s="31">
        <f>IF(표3[[#This Row],[인터넷판매가]] = 0, 0, 표6_2101214[[#This Row],[신규가]]-표3[[#This Row],[인터넷판매가]])</f>
        <v>0</v>
      </c>
      <c r="I31" s="34">
        <f>ROUND(표6_2101214[[#This Row],[신규가]]*$C$2, 0)</f>
        <v>2128</v>
      </c>
      <c r="J31" s="34">
        <v>2750</v>
      </c>
      <c r="K31" s="34">
        <f>ROUND(표6_2101214[[#This Row],[신규가]]/11-표3[[#This Row],[원가]]/11-표5_111315[[#This Row],[수수료]]/11-표5_111315[[#This Row],[택배비]]/11, 0)</f>
        <v>144</v>
      </c>
      <c r="L31" s="34">
        <f>ROUND(표5_111315[[#This Row],[부가세]]*$F$2, 0)</f>
        <v>58</v>
      </c>
      <c r="M31" s="34">
        <f>표6_2101214[[#This Row],[신규가]]-표3[[#This Row],[원가]]-표5_111315[[#This Row],[수수료]]-표5_111315[[#This Row],[택배비]]-표5_111315[[#This Row],[부가세]]-표5_111315[[#This Row],[종소세]]</f>
        <v>1379</v>
      </c>
      <c r="N31" s="35">
        <f>IF(표6_2101214[[#This Row],[신규가]] = 0, 0, 표5_111315[[#This Row],[순수익]]/표6_2101214[[#This Row],[신규가]])</f>
        <v>7.7777777777777779E-2</v>
      </c>
      <c r="O31" s="36" t="s">
        <v>63</v>
      </c>
      <c r="Q31" s="42">
        <v>0.19027122641509434</v>
      </c>
    </row>
    <row r="32" spans="2:19" x14ac:dyDescent="0.4">
      <c r="B32" s="28">
        <v>29</v>
      </c>
      <c r="C32" s="29" t="s">
        <v>50</v>
      </c>
      <c r="D32" s="29">
        <v>3</v>
      </c>
      <c r="E32" s="31">
        <f>표3[[#This Row],[원가]]</f>
        <v>8987</v>
      </c>
      <c r="F32" s="31">
        <v>18390</v>
      </c>
      <c r="G32" s="31">
        <f>IF(표3[[#This Row],[인터넷판매가]] = 0, 0, 표6_2101214[[#This Row],[신규가]]-표3[[#This Row],[인터넷판매가]])</f>
        <v>0</v>
      </c>
      <c r="I32" s="34">
        <f>ROUND(표6_2101214[[#This Row],[신규가]]*$C$2, 0)</f>
        <v>2207</v>
      </c>
      <c r="J32" s="34">
        <v>2750</v>
      </c>
      <c r="K32" s="34">
        <f>ROUND(표6_2101214[[#This Row],[신규가]]/11-표3[[#This Row],[원가]]/11-표5_111315[[#This Row],[수수료]]/11-표5_111315[[#This Row],[택배비]]/11, 0)</f>
        <v>404</v>
      </c>
      <c r="L32" s="34">
        <f>ROUND(표5_111315[[#This Row],[부가세]]*$F$2, 0)</f>
        <v>162</v>
      </c>
      <c r="M32" s="34">
        <f>표6_2101214[[#This Row],[신규가]]-표3[[#This Row],[원가]]-표5_111315[[#This Row],[수수료]]-표5_111315[[#This Row],[택배비]]-표5_111315[[#This Row],[부가세]]-표5_111315[[#This Row],[종소세]]</f>
        <v>3880</v>
      </c>
      <c r="N32" s="35">
        <f>IF(표6_2101214[[#This Row],[신규가]] = 0, 0, 표5_111315[[#This Row],[순수익]]/표6_2101214[[#This Row],[신규가]])</f>
        <v>0.210984230560087</v>
      </c>
      <c r="O32" s="36" t="s">
        <v>63</v>
      </c>
      <c r="Q32" s="42">
        <v>0.19010801591813531</v>
      </c>
    </row>
    <row r="33" spans="2:7" x14ac:dyDescent="0.4">
      <c r="B33" s="4"/>
      <c r="C33" s="8"/>
      <c r="D33" s="8"/>
      <c r="E33" s="21"/>
      <c r="F33" s="22"/>
      <c r="G33" s="22"/>
    </row>
    <row r="34" spans="2:7" x14ac:dyDescent="0.4">
      <c r="B34" s="4"/>
      <c r="C34" s="8"/>
      <c r="D34" s="8"/>
      <c r="E34" s="41"/>
      <c r="F34" s="22"/>
    </row>
  </sheetData>
  <phoneticPr fontId="1" type="noConversion"/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T52"/>
  <sheetViews>
    <sheetView zoomScale="85" zoomScaleNormal="85" workbookViewId="0">
      <selection activeCell="B2" sqref="B2:U13"/>
    </sheetView>
  </sheetViews>
  <sheetFormatPr defaultColWidth="8.69921875" defaultRowHeight="13.2" x14ac:dyDescent="0.4"/>
  <cols>
    <col min="1" max="1" width="4.3984375" style="2" customWidth="1"/>
    <col min="2" max="2" width="7.19921875" style="2" bestFit="1" customWidth="1"/>
    <col min="3" max="3" width="4.09765625" style="2" bestFit="1" customWidth="1"/>
    <col min="4" max="4" width="5.19921875" style="2" bestFit="1" customWidth="1"/>
    <col min="5" max="5" width="5.8984375" style="2" bestFit="1" customWidth="1"/>
    <col min="6" max="6" width="4.3984375" style="2" customWidth="1"/>
    <col min="7" max="7" width="14.19921875" style="2" bestFit="1" customWidth="1"/>
    <col min="8" max="8" width="4.09765625" style="2" bestFit="1" customWidth="1"/>
    <col min="9" max="9" width="6" style="2" bestFit="1" customWidth="1"/>
    <col min="10" max="10" width="5.8984375" style="2" bestFit="1" customWidth="1"/>
    <col min="11" max="11" width="3.5" style="2" customWidth="1"/>
    <col min="12" max="15" width="8.69921875" style="2"/>
    <col min="16" max="16" width="4.19921875" style="2" customWidth="1"/>
    <col min="17" max="16384" width="8.69921875" style="2"/>
  </cols>
  <sheetData>
    <row r="2" spans="2:20" x14ac:dyDescent="0.4">
      <c r="B2" s="2" t="s">
        <v>72</v>
      </c>
    </row>
    <row r="3" spans="2:20" x14ac:dyDescent="0.4">
      <c r="B3" s="107" t="s">
        <v>73</v>
      </c>
      <c r="C3" s="107"/>
      <c r="D3" s="107"/>
      <c r="E3" s="2">
        <v>21290</v>
      </c>
      <c r="G3" s="2" t="s">
        <v>82</v>
      </c>
      <c r="J3" s="2">
        <v>29120</v>
      </c>
      <c r="L3" s="2" t="s">
        <v>86</v>
      </c>
      <c r="O3" s="2">
        <v>22150</v>
      </c>
      <c r="Q3" s="2" t="s">
        <v>94</v>
      </c>
      <c r="T3" s="2">
        <v>24350</v>
      </c>
    </row>
    <row r="4" spans="2:20" x14ac:dyDescent="0.4">
      <c r="B4" s="2" t="s">
        <v>74</v>
      </c>
      <c r="C4" s="2">
        <v>3</v>
      </c>
      <c r="D4" s="2">
        <v>21290</v>
      </c>
      <c r="E4" s="2">
        <f>$E$3-D4</f>
        <v>0</v>
      </c>
      <c r="G4" s="2" t="s">
        <v>83</v>
      </c>
      <c r="H4" s="2">
        <v>2</v>
      </c>
      <c r="I4" s="2" t="s">
        <v>84</v>
      </c>
      <c r="L4" s="2" t="s">
        <v>87</v>
      </c>
      <c r="M4" s="2">
        <v>10</v>
      </c>
      <c r="N4" s="2">
        <v>32450</v>
      </c>
      <c r="O4" s="2">
        <f>N4-$O$3</f>
        <v>10300</v>
      </c>
      <c r="Q4" s="2" t="s">
        <v>95</v>
      </c>
      <c r="R4" s="2">
        <v>150</v>
      </c>
      <c r="S4" s="2">
        <v>21300</v>
      </c>
      <c r="T4" s="2">
        <f>S4-$T$3</f>
        <v>-3050</v>
      </c>
    </row>
    <row r="5" spans="2:20" x14ac:dyDescent="0.4">
      <c r="B5" s="2" t="s">
        <v>75</v>
      </c>
      <c r="C5" s="2">
        <v>3</v>
      </c>
      <c r="D5" s="2">
        <v>25000</v>
      </c>
      <c r="E5" s="2">
        <f t="shared" ref="E5:E12" si="0">$E$3-D5</f>
        <v>-3710</v>
      </c>
      <c r="G5" s="2" t="s">
        <v>83</v>
      </c>
      <c r="H5" s="2">
        <v>4</v>
      </c>
      <c r="I5" s="43">
        <v>29120</v>
      </c>
      <c r="J5" s="3">
        <f>I5-J3</f>
        <v>0</v>
      </c>
      <c r="L5" s="2" t="s">
        <v>83</v>
      </c>
      <c r="M5" s="2">
        <v>4</v>
      </c>
      <c r="N5" s="2">
        <v>29120</v>
      </c>
      <c r="O5" s="2">
        <f t="shared" ref="O5:O13" si="1">N5-$O$3</f>
        <v>6970</v>
      </c>
      <c r="Q5" s="2" t="s">
        <v>95</v>
      </c>
      <c r="R5" s="2">
        <v>180</v>
      </c>
      <c r="S5" s="2">
        <v>24350</v>
      </c>
      <c r="T5" s="2">
        <f t="shared" ref="T5:T11" si="2">S5-$T$3</f>
        <v>0</v>
      </c>
    </row>
    <row r="6" spans="2:20" x14ac:dyDescent="0.4">
      <c r="B6" s="2" t="s">
        <v>76</v>
      </c>
      <c r="C6" s="2">
        <v>3</v>
      </c>
      <c r="D6" s="2">
        <v>25000</v>
      </c>
      <c r="E6" s="2">
        <f t="shared" si="0"/>
        <v>-3710</v>
      </c>
      <c r="I6" s="25"/>
      <c r="L6" s="2" t="s">
        <v>88</v>
      </c>
      <c r="M6" s="2">
        <v>3</v>
      </c>
      <c r="N6" s="2">
        <v>21290</v>
      </c>
      <c r="O6" s="2">
        <f t="shared" si="1"/>
        <v>-860</v>
      </c>
      <c r="Q6" s="2" t="s">
        <v>95</v>
      </c>
      <c r="R6" s="2">
        <v>200</v>
      </c>
      <c r="S6" s="2">
        <v>26100</v>
      </c>
      <c r="T6" s="2">
        <f t="shared" si="2"/>
        <v>1750</v>
      </c>
    </row>
    <row r="7" spans="2:20" x14ac:dyDescent="0.4">
      <c r="B7" s="2" t="s">
        <v>77</v>
      </c>
      <c r="C7" s="2">
        <v>2</v>
      </c>
      <c r="D7" s="2">
        <v>0</v>
      </c>
      <c r="I7" s="25"/>
      <c r="L7" s="2" t="s">
        <v>75</v>
      </c>
      <c r="M7" s="2">
        <v>3</v>
      </c>
      <c r="N7" s="2">
        <v>25000</v>
      </c>
      <c r="O7" s="2">
        <f t="shared" si="1"/>
        <v>2850</v>
      </c>
      <c r="Q7" s="2" t="s">
        <v>95</v>
      </c>
      <c r="R7" s="2">
        <v>300</v>
      </c>
      <c r="S7" s="2">
        <v>35290</v>
      </c>
      <c r="T7" s="2">
        <f t="shared" si="2"/>
        <v>10940</v>
      </c>
    </row>
    <row r="8" spans="2:20" x14ac:dyDescent="0.4">
      <c r="B8" s="2" t="s">
        <v>77</v>
      </c>
      <c r="C8" s="2">
        <v>3</v>
      </c>
      <c r="D8" s="2">
        <v>27670</v>
      </c>
      <c r="E8" s="2">
        <f t="shared" si="0"/>
        <v>-6380</v>
      </c>
      <c r="G8" s="2" t="s">
        <v>85</v>
      </c>
      <c r="I8" s="25"/>
      <c r="J8" s="2">
        <v>32450</v>
      </c>
      <c r="L8" s="2" t="s">
        <v>76</v>
      </c>
      <c r="M8" s="2">
        <v>3</v>
      </c>
      <c r="N8" s="2">
        <v>25000</v>
      </c>
      <c r="O8" s="2">
        <f t="shared" si="1"/>
        <v>2850</v>
      </c>
      <c r="Q8" s="2" t="s">
        <v>96</v>
      </c>
      <c r="R8" s="2">
        <v>150</v>
      </c>
      <c r="S8" s="2">
        <v>22150</v>
      </c>
      <c r="T8" s="2">
        <f t="shared" si="2"/>
        <v>-2200</v>
      </c>
    </row>
    <row r="9" spans="2:20" x14ac:dyDescent="0.4">
      <c r="B9" s="2" t="s">
        <v>78</v>
      </c>
      <c r="C9" s="2">
        <v>2</v>
      </c>
      <c r="D9" s="2">
        <v>0</v>
      </c>
      <c r="G9" s="2" t="s">
        <v>83</v>
      </c>
      <c r="H9" s="2">
        <v>5</v>
      </c>
      <c r="I9" s="25" t="s">
        <v>84</v>
      </c>
      <c r="L9" s="2" t="s">
        <v>89</v>
      </c>
      <c r="M9" s="2">
        <v>3</v>
      </c>
      <c r="N9" s="2">
        <v>27670</v>
      </c>
      <c r="O9" s="2">
        <f t="shared" si="1"/>
        <v>5520</v>
      </c>
      <c r="Q9" s="2" t="s">
        <v>96</v>
      </c>
      <c r="R9" s="2">
        <v>180</v>
      </c>
      <c r="S9" s="2">
        <v>25350</v>
      </c>
      <c r="T9" s="2">
        <f t="shared" si="2"/>
        <v>1000</v>
      </c>
    </row>
    <row r="10" spans="2:20" x14ac:dyDescent="0.4">
      <c r="B10" s="2" t="s">
        <v>79</v>
      </c>
      <c r="C10" s="2">
        <v>3</v>
      </c>
      <c r="D10" s="2">
        <v>28350</v>
      </c>
      <c r="E10" s="2">
        <f t="shared" si="0"/>
        <v>-7060</v>
      </c>
      <c r="G10" s="2" t="s">
        <v>83</v>
      </c>
      <c r="H10" s="2">
        <v>10</v>
      </c>
      <c r="I10" s="43">
        <v>32450</v>
      </c>
      <c r="J10" s="3">
        <f>I10-J8</f>
        <v>0</v>
      </c>
      <c r="L10" s="2" t="s">
        <v>90</v>
      </c>
      <c r="M10" s="2">
        <v>3</v>
      </c>
      <c r="N10" s="2">
        <v>28350</v>
      </c>
      <c r="O10" s="2">
        <f t="shared" si="1"/>
        <v>6200</v>
      </c>
      <c r="Q10" s="2" t="s">
        <v>96</v>
      </c>
      <c r="R10" s="2">
        <v>200</v>
      </c>
      <c r="S10" s="2">
        <v>27190</v>
      </c>
      <c r="T10" s="2">
        <f t="shared" si="2"/>
        <v>2840</v>
      </c>
    </row>
    <row r="11" spans="2:20" x14ac:dyDescent="0.4">
      <c r="B11" s="2" t="s">
        <v>80</v>
      </c>
      <c r="C11" s="2">
        <v>2</v>
      </c>
      <c r="D11" s="2">
        <v>0</v>
      </c>
      <c r="L11" s="2" t="s">
        <v>91</v>
      </c>
      <c r="M11" s="2">
        <v>3</v>
      </c>
      <c r="N11" s="2">
        <v>28910</v>
      </c>
      <c r="O11" s="2">
        <f t="shared" si="1"/>
        <v>6760</v>
      </c>
      <c r="Q11" s="2" t="s">
        <v>96</v>
      </c>
      <c r="R11" s="2">
        <v>300</v>
      </c>
      <c r="S11" s="2">
        <v>36530</v>
      </c>
      <c r="T11" s="2">
        <f t="shared" si="2"/>
        <v>12180</v>
      </c>
    </row>
    <row r="12" spans="2:20" x14ac:dyDescent="0.4">
      <c r="B12" s="2" t="s">
        <v>81</v>
      </c>
      <c r="C12" s="2">
        <v>3</v>
      </c>
      <c r="D12" s="2">
        <v>28910</v>
      </c>
      <c r="E12" s="2">
        <f t="shared" si="0"/>
        <v>-7620</v>
      </c>
      <c r="L12" s="2" t="s">
        <v>92</v>
      </c>
      <c r="M12" s="2">
        <v>150</v>
      </c>
      <c r="N12" s="2">
        <v>21300</v>
      </c>
      <c r="O12" s="2">
        <f t="shared" si="1"/>
        <v>-850</v>
      </c>
    </row>
    <row r="13" spans="2:20" x14ac:dyDescent="0.4">
      <c r="L13" s="2" t="s">
        <v>93</v>
      </c>
      <c r="M13" s="2">
        <v>150</v>
      </c>
      <c r="N13" s="2">
        <v>22150</v>
      </c>
      <c r="O13" s="2">
        <f t="shared" si="1"/>
        <v>0</v>
      </c>
    </row>
    <row r="14" spans="2:20" s="44" customFormat="1" x14ac:dyDescent="0.4"/>
    <row r="16" spans="2:20" x14ac:dyDescent="0.4">
      <c r="B16" s="2" t="s">
        <v>97</v>
      </c>
    </row>
    <row r="17" spans="2:20" x14ac:dyDescent="0.4">
      <c r="B17" s="2" t="s">
        <v>98</v>
      </c>
      <c r="E17" s="2">
        <v>20990</v>
      </c>
      <c r="G17" s="2" t="s">
        <v>101</v>
      </c>
      <c r="J17" s="2">
        <v>20990</v>
      </c>
      <c r="L17" s="2" t="s">
        <v>108</v>
      </c>
      <c r="O17" s="2">
        <v>21830</v>
      </c>
      <c r="Q17" s="2" t="s">
        <v>119</v>
      </c>
      <c r="T17" s="2">
        <v>34780</v>
      </c>
    </row>
    <row r="18" spans="2:20" x14ac:dyDescent="0.4">
      <c r="B18" s="2" t="s">
        <v>99</v>
      </c>
      <c r="C18" s="2">
        <v>150</v>
      </c>
      <c r="D18" s="2">
        <v>20990</v>
      </c>
      <c r="E18" s="2">
        <f t="shared" ref="E18:E23" si="3">D18-$E$17</f>
        <v>0</v>
      </c>
      <c r="G18" s="2" t="s">
        <v>102</v>
      </c>
      <c r="H18" s="2">
        <v>3</v>
      </c>
      <c r="I18" s="2">
        <v>20990</v>
      </c>
      <c r="J18" s="2">
        <f t="shared" ref="J18:J23" si="4">I18-$J$17</f>
        <v>0</v>
      </c>
      <c r="L18" s="2" t="s">
        <v>109</v>
      </c>
      <c r="M18" s="2">
        <v>3</v>
      </c>
      <c r="N18" s="2">
        <v>20990</v>
      </c>
      <c r="O18" s="2">
        <f>N18-$O$17</f>
        <v>-840</v>
      </c>
      <c r="Q18" s="2" t="s">
        <v>120</v>
      </c>
      <c r="R18" s="2">
        <v>300</v>
      </c>
      <c r="S18" s="2">
        <v>34780</v>
      </c>
      <c r="T18" s="2">
        <f>S18-$T$17</f>
        <v>0</v>
      </c>
    </row>
    <row r="19" spans="2:20" x14ac:dyDescent="0.4">
      <c r="B19" s="2" t="s">
        <v>99</v>
      </c>
      <c r="C19" s="2">
        <v>180</v>
      </c>
      <c r="D19" s="2">
        <v>23990</v>
      </c>
      <c r="E19" s="2">
        <f t="shared" si="3"/>
        <v>3000</v>
      </c>
      <c r="G19" s="2" t="s">
        <v>103</v>
      </c>
      <c r="H19" s="2">
        <v>3</v>
      </c>
      <c r="I19" s="2">
        <v>24640</v>
      </c>
      <c r="J19" s="2">
        <f t="shared" si="4"/>
        <v>3650</v>
      </c>
      <c r="L19" s="2" t="s">
        <v>110</v>
      </c>
      <c r="M19" s="2">
        <v>3</v>
      </c>
      <c r="N19" s="2">
        <v>24640</v>
      </c>
      <c r="O19" s="2">
        <f t="shared" ref="O19:O29" si="5">N19-$O$17</f>
        <v>2810</v>
      </c>
      <c r="Q19" s="2" t="s">
        <v>121</v>
      </c>
      <c r="R19" s="2">
        <v>300</v>
      </c>
      <c r="S19" s="2">
        <v>35990</v>
      </c>
      <c r="T19" s="2">
        <f>S19-$T$17</f>
        <v>1210</v>
      </c>
    </row>
    <row r="20" spans="2:20" x14ac:dyDescent="0.4">
      <c r="B20" s="2" t="s">
        <v>99</v>
      </c>
      <c r="C20" s="2">
        <v>200</v>
      </c>
      <c r="D20" s="2">
        <v>25720</v>
      </c>
      <c r="E20" s="2">
        <f t="shared" si="3"/>
        <v>4730</v>
      </c>
      <c r="G20" s="2" t="s">
        <v>104</v>
      </c>
      <c r="H20" s="2">
        <v>3</v>
      </c>
      <c r="I20" s="2">
        <v>24640</v>
      </c>
      <c r="J20" s="2">
        <f t="shared" si="4"/>
        <v>3650</v>
      </c>
      <c r="L20" s="2" t="s">
        <v>104</v>
      </c>
      <c r="M20" s="2">
        <v>3</v>
      </c>
      <c r="N20" s="2">
        <v>24640</v>
      </c>
      <c r="O20" s="2">
        <f t="shared" si="5"/>
        <v>2810</v>
      </c>
    </row>
    <row r="21" spans="2:20" x14ac:dyDescent="0.4">
      <c r="B21" s="2" t="s">
        <v>100</v>
      </c>
      <c r="C21" s="2">
        <v>150</v>
      </c>
      <c r="D21" s="2">
        <v>21830</v>
      </c>
      <c r="E21" s="2">
        <f t="shared" si="3"/>
        <v>840</v>
      </c>
      <c r="G21" s="2" t="s">
        <v>105</v>
      </c>
      <c r="H21" s="2">
        <v>3</v>
      </c>
      <c r="I21" s="2">
        <v>27280</v>
      </c>
      <c r="J21" s="2">
        <f t="shared" si="4"/>
        <v>6290</v>
      </c>
      <c r="L21" s="2" t="s">
        <v>105</v>
      </c>
      <c r="M21" s="2">
        <v>3</v>
      </c>
      <c r="N21" s="2">
        <v>27280</v>
      </c>
      <c r="O21" s="2">
        <f t="shared" si="5"/>
        <v>5450</v>
      </c>
    </row>
    <row r="22" spans="2:20" x14ac:dyDescent="0.4">
      <c r="B22" s="2" t="s">
        <v>100</v>
      </c>
      <c r="C22" s="2">
        <v>180</v>
      </c>
      <c r="D22" s="2">
        <v>24980</v>
      </c>
      <c r="E22" s="2">
        <f t="shared" si="3"/>
        <v>3990</v>
      </c>
      <c r="G22" s="2" t="s">
        <v>106</v>
      </c>
      <c r="H22" s="2">
        <v>3</v>
      </c>
      <c r="I22" s="2">
        <v>27950</v>
      </c>
      <c r="J22" s="2">
        <f t="shared" si="4"/>
        <v>6960</v>
      </c>
      <c r="L22" s="2" t="s">
        <v>111</v>
      </c>
      <c r="M22" s="2">
        <v>3</v>
      </c>
      <c r="N22" s="2">
        <v>27950</v>
      </c>
      <c r="O22" s="2">
        <f t="shared" si="5"/>
        <v>6120</v>
      </c>
    </row>
    <row r="23" spans="2:20" x14ac:dyDescent="0.4">
      <c r="B23" s="2" t="s">
        <v>100</v>
      </c>
      <c r="C23" s="2">
        <v>200</v>
      </c>
      <c r="D23" s="2">
        <v>26800</v>
      </c>
      <c r="E23" s="2">
        <f t="shared" si="3"/>
        <v>5810</v>
      </c>
      <c r="G23" s="2" t="s">
        <v>107</v>
      </c>
      <c r="H23" s="2">
        <v>3</v>
      </c>
      <c r="I23" s="2">
        <v>28500</v>
      </c>
      <c r="J23" s="2">
        <f t="shared" si="4"/>
        <v>7510</v>
      </c>
      <c r="L23" s="2" t="s">
        <v>112</v>
      </c>
      <c r="M23" s="2">
        <v>3</v>
      </c>
      <c r="N23" s="2">
        <v>28500</v>
      </c>
      <c r="O23" s="2">
        <f t="shared" si="5"/>
        <v>6670</v>
      </c>
    </row>
    <row r="24" spans="2:20" x14ac:dyDescent="0.4">
      <c r="L24" s="2" t="s">
        <v>113</v>
      </c>
      <c r="M24" s="2">
        <v>10</v>
      </c>
      <c r="N24" s="2">
        <v>31990</v>
      </c>
      <c r="O24" s="2">
        <f t="shared" si="5"/>
        <v>10160</v>
      </c>
    </row>
    <row r="25" spans="2:20" x14ac:dyDescent="0.4">
      <c r="B25" s="2" t="s">
        <v>122</v>
      </c>
      <c r="E25" s="2">
        <v>21830</v>
      </c>
      <c r="G25" s="2" t="s">
        <v>124</v>
      </c>
      <c r="J25" s="2">
        <v>20990</v>
      </c>
      <c r="L25" s="2" t="s">
        <v>114</v>
      </c>
      <c r="M25" s="2">
        <v>4</v>
      </c>
      <c r="N25" s="2">
        <v>28700</v>
      </c>
      <c r="O25" s="2">
        <f t="shared" si="5"/>
        <v>6870</v>
      </c>
    </row>
    <row r="26" spans="2:20" x14ac:dyDescent="0.4">
      <c r="B26" s="2" t="s">
        <v>123</v>
      </c>
      <c r="C26" s="2">
        <v>150</v>
      </c>
      <c r="D26" s="2">
        <v>21830</v>
      </c>
      <c r="E26" s="2">
        <f>D26-$E$25</f>
        <v>0</v>
      </c>
      <c r="G26" s="2" t="s">
        <v>99</v>
      </c>
      <c r="H26" s="2">
        <v>150</v>
      </c>
      <c r="I26" s="2">
        <v>20990</v>
      </c>
      <c r="J26" s="2">
        <f>I26-$J$25</f>
        <v>0</v>
      </c>
      <c r="L26" s="2" t="s">
        <v>115</v>
      </c>
      <c r="M26" s="2">
        <v>150</v>
      </c>
      <c r="N26" s="2">
        <v>20990</v>
      </c>
      <c r="O26" s="2">
        <f t="shared" si="5"/>
        <v>-840</v>
      </c>
    </row>
    <row r="27" spans="2:20" x14ac:dyDescent="0.4">
      <c r="B27" s="2" t="s">
        <v>123</v>
      </c>
      <c r="C27" s="2">
        <v>180</v>
      </c>
      <c r="D27" s="2">
        <v>24980</v>
      </c>
      <c r="E27" s="2">
        <f>D27-$E$25</f>
        <v>3150</v>
      </c>
      <c r="G27" s="2" t="s">
        <v>99</v>
      </c>
      <c r="H27" s="2">
        <v>180</v>
      </c>
      <c r="I27" s="2">
        <v>23990</v>
      </c>
      <c r="J27" s="2">
        <f>I27-$J$25</f>
        <v>3000</v>
      </c>
      <c r="L27" s="2" t="s">
        <v>116</v>
      </c>
      <c r="M27" s="2">
        <v>180</v>
      </c>
      <c r="N27" s="2">
        <v>23990</v>
      </c>
      <c r="O27" s="2">
        <f t="shared" si="5"/>
        <v>2160</v>
      </c>
    </row>
    <row r="28" spans="2:20" x14ac:dyDescent="0.4">
      <c r="B28" s="2" t="s">
        <v>123</v>
      </c>
      <c r="C28" s="2">
        <v>200</v>
      </c>
      <c r="D28" s="2">
        <v>26800</v>
      </c>
      <c r="E28" s="2">
        <f>D28-$E$25</f>
        <v>4970</v>
      </c>
      <c r="G28" s="2" t="s">
        <v>99</v>
      </c>
      <c r="H28" s="2">
        <v>200</v>
      </c>
      <c r="I28" s="2">
        <v>25720</v>
      </c>
      <c r="J28" s="2">
        <f>I28-$J$25</f>
        <v>4730</v>
      </c>
      <c r="L28" s="2" t="s">
        <v>117</v>
      </c>
      <c r="M28" s="2">
        <v>150</v>
      </c>
      <c r="N28" s="2">
        <v>21830</v>
      </c>
      <c r="O28" s="2">
        <f t="shared" si="5"/>
        <v>0</v>
      </c>
    </row>
    <row r="29" spans="2:20" x14ac:dyDescent="0.4">
      <c r="L29" s="2" t="s">
        <v>118</v>
      </c>
      <c r="M29" s="2">
        <v>180</v>
      </c>
      <c r="N29" s="2">
        <v>24980</v>
      </c>
      <c r="O29" s="2">
        <f t="shared" si="5"/>
        <v>3150</v>
      </c>
    </row>
    <row r="30" spans="2:20" s="44" customFormat="1" x14ac:dyDescent="0.4"/>
    <row r="32" spans="2:20" x14ac:dyDescent="0.4">
      <c r="B32" s="2" t="s">
        <v>131</v>
      </c>
    </row>
    <row r="33" spans="2:10" x14ac:dyDescent="0.4">
      <c r="B33" s="2" t="s">
        <v>132</v>
      </c>
      <c r="E33" s="2">
        <v>20990</v>
      </c>
      <c r="G33" s="2" t="s">
        <v>133</v>
      </c>
      <c r="J33" s="2">
        <v>21830</v>
      </c>
    </row>
    <row r="34" spans="2:10" x14ac:dyDescent="0.4">
      <c r="B34" s="2" t="s">
        <v>125</v>
      </c>
      <c r="C34" s="2">
        <v>3</v>
      </c>
      <c r="D34" s="2">
        <v>20990</v>
      </c>
      <c r="E34" s="2">
        <f t="shared" ref="E34:E39" si="6">D34-$E$33</f>
        <v>0</v>
      </c>
      <c r="G34" s="2" t="s">
        <v>134</v>
      </c>
      <c r="H34" s="2">
        <v>3</v>
      </c>
      <c r="I34" s="2">
        <v>20990</v>
      </c>
      <c r="J34" s="2">
        <f>I34-$J$33</f>
        <v>-840</v>
      </c>
    </row>
    <row r="35" spans="2:10" x14ac:dyDescent="0.4">
      <c r="B35" s="2" t="s">
        <v>126</v>
      </c>
      <c r="C35" s="2">
        <v>3</v>
      </c>
      <c r="D35" s="2">
        <v>24640</v>
      </c>
      <c r="E35" s="2">
        <f t="shared" si="6"/>
        <v>3650</v>
      </c>
      <c r="G35" s="2" t="s">
        <v>126</v>
      </c>
      <c r="H35" s="2">
        <v>3</v>
      </c>
      <c r="I35" s="2">
        <v>24640</v>
      </c>
      <c r="J35" s="2">
        <f t="shared" ref="J35:J43" si="7">I35-$J$33</f>
        <v>2810</v>
      </c>
    </row>
    <row r="36" spans="2:10" x14ac:dyDescent="0.4">
      <c r="B36" s="2" t="s">
        <v>127</v>
      </c>
      <c r="C36" s="2">
        <v>3</v>
      </c>
      <c r="D36" s="2">
        <v>24640</v>
      </c>
      <c r="E36" s="2">
        <f t="shared" si="6"/>
        <v>3650</v>
      </c>
      <c r="G36" s="2" t="s">
        <v>127</v>
      </c>
      <c r="H36" s="2">
        <v>3</v>
      </c>
      <c r="I36" s="2">
        <v>24640</v>
      </c>
      <c r="J36" s="2">
        <f t="shared" si="7"/>
        <v>2810</v>
      </c>
    </row>
    <row r="37" spans="2:10" x14ac:dyDescent="0.4">
      <c r="B37" s="2" t="s">
        <v>128</v>
      </c>
      <c r="C37" s="2">
        <v>3</v>
      </c>
      <c r="D37" s="2">
        <v>27280</v>
      </c>
      <c r="E37" s="2">
        <f t="shared" si="6"/>
        <v>6290</v>
      </c>
      <c r="G37" s="2" t="s">
        <v>128</v>
      </c>
      <c r="H37" s="2">
        <v>3</v>
      </c>
      <c r="I37" s="2">
        <v>27280</v>
      </c>
      <c r="J37" s="2">
        <f t="shared" si="7"/>
        <v>5450</v>
      </c>
    </row>
    <row r="38" spans="2:10" x14ac:dyDescent="0.4">
      <c r="B38" s="2" t="s">
        <v>129</v>
      </c>
      <c r="C38" s="2">
        <v>3</v>
      </c>
      <c r="D38" s="2">
        <v>27950</v>
      </c>
      <c r="E38" s="2">
        <f t="shared" si="6"/>
        <v>6960</v>
      </c>
      <c r="G38" s="2" t="s">
        <v>129</v>
      </c>
      <c r="H38" s="2">
        <v>3</v>
      </c>
      <c r="I38" s="2">
        <v>27950</v>
      </c>
      <c r="J38" s="2">
        <f t="shared" si="7"/>
        <v>6120</v>
      </c>
    </row>
    <row r="39" spans="2:10" x14ac:dyDescent="0.4">
      <c r="B39" s="2" t="s">
        <v>130</v>
      </c>
      <c r="C39" s="2">
        <v>3</v>
      </c>
      <c r="D39" s="2">
        <v>28500</v>
      </c>
      <c r="E39" s="2">
        <f t="shared" si="6"/>
        <v>7510</v>
      </c>
      <c r="G39" s="2" t="s">
        <v>130</v>
      </c>
      <c r="H39" s="2">
        <v>3</v>
      </c>
      <c r="I39" s="2">
        <v>28500</v>
      </c>
      <c r="J39" s="2">
        <f t="shared" si="7"/>
        <v>6670</v>
      </c>
    </row>
    <row r="40" spans="2:10" x14ac:dyDescent="0.4">
      <c r="G40" s="2" t="s">
        <v>135</v>
      </c>
      <c r="H40" s="2">
        <v>10</v>
      </c>
      <c r="I40" s="2">
        <v>31990</v>
      </c>
      <c r="J40" s="2">
        <f t="shared" si="7"/>
        <v>10160</v>
      </c>
    </row>
    <row r="41" spans="2:10" x14ac:dyDescent="0.4">
      <c r="G41" s="2" t="s">
        <v>136</v>
      </c>
      <c r="H41" s="2">
        <v>4</v>
      </c>
      <c r="I41" s="2">
        <v>28700</v>
      </c>
      <c r="J41" s="2">
        <f t="shared" si="7"/>
        <v>6870</v>
      </c>
    </row>
    <row r="42" spans="2:10" x14ac:dyDescent="0.4">
      <c r="G42" s="2" t="s">
        <v>137</v>
      </c>
      <c r="H42" s="2">
        <v>150</v>
      </c>
      <c r="I42" s="2">
        <v>20990</v>
      </c>
      <c r="J42" s="2">
        <f t="shared" si="7"/>
        <v>-840</v>
      </c>
    </row>
    <row r="43" spans="2:10" x14ac:dyDescent="0.4">
      <c r="G43" s="2" t="s">
        <v>138</v>
      </c>
      <c r="H43" s="2">
        <v>150</v>
      </c>
      <c r="I43" s="2">
        <v>21830</v>
      </c>
      <c r="J43" s="2">
        <f t="shared" si="7"/>
        <v>0</v>
      </c>
    </row>
    <row r="45" spans="2:10" s="44" customFormat="1" x14ac:dyDescent="0.4"/>
    <row r="47" spans="2:10" x14ac:dyDescent="0.4">
      <c r="B47" s="2" t="s">
        <v>167</v>
      </c>
    </row>
    <row r="49" spans="2:6" x14ac:dyDescent="0.4">
      <c r="B49" s="2" t="s">
        <v>168</v>
      </c>
      <c r="E49" s="2">
        <v>20380</v>
      </c>
    </row>
    <row r="50" spans="2:6" x14ac:dyDescent="0.4">
      <c r="B50" s="2" t="s">
        <v>169</v>
      </c>
      <c r="C50" s="2">
        <v>150</v>
      </c>
      <c r="D50" s="2">
        <v>20380</v>
      </c>
      <c r="E50" s="2">
        <f>D50-$E$49</f>
        <v>0</v>
      </c>
    </row>
    <row r="51" spans="2:6" x14ac:dyDescent="0.4">
      <c r="B51" s="2" t="s">
        <v>169</v>
      </c>
      <c r="C51" s="2">
        <v>180</v>
      </c>
      <c r="D51" s="2">
        <v>23290</v>
      </c>
      <c r="E51" s="2">
        <f>D51-$E$49</f>
        <v>2910</v>
      </c>
      <c r="F51" s="2">
        <f>E51/11*10</f>
        <v>2645.4545454545455</v>
      </c>
    </row>
    <row r="52" spans="2:6" x14ac:dyDescent="0.4">
      <c r="B52" s="2" t="s">
        <v>169</v>
      </c>
      <c r="C52" s="2">
        <v>200</v>
      </c>
      <c r="D52" s="2">
        <v>24990</v>
      </c>
      <c r="E52" s="2">
        <f>D52-$E$49</f>
        <v>4610</v>
      </c>
      <c r="F52" s="2">
        <f>E52/11*10</f>
        <v>4190.909090909091</v>
      </c>
    </row>
  </sheetData>
  <mergeCells count="1">
    <mergeCell ref="B3:D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U13"/>
  <sheetViews>
    <sheetView tabSelected="1" zoomScale="85" zoomScaleNormal="85" workbookViewId="0">
      <selection activeCell="F21" sqref="F21"/>
    </sheetView>
  </sheetViews>
  <sheetFormatPr defaultRowHeight="17.399999999999999" x14ac:dyDescent="0.4"/>
  <cols>
    <col min="1" max="1" width="4" customWidth="1"/>
  </cols>
  <sheetData>
    <row r="2" spans="2:21" x14ac:dyDescent="0.4">
      <c r="B2" s="2" t="s">
        <v>72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2:21" x14ac:dyDescent="0.4">
      <c r="B3" s="107" t="s">
        <v>73</v>
      </c>
      <c r="C3" s="107"/>
      <c r="D3" s="107"/>
      <c r="E3" s="2">
        <v>21290</v>
      </c>
      <c r="F3" s="2"/>
      <c r="G3" s="2" t="s">
        <v>82</v>
      </c>
      <c r="H3" s="2"/>
      <c r="I3" s="2"/>
      <c r="J3" s="2">
        <v>29120</v>
      </c>
      <c r="K3" s="2"/>
      <c r="L3" s="2" t="s">
        <v>86</v>
      </c>
      <c r="M3" s="2"/>
      <c r="N3" s="2"/>
      <c r="O3" s="2">
        <v>22150</v>
      </c>
      <c r="P3" s="2"/>
      <c r="Q3" s="2" t="s">
        <v>94</v>
      </c>
      <c r="R3" s="2"/>
      <c r="S3" s="2"/>
      <c r="T3" s="2">
        <v>24350</v>
      </c>
      <c r="U3" s="2"/>
    </row>
    <row r="4" spans="2:21" x14ac:dyDescent="0.4">
      <c r="B4" s="2" t="s">
        <v>74</v>
      </c>
      <c r="C4" s="2">
        <v>3</v>
      </c>
      <c r="D4" s="2">
        <v>21290</v>
      </c>
      <c r="E4" s="2">
        <f>$E$3-D4</f>
        <v>0</v>
      </c>
      <c r="F4" s="2"/>
      <c r="G4" s="2" t="s">
        <v>83</v>
      </c>
      <c r="H4" s="2">
        <v>2</v>
      </c>
      <c r="I4" s="2" t="s">
        <v>84</v>
      </c>
      <c r="J4" s="2"/>
      <c r="K4" s="2"/>
      <c r="L4" s="2" t="s">
        <v>87</v>
      </c>
      <c r="M4" s="2">
        <v>10</v>
      </c>
      <c r="N4" s="2">
        <v>32450</v>
      </c>
      <c r="O4" s="2">
        <f>N4-$O$3</f>
        <v>10300</v>
      </c>
      <c r="P4" s="2"/>
      <c r="Q4" s="2" t="s">
        <v>95</v>
      </c>
      <c r="R4" s="2">
        <v>150</v>
      </c>
      <c r="S4" s="2">
        <v>21300</v>
      </c>
      <c r="T4" s="2">
        <f>S4-$T$3</f>
        <v>-3050</v>
      </c>
      <c r="U4" s="2"/>
    </row>
    <row r="5" spans="2:21" x14ac:dyDescent="0.4">
      <c r="B5" s="2" t="s">
        <v>75</v>
      </c>
      <c r="C5" s="2">
        <v>3</v>
      </c>
      <c r="D5" s="2">
        <v>25000</v>
      </c>
      <c r="E5" s="2">
        <f t="shared" ref="E5:E12" si="0">$E$3-D5</f>
        <v>-3710</v>
      </c>
      <c r="F5" s="2"/>
      <c r="G5" s="2" t="s">
        <v>83</v>
      </c>
      <c r="H5" s="2">
        <v>4</v>
      </c>
      <c r="I5" s="43">
        <v>29120</v>
      </c>
      <c r="J5" s="3">
        <f>I5-J3</f>
        <v>0</v>
      </c>
      <c r="K5" s="2"/>
      <c r="L5" s="2" t="s">
        <v>83</v>
      </c>
      <c r="M5" s="2">
        <v>4</v>
      </c>
      <c r="N5" s="2">
        <v>29120</v>
      </c>
      <c r="O5" s="2">
        <f t="shared" ref="O5:O13" si="1">N5-$O$3</f>
        <v>6970</v>
      </c>
      <c r="P5" s="2"/>
      <c r="Q5" s="2" t="s">
        <v>95</v>
      </c>
      <c r="R5" s="2">
        <v>180</v>
      </c>
      <c r="S5" s="2">
        <v>24350</v>
      </c>
      <c r="T5" s="2">
        <f t="shared" ref="T5:T11" si="2">S5-$T$3</f>
        <v>0</v>
      </c>
      <c r="U5" s="2"/>
    </row>
    <row r="6" spans="2:21" x14ac:dyDescent="0.4">
      <c r="B6" s="2" t="s">
        <v>76</v>
      </c>
      <c r="C6" s="2">
        <v>3</v>
      </c>
      <c r="D6" s="2">
        <v>25000</v>
      </c>
      <c r="E6" s="2">
        <f t="shared" si="0"/>
        <v>-3710</v>
      </c>
      <c r="F6" s="2"/>
      <c r="G6" s="2"/>
      <c r="H6" s="2"/>
      <c r="I6" s="25"/>
      <c r="J6" s="2"/>
      <c r="K6" s="2"/>
      <c r="L6" s="2" t="s">
        <v>88</v>
      </c>
      <c r="M6" s="2">
        <v>3</v>
      </c>
      <c r="N6" s="2">
        <v>21290</v>
      </c>
      <c r="O6" s="2">
        <f t="shared" si="1"/>
        <v>-860</v>
      </c>
      <c r="P6" s="2"/>
      <c r="Q6" s="2" t="s">
        <v>95</v>
      </c>
      <c r="R6" s="2">
        <v>200</v>
      </c>
      <c r="S6" s="2">
        <v>26100</v>
      </c>
      <c r="T6" s="2">
        <f t="shared" si="2"/>
        <v>1750</v>
      </c>
      <c r="U6" s="2"/>
    </row>
    <row r="7" spans="2:21" x14ac:dyDescent="0.4">
      <c r="B7" s="2" t="s">
        <v>77</v>
      </c>
      <c r="C7" s="2">
        <v>2</v>
      </c>
      <c r="D7" s="2">
        <v>0</v>
      </c>
      <c r="E7" s="2"/>
      <c r="F7" s="2"/>
      <c r="G7" s="2"/>
      <c r="H7" s="2"/>
      <c r="I7" s="25"/>
      <c r="J7" s="2"/>
      <c r="K7" s="2"/>
      <c r="L7" s="2" t="s">
        <v>75</v>
      </c>
      <c r="M7" s="2">
        <v>3</v>
      </c>
      <c r="N7" s="2">
        <v>25000</v>
      </c>
      <c r="O7" s="2">
        <f t="shared" si="1"/>
        <v>2850</v>
      </c>
      <c r="P7" s="2"/>
      <c r="Q7" s="2" t="s">
        <v>95</v>
      </c>
      <c r="R7" s="2">
        <v>300</v>
      </c>
      <c r="S7" s="2">
        <v>35290</v>
      </c>
      <c r="T7" s="2">
        <f t="shared" si="2"/>
        <v>10940</v>
      </c>
      <c r="U7" s="2"/>
    </row>
    <row r="8" spans="2:21" x14ac:dyDescent="0.4">
      <c r="B8" s="2" t="s">
        <v>77</v>
      </c>
      <c r="C8" s="2">
        <v>3</v>
      </c>
      <c r="D8" s="2">
        <v>27670</v>
      </c>
      <c r="E8" s="2">
        <f t="shared" si="0"/>
        <v>-6380</v>
      </c>
      <c r="F8" s="2"/>
      <c r="G8" s="2" t="s">
        <v>85</v>
      </c>
      <c r="H8" s="2"/>
      <c r="I8" s="25"/>
      <c r="J8" s="2">
        <v>32450</v>
      </c>
      <c r="K8" s="2"/>
      <c r="L8" s="2" t="s">
        <v>76</v>
      </c>
      <c r="M8" s="2">
        <v>3</v>
      </c>
      <c r="N8" s="2">
        <v>25000</v>
      </c>
      <c r="O8" s="2">
        <f t="shared" si="1"/>
        <v>2850</v>
      </c>
      <c r="P8" s="2"/>
      <c r="Q8" s="2" t="s">
        <v>96</v>
      </c>
      <c r="R8" s="2">
        <v>150</v>
      </c>
      <c r="S8" s="2">
        <v>22150</v>
      </c>
      <c r="T8" s="2">
        <f t="shared" si="2"/>
        <v>-2200</v>
      </c>
      <c r="U8" s="2"/>
    </row>
    <row r="9" spans="2:21" x14ac:dyDescent="0.4">
      <c r="B9" s="2" t="s">
        <v>78</v>
      </c>
      <c r="C9" s="2">
        <v>2</v>
      </c>
      <c r="D9" s="2">
        <v>0</v>
      </c>
      <c r="E9" s="2"/>
      <c r="F9" s="2"/>
      <c r="G9" s="2" t="s">
        <v>83</v>
      </c>
      <c r="H9" s="2">
        <v>5</v>
      </c>
      <c r="I9" s="25" t="s">
        <v>84</v>
      </c>
      <c r="J9" s="2"/>
      <c r="K9" s="2"/>
      <c r="L9" s="2" t="s">
        <v>89</v>
      </c>
      <c r="M9" s="2">
        <v>3</v>
      </c>
      <c r="N9" s="2">
        <v>27670</v>
      </c>
      <c r="O9" s="2">
        <f t="shared" si="1"/>
        <v>5520</v>
      </c>
      <c r="P9" s="2"/>
      <c r="Q9" s="2" t="s">
        <v>96</v>
      </c>
      <c r="R9" s="2">
        <v>180</v>
      </c>
      <c r="S9" s="2">
        <v>25350</v>
      </c>
      <c r="T9" s="2">
        <f t="shared" si="2"/>
        <v>1000</v>
      </c>
      <c r="U9" s="2"/>
    </row>
    <row r="10" spans="2:21" x14ac:dyDescent="0.4">
      <c r="B10" s="2" t="s">
        <v>79</v>
      </c>
      <c r="C10" s="2">
        <v>3</v>
      </c>
      <c r="D10" s="2">
        <v>28350</v>
      </c>
      <c r="E10" s="2">
        <f t="shared" si="0"/>
        <v>-7060</v>
      </c>
      <c r="F10" s="2"/>
      <c r="G10" s="2" t="s">
        <v>83</v>
      </c>
      <c r="H10" s="2">
        <v>10</v>
      </c>
      <c r="I10" s="43">
        <v>32450</v>
      </c>
      <c r="J10" s="3">
        <f>I10-J8</f>
        <v>0</v>
      </c>
      <c r="K10" s="2"/>
      <c r="L10" s="2" t="s">
        <v>90</v>
      </c>
      <c r="M10" s="2">
        <v>3</v>
      </c>
      <c r="N10" s="2">
        <v>28350</v>
      </c>
      <c r="O10" s="2">
        <f t="shared" si="1"/>
        <v>6200</v>
      </c>
      <c r="P10" s="2"/>
      <c r="Q10" s="2" t="s">
        <v>96</v>
      </c>
      <c r="R10" s="2">
        <v>200</v>
      </c>
      <c r="S10" s="2">
        <v>27190</v>
      </c>
      <c r="T10" s="2">
        <f t="shared" si="2"/>
        <v>2840</v>
      </c>
      <c r="U10" s="2"/>
    </row>
    <row r="11" spans="2:21" x14ac:dyDescent="0.4">
      <c r="B11" s="2" t="s">
        <v>80</v>
      </c>
      <c r="C11" s="2">
        <v>2</v>
      </c>
      <c r="D11" s="2">
        <v>0</v>
      </c>
      <c r="E11" s="2"/>
      <c r="F11" s="2"/>
      <c r="G11" s="2"/>
      <c r="H11" s="2"/>
      <c r="I11" s="2"/>
      <c r="J11" s="2"/>
      <c r="K11" s="2"/>
      <c r="L11" s="2" t="s">
        <v>80</v>
      </c>
      <c r="M11" s="2">
        <v>3</v>
      </c>
      <c r="N11" s="2">
        <v>28910</v>
      </c>
      <c r="O11" s="2">
        <f t="shared" si="1"/>
        <v>6760</v>
      </c>
      <c r="P11" s="2"/>
      <c r="Q11" s="2" t="s">
        <v>96</v>
      </c>
      <c r="R11" s="2">
        <v>300</v>
      </c>
      <c r="S11" s="2">
        <v>36530</v>
      </c>
      <c r="T11" s="2">
        <f t="shared" si="2"/>
        <v>12180</v>
      </c>
      <c r="U11" s="2"/>
    </row>
    <row r="12" spans="2:21" x14ac:dyDescent="0.4">
      <c r="B12" s="2" t="s">
        <v>81</v>
      </c>
      <c r="C12" s="2">
        <v>3</v>
      </c>
      <c r="D12" s="2">
        <v>28910</v>
      </c>
      <c r="E12" s="2">
        <f t="shared" si="0"/>
        <v>-7620</v>
      </c>
      <c r="F12" s="2"/>
      <c r="G12" s="2"/>
      <c r="H12" s="2"/>
      <c r="I12" s="2"/>
      <c r="J12" s="2"/>
      <c r="K12" s="2"/>
      <c r="L12" s="2" t="s">
        <v>92</v>
      </c>
      <c r="M12" s="2">
        <v>150</v>
      </c>
      <c r="N12" s="2">
        <v>21300</v>
      </c>
      <c r="O12" s="2">
        <f t="shared" si="1"/>
        <v>-850</v>
      </c>
      <c r="P12" s="2"/>
      <c r="Q12" s="2"/>
      <c r="R12" s="2"/>
      <c r="S12" s="2"/>
      <c r="T12" s="2"/>
      <c r="U12" s="2"/>
    </row>
    <row r="13" spans="2:21" x14ac:dyDescent="0.4">
      <c r="B13" s="2"/>
      <c r="C13" s="2"/>
      <c r="D13" s="2"/>
      <c r="E13" s="2"/>
      <c r="F13" s="2"/>
      <c r="G13" s="2"/>
      <c r="H13" s="2"/>
      <c r="I13" s="2"/>
      <c r="J13" s="2"/>
      <c r="K13" s="2"/>
      <c r="L13" s="2" t="s">
        <v>93</v>
      </c>
      <c r="M13" s="2">
        <v>150</v>
      </c>
      <c r="N13" s="2">
        <v>22150</v>
      </c>
      <c r="O13" s="2">
        <f t="shared" si="1"/>
        <v>0</v>
      </c>
      <c r="P13" s="2"/>
      <c r="Q13" s="2"/>
      <c r="R13" s="2"/>
      <c r="S13" s="2"/>
      <c r="T13" s="2"/>
      <c r="U13" s="2"/>
    </row>
  </sheetData>
  <mergeCells count="1">
    <mergeCell ref="B3:D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Y24"/>
  <sheetViews>
    <sheetView zoomScale="85" zoomScaleNormal="85" workbookViewId="0">
      <selection activeCell="R13" sqref="R4:R13"/>
    </sheetView>
  </sheetViews>
  <sheetFormatPr defaultRowHeight="17.399999999999999" x14ac:dyDescent="0.4"/>
  <cols>
    <col min="1" max="1" width="4.19921875" customWidth="1"/>
    <col min="2" max="2" width="4.3984375" bestFit="1" customWidth="1"/>
    <col min="3" max="3" width="8.8984375" bestFit="1" customWidth="1"/>
    <col min="4" max="4" width="6.3984375" bestFit="1" customWidth="1"/>
    <col min="5" max="5" width="8.5" bestFit="1" customWidth="1"/>
    <col min="6" max="6" width="8.5" customWidth="1"/>
    <col min="7" max="7" width="6.69921875" bestFit="1" customWidth="1"/>
    <col min="8" max="13" width="8.5" bestFit="1" customWidth="1"/>
    <col min="14" max="14" width="8.5" customWidth="1"/>
    <col min="15" max="16" width="9.5" bestFit="1" customWidth="1"/>
    <col min="17" max="17" width="6.69921875" bestFit="1" customWidth="1"/>
    <col min="21" max="21" width="9.09765625" bestFit="1" customWidth="1"/>
    <col min="22" max="23" width="9.8984375" bestFit="1" customWidth="1"/>
    <col min="24" max="24" width="9.5" bestFit="1" customWidth="1"/>
  </cols>
  <sheetData>
    <row r="2" spans="2:23" x14ac:dyDescent="0.4">
      <c r="G2">
        <v>26.7</v>
      </c>
      <c r="I2" s="7">
        <v>0.09</v>
      </c>
      <c r="L2" s="7">
        <v>0.4</v>
      </c>
      <c r="M2" s="7"/>
      <c r="N2" s="7"/>
    </row>
    <row r="3" spans="2:23" x14ac:dyDescent="0.4">
      <c r="B3" s="11" t="s">
        <v>21</v>
      </c>
      <c r="C3" s="12" t="s">
        <v>30</v>
      </c>
      <c r="D3" s="12" t="s">
        <v>31</v>
      </c>
      <c r="E3" s="12" t="s">
        <v>36</v>
      </c>
      <c r="F3" s="12" t="s">
        <v>44</v>
      </c>
      <c r="G3" s="12" t="s">
        <v>37</v>
      </c>
      <c r="H3" s="12" t="s">
        <v>46</v>
      </c>
      <c r="I3" s="12" t="s">
        <v>32</v>
      </c>
      <c r="J3" s="12" t="s">
        <v>35</v>
      </c>
      <c r="K3" s="12" t="s">
        <v>33</v>
      </c>
      <c r="L3" s="12" t="s">
        <v>34</v>
      </c>
      <c r="M3" s="12" t="s">
        <v>38</v>
      </c>
      <c r="N3" s="12" t="s">
        <v>45</v>
      </c>
      <c r="O3" s="12" t="s">
        <v>41</v>
      </c>
      <c r="P3" s="12" t="s">
        <v>42</v>
      </c>
      <c r="Q3" s="12" t="s">
        <v>43</v>
      </c>
      <c r="R3" s="12" t="s">
        <v>47</v>
      </c>
    </row>
    <row r="4" spans="2:23" x14ac:dyDescent="0.4">
      <c r="B4" s="4">
        <v>1</v>
      </c>
      <c r="C4" s="8" t="s">
        <v>0</v>
      </c>
      <c r="D4" s="8">
        <v>10</v>
      </c>
      <c r="E4" s="5">
        <v>30700</v>
      </c>
      <c r="F4" s="5">
        <f>표6[[#This Row],[신규가]]-표6[[#This Row],[기존가]]</f>
        <v>1900</v>
      </c>
      <c r="G4" s="9">
        <f>$G$2</f>
        <v>26.7</v>
      </c>
      <c r="H4" s="5">
        <f>ROUND(표3[[#This Row],[신규가]]/((100-표6[[#This Row],[마진]])/100), -2)</f>
        <v>32600</v>
      </c>
      <c r="I4" s="5">
        <f>표6[[#This Row],[신규가]]*$I$2</f>
        <v>2934</v>
      </c>
      <c r="J4" s="8">
        <v>3150</v>
      </c>
      <c r="K4" s="5">
        <f>표6[[#This Row],[신규가]]/11-표3[[#This Row],[원가]]/11-표6[[#This Row],[수수료]]/11-표6[[#This Row],[택배비]]/11</f>
        <v>621.45454545454538</v>
      </c>
      <c r="L4" s="5">
        <f>표6[[#This Row],[부가세]]*$L$2</f>
        <v>248.58181818181816</v>
      </c>
      <c r="M4" s="5">
        <f>표6[[#This Row],[신규가]]-표3[[#This Row],[원가]]-표6[[#This Row],[수수료]]-표6[[#This Row],[택배비]]-표6[[#This Row],[부가세]]-표6[[#This Row],[중소세]]</f>
        <v>5965.9636363636364</v>
      </c>
      <c r="N4" s="6">
        <f>표6[[#This Row],[순수익]]/표6[[#This Row],[신규가]]</f>
        <v>0.18300501952035694</v>
      </c>
      <c r="O4" s="5">
        <f>표3[[#This Row],[신규가]]-표3[[#This Row],[원가]]</f>
        <v>4220</v>
      </c>
      <c r="P4" s="5">
        <f>표6[[#This Row],[순수익]]-표6[[#This Row],[1차수익]]</f>
        <v>1745.9636363636364</v>
      </c>
      <c r="Q4" s="10" t="s">
        <v>39</v>
      </c>
      <c r="R4" s="13">
        <f>(표6[[#This Row],[신규가]]-표3[[#This Row],[원가]])/표6[[#This Row],[신규가]]</f>
        <v>0.39631901840490796</v>
      </c>
      <c r="S4" s="14"/>
      <c r="T4">
        <v>65.3</v>
      </c>
      <c r="U4" s="1">
        <f>T4*표6[[#This Row],[2차수익]]</f>
        <v>114011.42545454545</v>
      </c>
      <c r="V4" s="1">
        <f>T4*표6[[#This Row],[1차수익]]</f>
        <v>275566</v>
      </c>
      <c r="W4" s="1">
        <f>U4+V4</f>
        <v>389577.42545454542</v>
      </c>
    </row>
    <row r="5" spans="2:23" hidden="1" x14ac:dyDescent="0.4">
      <c r="B5">
        <v>2</v>
      </c>
      <c r="C5" t="s">
        <v>1</v>
      </c>
      <c r="D5">
        <v>10</v>
      </c>
      <c r="E5" s="1">
        <v>0</v>
      </c>
      <c r="F5" s="1">
        <f>표6[[#This Row],[신규가]]-표6[[#This Row],[기존가]]</f>
        <v>33200</v>
      </c>
      <c r="G5" s="1">
        <f>$G$4</f>
        <v>26.7</v>
      </c>
      <c r="H5" s="1">
        <f>ROUND(표3[[#This Row],[신규가]]/((100-표6[[#This Row],[마진]])/100), -2)</f>
        <v>33200</v>
      </c>
      <c r="I5" s="1">
        <f>표6[[#This Row],[신규가]]*$I$2</f>
        <v>2988</v>
      </c>
      <c r="J5">
        <v>0</v>
      </c>
      <c r="K5" s="1">
        <f>표6[[#This Row],[신규가]]/11-표3[[#This Row],[원가]]/11-표6[[#This Row],[수수료]]/11-표6[[#This Row],[택배비]]/11</f>
        <v>930.18181818181813</v>
      </c>
      <c r="L5" s="1">
        <f>표6[[#This Row],[부가세]]*$L$2</f>
        <v>372.07272727272726</v>
      </c>
      <c r="M5" s="1">
        <f>표6[[#This Row],[신규가]]-표3[[#This Row],[원가]]-표6[[#This Row],[수수료]]-표6[[#This Row],[택배비]]-표6[[#This Row],[부가세]]-표6[[#This Row],[중소세]]</f>
        <v>8929.7454545454548</v>
      </c>
      <c r="N5" s="1">
        <f>표6[[#This Row],[순수익]]/표6[[#This Row],[신규가]]</f>
        <v>0.26896823658269442</v>
      </c>
      <c r="O5" s="1">
        <f>표3[[#This Row],[신규가]]-표3[[#This Row],[원가]]</f>
        <v>4320</v>
      </c>
      <c r="P5" s="1">
        <f>표6[[#This Row],[순수익]]-표6[[#This Row],[1차수익]]</f>
        <v>4609.7454545454548</v>
      </c>
      <c r="Q5" s="1" t="s">
        <v>40</v>
      </c>
      <c r="R5" s="1">
        <f>(표6[[#This Row],[신규가]]-표3[[#This Row],[원가]])/표6[[#This Row],[신규가]]</f>
        <v>0.39819277108433737</v>
      </c>
      <c r="U5" s="1">
        <f>T5*표6[[#This Row],[2차수익]]</f>
        <v>0</v>
      </c>
      <c r="V5" s="1">
        <f>T5*표6[[#This Row],[1차수익]]</f>
        <v>0</v>
      </c>
      <c r="W5" s="1">
        <f t="shared" ref="W5:W14" si="0">U5+V5</f>
        <v>0</v>
      </c>
    </row>
    <row r="6" spans="2:23" x14ac:dyDescent="0.4">
      <c r="B6" s="4">
        <v>3</v>
      </c>
      <c r="C6" s="8" t="s">
        <v>0</v>
      </c>
      <c r="D6" s="8">
        <v>24</v>
      </c>
      <c r="E6" s="5">
        <v>27400</v>
      </c>
      <c r="F6" s="5">
        <f>표6[[#This Row],[신규가]]-표6[[#This Row],[기존가]]</f>
        <v>800</v>
      </c>
      <c r="G6" s="9">
        <f t="shared" ref="G6:G11" si="1">$G$2</f>
        <v>26.7</v>
      </c>
      <c r="H6" s="5">
        <f>ROUND(표3[[#This Row],[신규가]]/((100-표6[[#This Row],[마진]])/100), -2)</f>
        <v>28200</v>
      </c>
      <c r="I6" s="5">
        <f>표6[[#This Row],[신규가]]*$I$2</f>
        <v>2538</v>
      </c>
      <c r="J6" s="8">
        <v>3150</v>
      </c>
      <c r="K6" s="5">
        <f>표6[[#This Row],[신규가]]/11-표3[[#This Row],[원가]]/11-표6[[#This Row],[수수료]]/11-표6[[#This Row],[택배비]]/11</f>
        <v>496.90909090909065</v>
      </c>
      <c r="L6" s="5">
        <f>표6[[#This Row],[부가세]]*$L$2</f>
        <v>198.76363636363627</v>
      </c>
      <c r="M6" s="5">
        <f>표6[[#This Row],[신규가]]-표3[[#This Row],[원가]]-표6[[#This Row],[수수료]]-표6[[#This Row],[택배비]]-표6[[#This Row],[부가세]]-표6[[#This Row],[중소세]]</f>
        <v>4770.3272727272724</v>
      </c>
      <c r="N6" s="6">
        <f>표6[[#This Row],[순수익]]/표6[[#This Row],[신규가]]</f>
        <v>0.16916054158607349</v>
      </c>
      <c r="O6" s="5">
        <f>표3[[#This Row],[신규가]]-표3[[#This Row],[원가]]</f>
        <v>3654</v>
      </c>
      <c r="P6" s="5">
        <f>표6[[#This Row],[순수익]]-표6[[#This Row],[1차수익]]</f>
        <v>1116.3272727272724</v>
      </c>
      <c r="Q6" s="10" t="s">
        <v>39</v>
      </c>
      <c r="R6" s="13">
        <f>(표6[[#This Row],[신규가]]-표3[[#This Row],[원가]])/표6[[#This Row],[신규가]]</f>
        <v>0.395531914893617</v>
      </c>
      <c r="T6">
        <v>5.75</v>
      </c>
      <c r="U6" s="1">
        <f>T6*표6[[#This Row],[2차수익]]</f>
        <v>6418.8818181818169</v>
      </c>
      <c r="V6" s="1">
        <f>T6*표6[[#This Row],[1차수익]]</f>
        <v>21010.5</v>
      </c>
      <c r="W6" s="1">
        <f t="shared" si="0"/>
        <v>27429.381818181817</v>
      </c>
    </row>
    <row r="7" spans="2:23" x14ac:dyDescent="0.4">
      <c r="B7" s="4">
        <v>4</v>
      </c>
      <c r="C7" s="8" t="s">
        <v>2</v>
      </c>
      <c r="D7" s="8">
        <v>30</v>
      </c>
      <c r="E7" s="5">
        <v>20400</v>
      </c>
      <c r="F7" s="5">
        <f>표6[[#This Row],[신규가]]-표6[[#This Row],[기존가]]</f>
        <v>-100</v>
      </c>
      <c r="G7" s="9">
        <f t="shared" si="1"/>
        <v>26.7</v>
      </c>
      <c r="H7" s="5">
        <f>ROUND(표3[[#This Row],[신규가]]/((100-표6[[#This Row],[마진]])/100), -2)</f>
        <v>20300</v>
      </c>
      <c r="I7" s="5">
        <f>표6[[#This Row],[신규가]]*$I$2</f>
        <v>1827</v>
      </c>
      <c r="J7" s="8">
        <v>2750</v>
      </c>
      <c r="K7" s="5">
        <f>표6[[#This Row],[신규가]]/11-표3[[#This Row],[원가]]/11-표6[[#This Row],[수수료]]/11-표6[[#This Row],[택배비]]/11</f>
        <v>315.90909090909088</v>
      </c>
      <c r="L7" s="5">
        <f>표6[[#This Row],[부가세]]*$L$2</f>
        <v>126.36363636363636</v>
      </c>
      <c r="M7" s="5">
        <f>표6[[#This Row],[신규가]]-표3[[#This Row],[원가]]-표6[[#This Row],[수수료]]-표6[[#This Row],[택배비]]-표6[[#This Row],[부가세]]-표6[[#This Row],[중소세]]</f>
        <v>3032.7272727272725</v>
      </c>
      <c r="N7" s="6">
        <f>표6[[#This Row],[순수익]]/표6[[#This Row],[신규가]]</f>
        <v>0.14939543215405282</v>
      </c>
      <c r="O7" s="5">
        <f>표3[[#This Row],[신규가]]-표3[[#This Row],[원가]]</f>
        <v>2652</v>
      </c>
      <c r="P7" s="5">
        <f>표6[[#This Row],[순수익]]-표6[[#This Row],[1차수익]]</f>
        <v>380.72727272727252</v>
      </c>
      <c r="Q7" s="10" t="s">
        <v>39</v>
      </c>
      <c r="R7" s="13">
        <f>(표6[[#This Row],[신규가]]-표3[[#This Row],[원가]])/표6[[#This Row],[신규가]]</f>
        <v>0.39665024630541873</v>
      </c>
      <c r="S7" s="14"/>
      <c r="T7">
        <v>1030</v>
      </c>
      <c r="U7" s="1">
        <f>T7*표6[[#This Row],[2차수익]]</f>
        <v>392149.09090909071</v>
      </c>
      <c r="V7" s="1">
        <f>T7*표6[[#This Row],[1차수익]]</f>
        <v>2731560</v>
      </c>
      <c r="W7" s="1">
        <f t="shared" si="0"/>
        <v>3123709.0909090908</v>
      </c>
    </row>
    <row r="8" spans="2:23" x14ac:dyDescent="0.4">
      <c r="B8" s="4">
        <v>5</v>
      </c>
      <c r="C8" s="8" t="s">
        <v>3</v>
      </c>
      <c r="D8" s="8">
        <v>30</v>
      </c>
      <c r="E8" s="5">
        <v>25490</v>
      </c>
      <c r="F8" s="5">
        <f>표6[[#This Row],[신규가]]-표6[[#This Row],[기존가]]</f>
        <v>-1890</v>
      </c>
      <c r="G8" s="9">
        <f t="shared" si="1"/>
        <v>26.7</v>
      </c>
      <c r="H8" s="5">
        <f>ROUND(표3[[#This Row],[신규가]]/((100-표6[[#This Row],[마진]])/100), -2)</f>
        <v>23600</v>
      </c>
      <c r="I8" s="5">
        <f>표6[[#This Row],[신규가]]*$I$2</f>
        <v>2124</v>
      </c>
      <c r="J8" s="8">
        <v>3150</v>
      </c>
      <c r="K8" s="5">
        <f>표6[[#This Row],[신규가]]/11-표3[[#This Row],[원가]]/11-표6[[#This Row],[수수료]]/11-표6[[#This Row],[택배비]]/11</f>
        <v>376</v>
      </c>
      <c r="L8" s="5">
        <f>표6[[#This Row],[부가세]]*$L$2</f>
        <v>150.4</v>
      </c>
      <c r="M8" s="5">
        <f>표6[[#This Row],[신규가]]-표3[[#This Row],[원가]]-표6[[#This Row],[수수료]]-표6[[#This Row],[택배비]]-표6[[#This Row],[부가세]]-표6[[#This Row],[중소세]]</f>
        <v>3609.6</v>
      </c>
      <c r="N8" s="6">
        <f>표6[[#This Row],[순수익]]/표6[[#This Row],[신규가]]</f>
        <v>0.15294915254237287</v>
      </c>
      <c r="O8" s="5">
        <f>표3[[#This Row],[신규가]]-표3[[#This Row],[원가]]</f>
        <v>3110</v>
      </c>
      <c r="P8" s="5">
        <f>표6[[#This Row],[순수익]]-표6[[#This Row],[1차수익]]</f>
        <v>499.59999999999991</v>
      </c>
      <c r="Q8" s="10" t="s">
        <v>39</v>
      </c>
      <c r="R8" s="13">
        <f>(표6[[#This Row],[신규가]]-표3[[#This Row],[원가]])/표6[[#This Row],[신규가]]</f>
        <v>0.39872881355932205</v>
      </c>
      <c r="T8">
        <v>2</v>
      </c>
      <c r="U8" s="1">
        <f>T8*표6[[#This Row],[2차수익]]</f>
        <v>999.19999999999982</v>
      </c>
      <c r="V8" s="1">
        <f>T8*표6[[#This Row],[1차수익]]</f>
        <v>6220</v>
      </c>
      <c r="W8" s="1">
        <f t="shared" si="0"/>
        <v>7219.2</v>
      </c>
    </row>
    <row r="9" spans="2:23" x14ac:dyDescent="0.4">
      <c r="B9" s="4">
        <v>6</v>
      </c>
      <c r="C9" s="8" t="s">
        <v>4</v>
      </c>
      <c r="D9" s="8">
        <v>30</v>
      </c>
      <c r="E9" s="5">
        <v>25490</v>
      </c>
      <c r="F9" s="5">
        <f>표6[[#This Row],[신규가]]-표6[[#This Row],[기존가]]</f>
        <v>-1890</v>
      </c>
      <c r="G9" s="9">
        <f t="shared" si="1"/>
        <v>26.7</v>
      </c>
      <c r="H9" s="5">
        <f>ROUND(표3[[#This Row],[신규가]]/((100-표6[[#This Row],[마진]])/100), -2)</f>
        <v>23600</v>
      </c>
      <c r="I9" s="5">
        <f>표6[[#This Row],[신규가]]*$I$2</f>
        <v>2124</v>
      </c>
      <c r="J9" s="8">
        <v>3150</v>
      </c>
      <c r="K9" s="5">
        <f>표6[[#This Row],[신규가]]/11-표3[[#This Row],[원가]]/11-표6[[#This Row],[수수료]]/11-표6[[#This Row],[택배비]]/11</f>
        <v>376</v>
      </c>
      <c r="L9" s="5">
        <f>표6[[#This Row],[부가세]]*$L$2</f>
        <v>150.4</v>
      </c>
      <c r="M9" s="5">
        <f>표6[[#This Row],[신규가]]-표3[[#This Row],[원가]]-표6[[#This Row],[수수료]]-표6[[#This Row],[택배비]]-표6[[#This Row],[부가세]]-표6[[#This Row],[중소세]]</f>
        <v>3609.6</v>
      </c>
      <c r="N9" s="6">
        <f>표6[[#This Row],[순수익]]/표6[[#This Row],[신규가]]</f>
        <v>0.15294915254237287</v>
      </c>
      <c r="O9" s="5">
        <f>표3[[#This Row],[신규가]]-표3[[#This Row],[원가]]</f>
        <v>3110</v>
      </c>
      <c r="P9" s="5">
        <f>표6[[#This Row],[순수익]]-표6[[#This Row],[1차수익]]</f>
        <v>499.59999999999991</v>
      </c>
      <c r="Q9" s="10" t="s">
        <v>39</v>
      </c>
      <c r="R9" s="13">
        <f>(표6[[#This Row],[신규가]]-표3[[#This Row],[원가]])/표6[[#This Row],[신규가]]</f>
        <v>0.39872881355932205</v>
      </c>
      <c r="T9">
        <v>8</v>
      </c>
      <c r="U9" s="1">
        <f>T9*표6[[#This Row],[2차수익]]</f>
        <v>3996.7999999999993</v>
      </c>
      <c r="V9" s="1">
        <f>T9*표6[[#This Row],[1차수익]]</f>
        <v>24880</v>
      </c>
      <c r="W9" s="1">
        <f t="shared" si="0"/>
        <v>28876.799999999999</v>
      </c>
    </row>
    <row r="10" spans="2:23" x14ac:dyDescent="0.4">
      <c r="B10" s="4">
        <v>7</v>
      </c>
      <c r="C10" s="8" t="s">
        <v>5</v>
      </c>
      <c r="D10" s="8">
        <v>30</v>
      </c>
      <c r="E10" s="5">
        <v>26300</v>
      </c>
      <c r="F10" s="5">
        <f>표6[[#This Row],[신규가]]-표6[[#This Row],[기존가]]</f>
        <v>400</v>
      </c>
      <c r="G10" s="9">
        <f t="shared" si="1"/>
        <v>26.7</v>
      </c>
      <c r="H10" s="5">
        <f>ROUND(표3[[#This Row],[신규가]]/((100-표6[[#This Row],[마진]])/100), -2)</f>
        <v>26700</v>
      </c>
      <c r="I10" s="5">
        <f>표6[[#This Row],[신규가]]*$I$2</f>
        <v>2403</v>
      </c>
      <c r="J10" s="8">
        <v>3150</v>
      </c>
      <c r="K10" s="5">
        <f>표6[[#This Row],[신규가]]/11-표3[[#This Row],[원가]]/11-표6[[#This Row],[수수료]]/11-표6[[#This Row],[택배비]]/11</f>
        <v>463.90909090909111</v>
      </c>
      <c r="L10" s="5">
        <f>표6[[#This Row],[부가세]]*$L$2</f>
        <v>185.56363636363645</v>
      </c>
      <c r="M10" s="5">
        <f>표6[[#This Row],[신규가]]-표3[[#This Row],[원가]]-표6[[#This Row],[수수료]]-표6[[#This Row],[택배비]]-표6[[#This Row],[부가세]]-표6[[#This Row],[중소세]]</f>
        <v>4453.5272727272722</v>
      </c>
      <c r="N10" s="6">
        <f>표6[[#This Row],[순수익]]/표6[[#This Row],[신규가]]</f>
        <v>0.16679877425944839</v>
      </c>
      <c r="O10" s="5">
        <f>표3[[#This Row],[신규가]]-표3[[#This Row],[원가]]</f>
        <v>3556</v>
      </c>
      <c r="P10" s="5">
        <f>표6[[#This Row],[순수익]]-표6[[#This Row],[1차수익]]</f>
        <v>897.52727272727225</v>
      </c>
      <c r="Q10" s="10" t="s">
        <v>39</v>
      </c>
      <c r="R10" s="13">
        <f>(표6[[#This Row],[신규가]]-표3[[#This Row],[원가]])/표6[[#This Row],[신규가]]</f>
        <v>0.39910112359550559</v>
      </c>
      <c r="T10">
        <v>3.67</v>
      </c>
      <c r="U10" s="1">
        <f>T10*표6[[#This Row],[2차수익]]</f>
        <v>3293.9250909090892</v>
      </c>
      <c r="V10" s="1">
        <f>T10*표6[[#This Row],[1차수익]]</f>
        <v>13050.52</v>
      </c>
      <c r="W10" s="1">
        <f t="shared" si="0"/>
        <v>16344.44509090909</v>
      </c>
    </row>
    <row r="11" spans="2:23" x14ac:dyDescent="0.4">
      <c r="B11" s="4">
        <v>8</v>
      </c>
      <c r="C11" s="8" t="s">
        <v>6</v>
      </c>
      <c r="D11" s="8">
        <v>30</v>
      </c>
      <c r="E11" s="5">
        <v>27400</v>
      </c>
      <c r="F11" s="5">
        <f>표6[[#This Row],[신규가]]-표6[[#This Row],[기존가]]</f>
        <v>200</v>
      </c>
      <c r="G11" s="9">
        <f t="shared" si="1"/>
        <v>26.7</v>
      </c>
      <c r="H11" s="5">
        <f>ROUND(표3[[#This Row],[신규가]]/((100-표6[[#This Row],[마진]])/100), -2)</f>
        <v>27600</v>
      </c>
      <c r="I11" s="5">
        <f>표6[[#This Row],[신규가]]*$I$2</f>
        <v>2484</v>
      </c>
      <c r="J11" s="8">
        <v>3150</v>
      </c>
      <c r="K11" s="5">
        <f>표6[[#This Row],[신규가]]/11-표3[[#This Row],[원가]]/11-표6[[#This Row],[수수료]]/11-표6[[#This Row],[택배비]]/11</f>
        <v>495.18181818181813</v>
      </c>
      <c r="L11" s="5">
        <f>표6[[#This Row],[부가세]]*$L$2</f>
        <v>198.07272727272726</v>
      </c>
      <c r="M11" s="5">
        <f>표6[[#This Row],[신규가]]-표3[[#This Row],[원가]]-표6[[#This Row],[수수료]]-표6[[#This Row],[택배비]]-표6[[#This Row],[부가세]]-표6[[#This Row],[중소세]]</f>
        <v>4753.7454545454548</v>
      </c>
      <c r="N11" s="6">
        <f>표6[[#This Row],[순수익]]/표6[[#This Row],[신규가]]</f>
        <v>0.17223715415019764</v>
      </c>
      <c r="O11" s="5">
        <f>표3[[#This Row],[신규가]]-표3[[#This Row],[원가]]</f>
        <v>3681</v>
      </c>
      <c r="P11" s="5">
        <f>표6[[#This Row],[순수익]]-표6[[#This Row],[1차수익]]</f>
        <v>1072.7454545454548</v>
      </c>
      <c r="Q11" s="10" t="s">
        <v>39</v>
      </c>
      <c r="R11" s="13">
        <f>(표6[[#This Row],[신규가]]-표3[[#This Row],[원가]])/표6[[#This Row],[신규가]]</f>
        <v>0.40148550724637683</v>
      </c>
      <c r="T11">
        <v>5</v>
      </c>
      <c r="U11" s="1">
        <f>T11*표6[[#This Row],[2차수익]]</f>
        <v>5363.7272727272739</v>
      </c>
      <c r="V11" s="1">
        <f>T11*표6[[#This Row],[1차수익]]</f>
        <v>18405</v>
      </c>
      <c r="W11" s="1">
        <f t="shared" si="0"/>
        <v>23768.727272727272</v>
      </c>
    </row>
    <row r="12" spans="2:23" hidden="1" x14ac:dyDescent="0.4">
      <c r="B12">
        <v>9</v>
      </c>
      <c r="C12" t="s">
        <v>7</v>
      </c>
      <c r="D12">
        <v>30</v>
      </c>
      <c r="E12" s="1">
        <v>0</v>
      </c>
      <c r="F12" s="1">
        <f>표6[[#This Row],[신규가]]-표6[[#This Row],[기존가]]</f>
        <v>23600</v>
      </c>
      <c r="G12" s="1">
        <f>$G$4</f>
        <v>26.7</v>
      </c>
      <c r="H12" s="1">
        <f>ROUND(표3[[#This Row],[신규가]]/((100-표6[[#This Row],[마진]])/100), -2)</f>
        <v>23600</v>
      </c>
      <c r="I12" s="1">
        <f>표6[[#This Row],[신규가]]*$I$2</f>
        <v>2124</v>
      </c>
      <c r="J12">
        <v>0</v>
      </c>
      <c r="K12" s="1">
        <f>표6[[#This Row],[신규가]]/11-표3[[#This Row],[원가]]/11-표6[[#This Row],[수수료]]/11-표6[[#This Row],[택배비]]/11</f>
        <v>662.36363636363637</v>
      </c>
      <c r="L12" s="1">
        <f>표6[[#This Row],[부가세]]*$L$2</f>
        <v>264.94545454545454</v>
      </c>
      <c r="M12" s="1">
        <f>표6[[#This Row],[신규가]]-표3[[#This Row],[원가]]-표6[[#This Row],[수수료]]-표6[[#This Row],[택배비]]-표6[[#This Row],[부가세]]-표6[[#This Row],[중소세]]</f>
        <v>6358.6909090909094</v>
      </c>
      <c r="N12" s="1">
        <f>표6[[#This Row],[순수익]]/표6[[#This Row],[신규가]]</f>
        <v>0.26943605546995381</v>
      </c>
      <c r="O12" s="1">
        <f>표3[[#This Row],[신규가]]-표3[[#This Row],[원가]]</f>
        <v>3110</v>
      </c>
      <c r="P12" s="1">
        <f>표6[[#This Row],[순수익]]-표6[[#This Row],[1차수익]]</f>
        <v>3248.6909090909094</v>
      </c>
      <c r="Q12" s="1" t="s">
        <v>40</v>
      </c>
      <c r="R12" s="1">
        <f>(표6[[#This Row],[신규가]]-표3[[#This Row],[원가]])/표6[[#This Row],[신규가]]</f>
        <v>0.39872881355932205</v>
      </c>
      <c r="U12" s="1">
        <f>T12*표6[[#This Row],[2차수익]]</f>
        <v>0</v>
      </c>
      <c r="V12" s="1">
        <f>T12*표6[[#This Row],[1차수익]]</f>
        <v>0</v>
      </c>
      <c r="W12" s="1">
        <f t="shared" si="0"/>
        <v>0</v>
      </c>
    </row>
    <row r="13" spans="2:23" x14ac:dyDescent="0.4">
      <c r="B13" s="4">
        <v>10</v>
      </c>
      <c r="C13" s="8" t="s">
        <v>8</v>
      </c>
      <c r="D13" s="8">
        <v>30</v>
      </c>
      <c r="E13" s="5">
        <v>28600</v>
      </c>
      <c r="F13" s="5">
        <f>표6[[#This Row],[신규가]]-표6[[#This Row],[기존가]]</f>
        <v>-500</v>
      </c>
      <c r="G13" s="9">
        <f>$G$2</f>
        <v>26.7</v>
      </c>
      <c r="H13" s="5">
        <f>ROUND(표3[[#This Row],[신규가]]/((100-표6[[#This Row],[마진]])/100), -2)</f>
        <v>28100</v>
      </c>
      <c r="I13" s="5">
        <f>표6[[#This Row],[신규가]]*$I$2</f>
        <v>2529</v>
      </c>
      <c r="J13" s="8">
        <v>3150</v>
      </c>
      <c r="K13" s="5">
        <f>표6[[#This Row],[신규가]]/11-표3[[#This Row],[원가]]/11-표6[[#This Row],[수수료]]/11-표6[[#This Row],[택배비]]/11</f>
        <v>501.36363636363626</v>
      </c>
      <c r="L13" s="5">
        <f>표6[[#This Row],[부가세]]*$L$2</f>
        <v>200.5454545454545</v>
      </c>
      <c r="M13" s="5">
        <f>표6[[#This Row],[신규가]]-표3[[#This Row],[원가]]-표6[[#This Row],[수수료]]-표6[[#This Row],[택배비]]-표6[[#This Row],[부가세]]-표6[[#This Row],[중소세]]</f>
        <v>4813.0909090909099</v>
      </c>
      <c r="N13" s="6">
        <f>표6[[#This Row],[순수익]]/표6[[#This Row],[신규가]]</f>
        <v>0.17128437398900034</v>
      </c>
      <c r="O13" s="5">
        <f>표3[[#This Row],[신규가]]-표3[[#This Row],[원가]]</f>
        <v>3694</v>
      </c>
      <c r="P13" s="5">
        <f>표6[[#This Row],[순수익]]-표6[[#This Row],[1차수익]]</f>
        <v>1119.0909090909099</v>
      </c>
      <c r="Q13" s="10" t="s">
        <v>39</v>
      </c>
      <c r="R13" s="13">
        <f>(표6[[#This Row],[신규가]]-표3[[#This Row],[원가]])/표6[[#This Row],[신규가]]</f>
        <v>0.3983629893238434</v>
      </c>
      <c r="T13">
        <v>7.33</v>
      </c>
      <c r="U13" s="1">
        <f>T13*표6[[#This Row],[2차수익]]</f>
        <v>8202.9363636363705</v>
      </c>
      <c r="V13" s="1">
        <f>T13*표6[[#This Row],[1차수익]]</f>
        <v>27077.02</v>
      </c>
      <c r="W13" s="1">
        <f t="shared" si="0"/>
        <v>35279.956363636375</v>
      </c>
    </row>
    <row r="14" spans="2:23" x14ac:dyDescent="0.4">
      <c r="B14" s="4">
        <v>11</v>
      </c>
      <c r="C14" s="8" t="s">
        <v>9</v>
      </c>
      <c r="D14" s="8">
        <v>16</v>
      </c>
      <c r="E14" s="5">
        <v>20700</v>
      </c>
      <c r="F14" s="5">
        <f>표6[[#This Row],[신규가]]-표6[[#This Row],[기존가]]</f>
        <v>0</v>
      </c>
      <c r="G14" s="9">
        <f>$G$2+1</f>
        <v>27.7</v>
      </c>
      <c r="H14" s="5">
        <f>ROUND(표3[[#This Row],[신규가]]/((100-표6[[#This Row],[마진]])/100), -2)</f>
        <v>20700</v>
      </c>
      <c r="I14" s="5">
        <f>표6[[#This Row],[신규가]]*$I$2</f>
        <v>1863</v>
      </c>
      <c r="J14" s="8">
        <v>2750</v>
      </c>
      <c r="K14" s="5">
        <f>표6[[#This Row],[신규가]]/11-표3[[#This Row],[원가]]/11-표6[[#This Row],[수수료]]/11-표6[[#This Row],[택배비]]/11</f>
        <v>373.09090909090912</v>
      </c>
      <c r="L14" s="5">
        <f>표6[[#This Row],[부가세]]*$L$2</f>
        <v>149.23636363636365</v>
      </c>
      <c r="M14" s="5">
        <f>표6[[#This Row],[신규가]]-표3[[#This Row],[원가]]-표6[[#This Row],[수수료]]-표6[[#This Row],[택배비]]-표6[[#This Row],[부가세]]-표6[[#This Row],[중소세]]</f>
        <v>3581.6727272727276</v>
      </c>
      <c r="N14" s="6">
        <f>표6[[#This Row],[순수익]]/표6[[#This Row],[신규가]]</f>
        <v>0.17302766798418973</v>
      </c>
      <c r="O14" s="5">
        <f>표3[[#This Row],[신규가]]-표3[[#This Row],[원가]]</f>
        <v>3017</v>
      </c>
      <c r="P14" s="5">
        <f>표6[[#This Row],[순수익]]-표6[[#This Row],[1차수익]]</f>
        <v>564.67272727272757</v>
      </c>
      <c r="Q14" s="10" t="s">
        <v>39</v>
      </c>
      <c r="R14" s="13">
        <f>(표6[[#This Row],[신규가]]-표3[[#This Row],[원가]])/표6[[#This Row],[신규가]]</f>
        <v>0.4211111111111111</v>
      </c>
      <c r="S14" s="14"/>
      <c r="T14">
        <v>208</v>
      </c>
      <c r="U14" s="1">
        <f>T14*표6[[#This Row],[2차수익]]</f>
        <v>117451.92727272733</v>
      </c>
      <c r="V14" s="1">
        <f>T14*표6[[#This Row],[1차수익]]</f>
        <v>627536</v>
      </c>
      <c r="W14" s="1">
        <f t="shared" si="0"/>
        <v>744987.92727272736</v>
      </c>
    </row>
    <row r="15" spans="2:23" x14ac:dyDescent="0.4">
      <c r="B15" s="4">
        <v>12</v>
      </c>
      <c r="C15" s="8" t="s">
        <v>10</v>
      </c>
      <c r="D15" s="8">
        <v>16</v>
      </c>
      <c r="E15" s="5">
        <v>24490</v>
      </c>
      <c r="F15" s="5">
        <f>표6[[#This Row],[신규가]]-표6[[#This Row],[기존가]]</f>
        <v>-590</v>
      </c>
      <c r="G15" s="9">
        <f>$G$14</f>
        <v>27.7</v>
      </c>
      <c r="H15" s="5">
        <f>ROUND(표3[[#This Row],[신규가]]/((100-표6[[#This Row],[마진]])/100), -2)</f>
        <v>23900</v>
      </c>
      <c r="I15" s="5">
        <f>표6[[#This Row],[신규가]]*$I$2</f>
        <v>2151</v>
      </c>
      <c r="J15" s="8">
        <v>2750</v>
      </c>
      <c r="K15" s="5">
        <f>표6[[#This Row],[신규가]]/11-표3[[#This Row],[원가]]/11-표6[[#This Row],[수수료]]/11-표6[[#This Row],[택배비]]/11</f>
        <v>474.72727272727252</v>
      </c>
      <c r="L15" s="5">
        <f>표6[[#This Row],[부가세]]*$L$2</f>
        <v>189.89090909090902</v>
      </c>
      <c r="M15" s="5">
        <f>표6[[#This Row],[신규가]]-표3[[#This Row],[원가]]-표6[[#This Row],[수수료]]-표6[[#This Row],[택배비]]-표6[[#This Row],[부가세]]-표6[[#This Row],[중소세]]</f>
        <v>4557.3818181818187</v>
      </c>
      <c r="N15" s="6">
        <f>표6[[#This Row],[순수익]]/표6[[#This Row],[신규가]]</f>
        <v>0.19068543172308866</v>
      </c>
      <c r="O15" s="5">
        <f>표3[[#This Row],[신규가]]-표3[[#This Row],[원가]]</f>
        <v>3473</v>
      </c>
      <c r="P15" s="5">
        <f>표6[[#This Row],[순수익]]-표6[[#This Row],[1차수익]]</f>
        <v>1084.3818181818187</v>
      </c>
      <c r="Q15" s="10" t="s">
        <v>39</v>
      </c>
      <c r="R15" s="13">
        <f>(표6[[#This Row],[신규가]]-표3[[#This Row],[원가]])/표6[[#This Row],[신규가]]</f>
        <v>0.42355648535564855</v>
      </c>
      <c r="T15">
        <v>2</v>
      </c>
      <c r="U15" s="1">
        <f>T15*표6[[#This Row],[2차수익]]</f>
        <v>2168.7636363636375</v>
      </c>
      <c r="V15" s="1">
        <f>T15*표6[[#This Row],[1차수익]]</f>
        <v>6946</v>
      </c>
      <c r="W15" s="1">
        <f t="shared" ref="W15:W23" si="2">U15+V15</f>
        <v>9114.7636363636375</v>
      </c>
    </row>
    <row r="16" spans="2:23" x14ac:dyDescent="0.4">
      <c r="B16" s="4">
        <v>13</v>
      </c>
      <c r="C16" s="8" t="s">
        <v>11</v>
      </c>
      <c r="D16" s="8">
        <v>16</v>
      </c>
      <c r="E16" s="5">
        <v>25990</v>
      </c>
      <c r="F16" s="5">
        <f>표6[[#This Row],[신규가]]-표6[[#This Row],[기존가]]</f>
        <v>-90</v>
      </c>
      <c r="G16" s="9">
        <f t="shared" ref="G16:G21" si="3">$G$14</f>
        <v>27.7</v>
      </c>
      <c r="H16" s="5">
        <f>ROUND(표3[[#This Row],[신규가]]/((100-표6[[#This Row],[마진]])/100), -2)</f>
        <v>25900</v>
      </c>
      <c r="I16" s="5">
        <f>표6[[#This Row],[신규가]]*$I$2</f>
        <v>2331</v>
      </c>
      <c r="J16" s="8">
        <v>2750</v>
      </c>
      <c r="K16" s="5">
        <f>표6[[#This Row],[신규가]]/11-표3[[#This Row],[원가]]/11-표6[[#This Row],[수수료]]/11-표6[[#This Row],[택배비]]/11</f>
        <v>532.36363636363637</v>
      </c>
      <c r="L16" s="5">
        <f>표6[[#This Row],[부가세]]*$L$2</f>
        <v>212.94545454545457</v>
      </c>
      <c r="M16" s="5">
        <f>표6[[#This Row],[신규가]]-표3[[#This Row],[원가]]-표6[[#This Row],[수수료]]-표6[[#This Row],[택배비]]-표6[[#This Row],[부가세]]-표6[[#This Row],[중소세]]</f>
        <v>5110.6909090909094</v>
      </c>
      <c r="N16" s="6">
        <f>표6[[#This Row],[순수익]]/표6[[#This Row],[신규가]]</f>
        <v>0.19732397332397333</v>
      </c>
      <c r="O16" s="5">
        <f>표3[[#This Row],[신규가]]-표3[[#This Row],[원가]]</f>
        <v>3737</v>
      </c>
      <c r="P16" s="5">
        <f>표6[[#This Row],[순수익]]-표6[[#This Row],[1차수익]]</f>
        <v>1373.6909090909094</v>
      </c>
      <c r="Q16" s="10" t="s">
        <v>39</v>
      </c>
      <c r="R16" s="13">
        <f>(표6[[#This Row],[신규가]]-표3[[#This Row],[원가]])/표6[[#This Row],[신규가]]</f>
        <v>0.42227799227799229</v>
      </c>
      <c r="T16">
        <v>14</v>
      </c>
      <c r="U16" s="1">
        <f>T16*표6[[#This Row],[2차수익]]</f>
        <v>19231.672727272729</v>
      </c>
      <c r="V16" s="1">
        <f>T16*표6[[#This Row],[1차수익]]</f>
        <v>52318</v>
      </c>
      <c r="W16" s="1">
        <f t="shared" si="2"/>
        <v>71549.672727272729</v>
      </c>
    </row>
    <row r="17" spans="2:25" x14ac:dyDescent="0.4">
      <c r="B17" s="4">
        <v>14</v>
      </c>
      <c r="C17" s="8" t="s">
        <v>12</v>
      </c>
      <c r="D17" s="8">
        <v>16</v>
      </c>
      <c r="E17" s="5">
        <v>34990</v>
      </c>
      <c r="F17" s="5">
        <f>표6[[#This Row],[신규가]]-표6[[#This Row],[기존가]]</f>
        <v>1710</v>
      </c>
      <c r="G17" s="9">
        <f t="shared" si="3"/>
        <v>27.7</v>
      </c>
      <c r="H17" s="5">
        <f>ROUND(표3[[#This Row],[신규가]]/((100-표6[[#This Row],[마진]])/100), -2)</f>
        <v>36700</v>
      </c>
      <c r="I17" s="5">
        <f>표6[[#This Row],[신규가]]*$I$2</f>
        <v>3303</v>
      </c>
      <c r="J17" s="8">
        <v>2750</v>
      </c>
      <c r="K17" s="5">
        <f>표6[[#This Row],[신규가]]/11-표3[[#This Row],[원가]]/11-표6[[#This Row],[수수료]]/11-표6[[#This Row],[택배비]]/11</f>
        <v>858.18181818181824</v>
      </c>
      <c r="L17" s="5">
        <f>표6[[#This Row],[부가세]]*$L$2</f>
        <v>343.27272727272731</v>
      </c>
      <c r="M17" s="5">
        <f>표6[[#This Row],[신규가]]-표3[[#This Row],[원가]]-표6[[#This Row],[수수료]]-표6[[#This Row],[택배비]]-표6[[#This Row],[부가세]]-표6[[#This Row],[중소세]]</f>
        <v>8238.545454545454</v>
      </c>
      <c r="N17" s="6">
        <f>표6[[#This Row],[순수익]]/표6[[#This Row],[신규가]]</f>
        <v>0.22448352737181074</v>
      </c>
      <c r="O17" s="5">
        <f>표3[[#This Row],[신규가]]-표3[[#This Row],[원가]]</f>
        <v>5293</v>
      </c>
      <c r="P17" s="5">
        <f>표6[[#This Row],[순수익]]-표6[[#This Row],[1차수익]]</f>
        <v>2945.545454545454</v>
      </c>
      <c r="Q17" s="10" t="s">
        <v>39</v>
      </c>
      <c r="R17" s="13">
        <f>(표6[[#This Row],[신규가]]-표3[[#This Row],[원가]])/표6[[#This Row],[신규가]]</f>
        <v>0.4221525885558583</v>
      </c>
      <c r="T17">
        <v>7</v>
      </c>
      <c r="U17" s="1">
        <f>T17*표6[[#This Row],[2차수익]]</f>
        <v>20618.818181818177</v>
      </c>
      <c r="V17" s="1">
        <f>T17*표6[[#This Row],[1차수익]]</f>
        <v>37051</v>
      </c>
      <c r="W17" s="1">
        <f t="shared" si="2"/>
        <v>57669.818181818177</v>
      </c>
    </row>
    <row r="18" spans="2:25" x14ac:dyDescent="0.4">
      <c r="B18" s="4">
        <v>15</v>
      </c>
      <c r="C18" s="8" t="s">
        <v>13</v>
      </c>
      <c r="D18" s="8">
        <v>16</v>
      </c>
      <c r="E18" s="5">
        <v>21500</v>
      </c>
      <c r="F18" s="5">
        <f>표6[[#This Row],[신규가]]-표6[[#This Row],[기존가]]</f>
        <v>300</v>
      </c>
      <c r="G18" s="9">
        <f t="shared" si="3"/>
        <v>27.7</v>
      </c>
      <c r="H18" s="5">
        <f>ROUND(표3[[#This Row],[신규가]]/((100-표6[[#This Row],[마진]])/100), -2)</f>
        <v>21800</v>
      </c>
      <c r="I18" s="5">
        <f>표6[[#This Row],[신규가]]*$I$2</f>
        <v>1962</v>
      </c>
      <c r="J18" s="8">
        <v>2750</v>
      </c>
      <c r="K18" s="5">
        <f>표6[[#This Row],[신규가]]/11-표3[[#This Row],[원가]]/11-표6[[#This Row],[수수료]]/11-표6[[#This Row],[택배비]]/11</f>
        <v>410.90909090909088</v>
      </c>
      <c r="L18" s="5">
        <f>표6[[#This Row],[부가세]]*$L$2</f>
        <v>164.36363636363637</v>
      </c>
      <c r="M18" s="5">
        <f>표6[[#This Row],[신규가]]-표3[[#This Row],[원가]]-표6[[#This Row],[수수료]]-표6[[#This Row],[택배비]]-표6[[#This Row],[부가세]]-표6[[#This Row],[중소세]]</f>
        <v>3944.7272727272725</v>
      </c>
      <c r="N18" s="6">
        <f>표6[[#This Row],[순수익]]/표6[[#This Row],[신규가]]</f>
        <v>0.18095079232693911</v>
      </c>
      <c r="O18" s="5">
        <f>표3[[#This Row],[신규가]]-표3[[#This Row],[원가]]</f>
        <v>3182</v>
      </c>
      <c r="P18" s="5">
        <f>표6[[#This Row],[순수익]]-표6[[#This Row],[1차수익]]</f>
        <v>762.72727272727252</v>
      </c>
      <c r="Q18" s="10" t="s">
        <v>39</v>
      </c>
      <c r="R18" s="13">
        <f>(표6[[#This Row],[신규가]]-표3[[#This Row],[원가]])/표6[[#This Row],[신규가]]</f>
        <v>0.42348623853211009</v>
      </c>
      <c r="S18" s="14"/>
      <c r="T18">
        <v>11</v>
      </c>
      <c r="U18" s="1">
        <f>T18*표6[[#This Row],[2차수익]]</f>
        <v>8389.9999999999982</v>
      </c>
      <c r="V18" s="1">
        <f>T18*표6[[#This Row],[1차수익]]</f>
        <v>35002</v>
      </c>
      <c r="W18" s="1">
        <f t="shared" si="2"/>
        <v>43392</v>
      </c>
    </row>
    <row r="19" spans="2:25" x14ac:dyDescent="0.4">
      <c r="B19" s="4">
        <v>16</v>
      </c>
      <c r="C19" s="8" t="s">
        <v>14</v>
      </c>
      <c r="D19" s="8">
        <v>16</v>
      </c>
      <c r="E19" s="5">
        <v>25490</v>
      </c>
      <c r="F19" s="5">
        <f>표6[[#This Row],[신규가]]-표6[[#This Row],[기존가]]</f>
        <v>-490</v>
      </c>
      <c r="G19" s="9">
        <f t="shared" si="3"/>
        <v>27.7</v>
      </c>
      <c r="H19" s="5">
        <f>ROUND(표3[[#This Row],[신규가]]/((100-표6[[#This Row],[마진]])/100), -2)</f>
        <v>25000</v>
      </c>
      <c r="I19" s="5">
        <f>표6[[#This Row],[신규가]]*$I$2</f>
        <v>2250</v>
      </c>
      <c r="J19" s="8">
        <v>2750</v>
      </c>
      <c r="K19" s="5">
        <f>표6[[#This Row],[신규가]]/11-표3[[#This Row],[원가]]/11-표6[[#This Row],[수수료]]/11-표6[[#This Row],[택배비]]/11</f>
        <v>503.72727272727252</v>
      </c>
      <c r="L19" s="5">
        <f>표6[[#This Row],[부가세]]*$L$2</f>
        <v>201.49090909090901</v>
      </c>
      <c r="M19" s="5">
        <f>표6[[#This Row],[신규가]]-표3[[#This Row],[원가]]-표6[[#This Row],[수수료]]-표6[[#This Row],[택배비]]-표6[[#This Row],[부가세]]-표6[[#This Row],[중소세]]</f>
        <v>4835.7818181818193</v>
      </c>
      <c r="N19" s="6">
        <f>표6[[#This Row],[순수익]]/표6[[#This Row],[신규가]]</f>
        <v>0.19343127272727278</v>
      </c>
      <c r="O19" s="5">
        <f>표3[[#This Row],[신규가]]-표3[[#This Row],[원가]]</f>
        <v>3641</v>
      </c>
      <c r="P19" s="5">
        <f>표6[[#This Row],[순수익]]-표6[[#This Row],[1차수익]]</f>
        <v>1194.7818181818193</v>
      </c>
      <c r="Q19" s="10" t="s">
        <v>39</v>
      </c>
      <c r="R19" s="13">
        <f>(표6[[#This Row],[신규가]]-표3[[#This Row],[원가]])/표6[[#This Row],[신규가]]</f>
        <v>0.42164000000000001</v>
      </c>
      <c r="T19">
        <v>0</v>
      </c>
      <c r="U19" s="1">
        <f>T19*표6[[#This Row],[2차수익]]</f>
        <v>0</v>
      </c>
      <c r="V19" s="1">
        <f>T19*표6[[#This Row],[1차수익]]</f>
        <v>0</v>
      </c>
      <c r="W19" s="1">
        <f t="shared" si="2"/>
        <v>0</v>
      </c>
    </row>
    <row r="20" spans="2:25" x14ac:dyDescent="0.4">
      <c r="B20" s="4">
        <v>17</v>
      </c>
      <c r="C20" s="8" t="s">
        <v>15</v>
      </c>
      <c r="D20" s="8">
        <v>16</v>
      </c>
      <c r="E20" s="5">
        <v>26990</v>
      </c>
      <c r="F20" s="5">
        <f>표6[[#This Row],[신규가]]-표6[[#This Row],[기존가]]</f>
        <v>210</v>
      </c>
      <c r="G20" s="9">
        <f t="shared" si="3"/>
        <v>27.7</v>
      </c>
      <c r="H20" s="5">
        <f>ROUND(표3[[#This Row],[신규가]]/((100-표6[[#This Row],[마진]])/100), -2)</f>
        <v>27200</v>
      </c>
      <c r="I20" s="5">
        <f>표6[[#This Row],[신규가]]*$I$2</f>
        <v>2448</v>
      </c>
      <c r="J20" s="8">
        <v>2750</v>
      </c>
      <c r="K20" s="5">
        <f>표6[[#This Row],[신규가]]/11-표3[[#This Row],[원가]]/11-표6[[#This Row],[수수료]]/11-표6[[#This Row],[택배비]]/11</f>
        <v>571.99999999999977</v>
      </c>
      <c r="L20" s="5">
        <f>표6[[#This Row],[부가세]]*$L$2</f>
        <v>228.79999999999993</v>
      </c>
      <c r="M20" s="5">
        <f>표6[[#This Row],[신규가]]-표3[[#This Row],[원가]]-표6[[#This Row],[수수료]]-표6[[#This Row],[택배비]]-표6[[#This Row],[부가세]]-표6[[#This Row],[중소세]]</f>
        <v>5491.2</v>
      </c>
      <c r="N20" s="6">
        <f>표6[[#This Row],[순수익]]/표6[[#This Row],[신규가]]</f>
        <v>0.20188235294117646</v>
      </c>
      <c r="O20" s="5">
        <f>표3[[#This Row],[신규가]]-표3[[#This Row],[원가]]</f>
        <v>3940</v>
      </c>
      <c r="P20" s="5">
        <f>표6[[#This Row],[순수익]]-표6[[#This Row],[1차수익]]</f>
        <v>1551.1999999999998</v>
      </c>
      <c r="Q20" s="10" t="s">
        <v>39</v>
      </c>
      <c r="R20" s="13">
        <f>(표6[[#This Row],[신규가]]-표3[[#This Row],[원가]])/표6[[#This Row],[신규가]]</f>
        <v>0.42242647058823529</v>
      </c>
      <c r="T20">
        <v>3</v>
      </c>
      <c r="U20" s="1">
        <f>T20*표6[[#This Row],[2차수익]]</f>
        <v>4653.5999999999995</v>
      </c>
      <c r="V20" s="1">
        <f>T20*표6[[#This Row],[1차수익]]</f>
        <v>11820</v>
      </c>
      <c r="W20" s="1">
        <f t="shared" si="2"/>
        <v>16473.599999999999</v>
      </c>
    </row>
    <row r="21" spans="2:25" x14ac:dyDescent="0.4">
      <c r="B21" s="4">
        <v>18</v>
      </c>
      <c r="C21" s="8" t="s">
        <v>16</v>
      </c>
      <c r="D21" s="8">
        <v>16</v>
      </c>
      <c r="E21" s="5">
        <v>35990</v>
      </c>
      <c r="F21" s="5">
        <f>표6[[#This Row],[신규가]]-표6[[#This Row],[기존가]]</f>
        <v>2010</v>
      </c>
      <c r="G21" s="9">
        <f t="shared" si="3"/>
        <v>27.7</v>
      </c>
      <c r="H21" s="5">
        <f>ROUND(표3[[#This Row],[신규가]]/((100-표6[[#This Row],[마진]])/100), -2)</f>
        <v>38000</v>
      </c>
      <c r="I21" s="5">
        <f>표6[[#This Row],[신규가]]*$I$2</f>
        <v>3420</v>
      </c>
      <c r="J21" s="8">
        <v>2750</v>
      </c>
      <c r="K21" s="5">
        <f>표6[[#This Row],[신규가]]/11-표3[[#This Row],[원가]]/11-표6[[#This Row],[수수료]]/11-표6[[#This Row],[택배비]]/11</f>
        <v>894.27272727272725</v>
      </c>
      <c r="L21" s="5">
        <f>표6[[#This Row],[부가세]]*$L$2</f>
        <v>357.70909090909095</v>
      </c>
      <c r="M21" s="5">
        <f>표6[[#This Row],[신규가]]-표3[[#This Row],[원가]]-표6[[#This Row],[수수료]]-표6[[#This Row],[택배비]]-표6[[#This Row],[부가세]]-표6[[#This Row],[중소세]]</f>
        <v>8585.0181818181809</v>
      </c>
      <c r="N21" s="6">
        <f>표6[[#This Row],[순수익]]/표6[[#This Row],[신규가]]</f>
        <v>0.22592153110047844</v>
      </c>
      <c r="O21" s="5">
        <f>표3[[#This Row],[신규가]]-표3[[#This Row],[원가]]</f>
        <v>5507</v>
      </c>
      <c r="P21" s="5">
        <f>표6[[#This Row],[순수익]]-표6[[#This Row],[1차수익]]</f>
        <v>3078.0181818181809</v>
      </c>
      <c r="Q21" s="10" t="s">
        <v>39</v>
      </c>
      <c r="R21" s="13">
        <f>(표6[[#This Row],[신규가]]-표3[[#This Row],[원가]])/표6[[#This Row],[신규가]]</f>
        <v>0.42123684210526313</v>
      </c>
      <c r="T21">
        <v>3</v>
      </c>
      <c r="U21" s="1">
        <f>T21*표6[[#This Row],[2차수익]]</f>
        <v>9234.0545454545427</v>
      </c>
      <c r="V21" s="1">
        <f>T21*표6[[#This Row],[1차수익]]</f>
        <v>16521</v>
      </c>
      <c r="W21" s="1">
        <f t="shared" si="2"/>
        <v>25755.054545454543</v>
      </c>
    </row>
    <row r="22" spans="2:25" hidden="1" x14ac:dyDescent="0.4">
      <c r="B22">
        <v>19</v>
      </c>
      <c r="C22" t="s">
        <v>17</v>
      </c>
      <c r="D22">
        <v>10000</v>
      </c>
      <c r="E22" s="1">
        <v>0</v>
      </c>
      <c r="F22" s="1">
        <f>표6[[#This Row],[신규가]]-표6[[#This Row],[기존가]]</f>
        <v>15300</v>
      </c>
      <c r="G22" s="1">
        <f>$G$4</f>
        <v>26.7</v>
      </c>
      <c r="H22" s="1">
        <f>ROUND(표3[[#This Row],[신규가]]/((100-표6[[#This Row],[마진]])/100), -2)</f>
        <v>15300</v>
      </c>
      <c r="I22" s="1">
        <f>표6[[#This Row],[신규가]]*$I$2</f>
        <v>1377</v>
      </c>
      <c r="J22">
        <v>0</v>
      </c>
      <c r="K22" s="1">
        <f>표6[[#This Row],[신규가]]/11-표3[[#This Row],[원가]]/11-표6[[#This Row],[수수료]]/11-표6[[#This Row],[택배비]]/11</f>
        <v>447.54545454545467</v>
      </c>
      <c r="L22" s="1">
        <f>표6[[#This Row],[부가세]]*$L$2</f>
        <v>179.01818181818189</v>
      </c>
      <c r="M22" s="1">
        <f>표6[[#This Row],[신규가]]-표3[[#This Row],[원가]]-표6[[#This Row],[수수료]]-표6[[#This Row],[택배비]]-표6[[#This Row],[부가세]]-표6[[#This Row],[중소세]]</f>
        <v>4296.4363636363632</v>
      </c>
      <c r="N22" s="1">
        <f>표6[[#This Row],[순수익]]/표6[[#This Row],[신규가]]</f>
        <v>0.28081283422459891</v>
      </c>
      <c r="O22" s="1">
        <f>표3[[#This Row],[신규가]]-표3[[#This Row],[원가]]</f>
        <v>2250</v>
      </c>
      <c r="P22" s="1">
        <f>표6[[#This Row],[순수익]]-표6[[#This Row],[1차수익]]</f>
        <v>2046.4363636363632</v>
      </c>
      <c r="Q22" s="1" t="s">
        <v>40</v>
      </c>
      <c r="R22" s="1">
        <f>(표6[[#This Row],[신규가]]-표3[[#This Row],[원가]])/표6[[#This Row],[신규가]]</f>
        <v>0.41176470588235292</v>
      </c>
      <c r="U22" s="1">
        <f>T22*표6[[#This Row],[2차수익]]</f>
        <v>0</v>
      </c>
      <c r="V22" s="1">
        <f>T22*표6[[#This Row],[1차수익]]</f>
        <v>0</v>
      </c>
      <c r="W22" s="1">
        <f t="shared" si="2"/>
        <v>0</v>
      </c>
    </row>
    <row r="23" spans="2:25" hidden="1" x14ac:dyDescent="0.4">
      <c r="B23">
        <v>20</v>
      </c>
      <c r="C23" t="s">
        <v>18</v>
      </c>
      <c r="D23">
        <v>5000</v>
      </c>
      <c r="E23" s="1">
        <v>0</v>
      </c>
      <c r="F23" s="1">
        <f>표6[[#This Row],[신규가]]-표6[[#This Row],[기존가]]</f>
        <v>27300</v>
      </c>
      <c r="G23" s="1">
        <f>$G$4</f>
        <v>26.7</v>
      </c>
      <c r="H23" s="1">
        <f>ROUND(표3[[#This Row],[신규가]]/((100-표6[[#This Row],[마진]])/100), -2)</f>
        <v>27300</v>
      </c>
      <c r="I23" s="1">
        <f>표6[[#This Row],[신규가]]*$I$2</f>
        <v>2457</v>
      </c>
      <c r="J23">
        <v>0</v>
      </c>
      <c r="K23" s="1">
        <f>표6[[#This Row],[신규가]]/11-표3[[#This Row],[원가]]/11-표6[[#This Row],[수수료]]/11-표6[[#This Row],[택배비]]/11</f>
        <v>803.90909090909111</v>
      </c>
      <c r="L23" s="1">
        <f>표6[[#This Row],[부가세]]*$L$2</f>
        <v>321.56363636363648</v>
      </c>
      <c r="M23" s="1">
        <f>표6[[#This Row],[신규가]]-표3[[#This Row],[원가]]-표6[[#This Row],[수수료]]-표6[[#This Row],[택배비]]-표6[[#This Row],[부가세]]-표6[[#This Row],[중소세]]</f>
        <v>7717.5272727272722</v>
      </c>
      <c r="N23" s="1">
        <f>표6[[#This Row],[순수익]]/표6[[#This Row],[신규가]]</f>
        <v>0.28269330669330667</v>
      </c>
      <c r="O23" s="1">
        <f>표3[[#This Row],[신규가]]-표3[[#This Row],[원가]]</f>
        <v>4000</v>
      </c>
      <c r="P23" s="1">
        <f>표6[[#This Row],[순수익]]-표6[[#This Row],[1차수익]]</f>
        <v>3717.5272727272722</v>
      </c>
      <c r="Q23" s="1" t="s">
        <v>40</v>
      </c>
      <c r="R23" s="1">
        <f>(표6[[#This Row],[신규가]]-표3[[#This Row],[원가]])/표6[[#This Row],[신규가]]</f>
        <v>0.41391941391941389</v>
      </c>
      <c r="U23" s="1">
        <f>T23*표6[[#This Row],[2차수익]]</f>
        <v>0</v>
      </c>
      <c r="V23" s="1">
        <f>T23*표6[[#This Row],[1차수익]]</f>
        <v>0</v>
      </c>
      <c r="W23" s="1">
        <f t="shared" si="2"/>
        <v>0</v>
      </c>
    </row>
    <row r="24" spans="2:25" x14ac:dyDescent="0.4">
      <c r="U24" s="1">
        <f>SUM(U4:U23)</f>
        <v>716184.8232727272</v>
      </c>
      <c r="V24" s="1">
        <f>SUM(V4:V23)</f>
        <v>3904963.04</v>
      </c>
      <c r="W24" s="1">
        <f>SUM(W4:W23)</f>
        <v>4621147.8632727275</v>
      </c>
      <c r="X24">
        <v>29000000</v>
      </c>
      <c r="Y24">
        <f>W24/X24</f>
        <v>0.15934992631974923</v>
      </c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F36"/>
  <sheetViews>
    <sheetView zoomScale="70" zoomScaleNormal="70" workbookViewId="0">
      <selection activeCell="G3" sqref="G3"/>
    </sheetView>
  </sheetViews>
  <sheetFormatPr defaultRowHeight="17.399999999999999" x14ac:dyDescent="0.4"/>
  <cols>
    <col min="1" max="1" width="2.8984375" customWidth="1"/>
    <col min="2" max="2" width="5.8984375" bestFit="1" customWidth="1"/>
    <col min="3" max="3" width="8.69921875" bestFit="1" customWidth="1"/>
    <col min="4" max="4" width="5.19921875" bestFit="1" customWidth="1"/>
    <col min="5" max="5" width="8.3984375" bestFit="1" customWidth="1"/>
    <col min="6" max="6" width="6" customWidth="1"/>
    <col min="7" max="7" width="6.69921875" style="14" bestFit="1" customWidth="1"/>
    <col min="8" max="8" width="7.5" bestFit="1" customWidth="1"/>
    <col min="9" max="9" width="5.3984375" bestFit="1" customWidth="1"/>
    <col min="10" max="12" width="7.5" bestFit="1" customWidth="1"/>
    <col min="13" max="13" width="3.3984375" customWidth="1"/>
    <col min="14" max="15" width="7.8984375" bestFit="1" customWidth="1"/>
    <col min="16" max="19" width="8.69921875" bestFit="1" customWidth="1"/>
    <col min="20" max="20" width="7.8984375" bestFit="1" customWidth="1"/>
    <col min="21" max="21" width="6.3984375" style="23" bestFit="1" customWidth="1"/>
    <col min="23" max="23" width="0" hidden="1" customWidth="1"/>
    <col min="24" max="24" width="9.8984375" hidden="1" customWidth="1"/>
    <col min="25" max="25" width="10.19921875" hidden="1" customWidth="1"/>
    <col min="26" max="32" width="0" hidden="1" customWidth="1"/>
  </cols>
  <sheetData>
    <row r="2" spans="2:32" x14ac:dyDescent="0.4">
      <c r="B2" s="92" t="s">
        <v>155</v>
      </c>
      <c r="C2" s="92"/>
      <c r="D2" s="92"/>
      <c r="E2" s="92"/>
      <c r="F2" s="92"/>
      <c r="G2" s="92"/>
      <c r="H2" s="92"/>
      <c r="I2" s="92"/>
      <c r="J2" s="92"/>
      <c r="K2" s="92"/>
      <c r="L2" s="92"/>
    </row>
    <row r="3" spans="2:32" x14ac:dyDescent="0.4">
      <c r="B3" s="24" t="s">
        <v>156</v>
      </c>
      <c r="C3" s="24">
        <v>0.4</v>
      </c>
      <c r="D3" s="24"/>
      <c r="E3" s="24" t="s">
        <v>157</v>
      </c>
      <c r="F3" s="24"/>
      <c r="G3" s="62">
        <v>0.04</v>
      </c>
      <c r="H3" s="38">
        <v>0.09</v>
      </c>
      <c r="I3" s="38"/>
      <c r="J3" s="38">
        <v>0.1</v>
      </c>
      <c r="K3" s="38">
        <v>0.11</v>
      </c>
      <c r="L3" s="38">
        <v>0.12</v>
      </c>
      <c r="N3" s="46"/>
      <c r="O3" s="46">
        <v>0.04</v>
      </c>
      <c r="P3" s="46">
        <v>0.09</v>
      </c>
      <c r="Q3" s="46">
        <v>0.1</v>
      </c>
      <c r="R3" s="46">
        <v>0.11</v>
      </c>
      <c r="S3" s="46">
        <v>0.12</v>
      </c>
      <c r="T3" s="46"/>
      <c r="U3" s="46"/>
    </row>
    <row r="4" spans="2:32" x14ac:dyDescent="0.4">
      <c r="B4" s="4" t="s">
        <v>21</v>
      </c>
      <c r="C4" s="27" t="s">
        <v>22</v>
      </c>
      <c r="D4" s="27" t="s">
        <v>31</v>
      </c>
      <c r="E4" s="27" t="s">
        <v>65</v>
      </c>
      <c r="F4" s="65" t="s">
        <v>166</v>
      </c>
      <c r="G4" s="63" t="s">
        <v>26</v>
      </c>
      <c r="H4" s="27" t="s">
        <v>158</v>
      </c>
      <c r="I4" s="65" t="s">
        <v>180</v>
      </c>
      <c r="J4" s="27" t="s">
        <v>159</v>
      </c>
      <c r="K4" s="27" t="s">
        <v>160</v>
      </c>
      <c r="L4" s="27" t="s">
        <v>161</v>
      </c>
      <c r="M4" s="1"/>
      <c r="N4" s="25" t="s">
        <v>53</v>
      </c>
      <c r="O4" s="25" t="s">
        <v>56</v>
      </c>
      <c r="P4" s="25" t="s">
        <v>162</v>
      </c>
      <c r="Q4" s="25" t="s">
        <v>163</v>
      </c>
      <c r="R4" s="25" t="s">
        <v>164</v>
      </c>
      <c r="S4" s="25" t="s">
        <v>165</v>
      </c>
      <c r="T4" s="25" t="s">
        <v>45</v>
      </c>
      <c r="U4" s="37" t="s">
        <v>43</v>
      </c>
    </row>
    <row r="5" spans="2:32" s="25" customFormat="1" ht="13.2" x14ac:dyDescent="0.4">
      <c r="B5" s="45">
        <v>1</v>
      </c>
      <c r="C5" s="2" t="s">
        <v>0</v>
      </c>
      <c r="D5" s="2">
        <v>10</v>
      </c>
      <c r="E5" s="49">
        <f>오프_판매가!E4</f>
        <v>19680</v>
      </c>
      <c r="F5" s="49"/>
      <c r="G5" s="64">
        <f>ROUND((10 - $C$3)*(표6_238[[#This Row],[원가]]+표5_59[[#This Row],[택배비]])/(-11*표5_59[[#This Row],[마진율]]+(10-$C$3)*(1-$G$3)), -1)+표6_238[[#This Row],[추가]]</f>
        <v>29900</v>
      </c>
      <c r="H5" s="49">
        <f>ROUND((10 - $C$3)*(표6_238[[#This Row],[원가]]+표5_59[[#This Row],[택배비]])/(-11*표5_59[[#This Row],[마진율]]+(10-$C$3)*(1-$H$3)), -1)</f>
        <v>31990</v>
      </c>
      <c r="I5" s="49"/>
      <c r="J5" s="49">
        <f>ROUND((10 - $C$3)*(표6_238[[#This Row],[원가]]+표5_59[[#This Row],[택배비]])/(-11*표5_59[[#This Row],[마진율]]+(10-$C$3)*(1-$J$3)), -1)+표6_238[[#This Row],[추가3]]</f>
        <v>32450</v>
      </c>
      <c r="K5" s="50">
        <f>ROUND((10 - $C$3)*(표6_238[[#This Row],[원가]]+표5_59[[#This Row],[택배비]])/(-11*표5_59[[#This Row],[마진율]]+(10-$C$3)*(1-$K$3)), -1)</f>
        <v>32910</v>
      </c>
      <c r="L5" s="50">
        <f>ROUND((10 - $C$3)*(표6_238[[#This Row],[원가]]+표5_59[[#This Row],[택배비]])/(-11*표5_59[[#This Row],[마진율]]+(10-$C$3)*(1-$L$3)), -1)</f>
        <v>33390</v>
      </c>
      <c r="M5" s="49"/>
      <c r="N5" s="49">
        <v>3150</v>
      </c>
      <c r="O5" s="49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5126.3999999999996</v>
      </c>
      <c r="P5" s="49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5481.5127272727268</v>
      </c>
      <c r="Q5" s="49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5563.636363636364</v>
      </c>
      <c r="R5" s="49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5637.7309090909084</v>
      </c>
      <c r="S5" s="49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5719.1563636363644</v>
      </c>
      <c r="T5" s="51">
        <v>0.17136605189121601</v>
      </c>
      <c r="U5" s="45" t="s">
        <v>59</v>
      </c>
      <c r="W5" s="25">
        <v>29900</v>
      </c>
      <c r="X5" s="25">
        <f>표6_238[[#This Row],[신규가]]-W5</f>
        <v>0</v>
      </c>
      <c r="Y5" s="25">
        <v>31990</v>
      </c>
      <c r="Z5" s="25">
        <f>표6_238[[#This Row],[신규가2]]-Y5</f>
        <v>0</v>
      </c>
      <c r="AA5" s="25">
        <v>32450</v>
      </c>
      <c r="AB5" s="25">
        <f>표6_238[[#This Row],[신규가3]]-AA5</f>
        <v>0</v>
      </c>
      <c r="AC5" s="25">
        <v>32920</v>
      </c>
      <c r="AD5" s="25">
        <f>표6_238[[#This Row],[신규가4]]-AC5</f>
        <v>-10</v>
      </c>
      <c r="AE5" s="25">
        <v>33400</v>
      </c>
      <c r="AF5" s="25">
        <f>표6_238[[#This Row],[신규가5]]-AE5</f>
        <v>-10</v>
      </c>
    </row>
    <row r="6" spans="2:32" s="25" customFormat="1" ht="13.2" x14ac:dyDescent="0.4">
      <c r="B6" s="45">
        <v>2</v>
      </c>
      <c r="C6" s="2" t="s">
        <v>1</v>
      </c>
      <c r="D6" s="25">
        <v>10</v>
      </c>
      <c r="E6" s="49">
        <f>오프_판매가!E5</f>
        <v>19980</v>
      </c>
      <c r="F6" s="49"/>
      <c r="G6" s="64">
        <f>ROUND((10 - $C$3)*(표6_238[[#This Row],[원가]]+표5_59[[#This Row],[택배비]])/(-11*표5_59[[#This Row],[마진율]]+(10-$C$3)*(1-$G$3)), -1)+표6_238[[#This Row],[추가]]</f>
        <v>24090</v>
      </c>
      <c r="H6" s="49">
        <f>ROUND((10 - $C$3)*(표6_238[[#This Row],[원가]]+표5_59[[#This Row],[택배비]])/(-11*표5_59[[#This Row],[마진율]]+(10-$C$3)*(1-$H$3)), -1)</f>
        <v>25420</v>
      </c>
      <c r="I6" s="49"/>
      <c r="J6" s="49">
        <f>ROUND((10 - $C$3)*(표6_238[[#This Row],[원가]]+표5_59[[#This Row],[택배비]])/(-11*표5_59[[#This Row],[마진율]]+(10-$C$3)*(1-$J$3)), -1)+표6_238[[#This Row],[추가3]]</f>
        <v>25700</v>
      </c>
      <c r="K6" s="50">
        <f>ROUND((10 - $C$3)*(표6_238[[#This Row],[원가]]+표5_59[[#This Row],[택배비]])/(-11*표5_59[[#This Row],[마진율]]+(10-$C$3)*(1-$K$3)), -1)</f>
        <v>25990</v>
      </c>
      <c r="L6" s="50">
        <f>ROUND((10 - $C$3)*(표6_238[[#This Row],[원가]]+표5_59[[#This Row],[택배비]])/(-11*표5_59[[#This Row],[마진율]]+(10-$C$3)*(1-$L$3)), -1)</f>
        <v>26280</v>
      </c>
      <c r="M6" s="49"/>
      <c r="N6" s="49">
        <v>3150</v>
      </c>
      <c r="O6" s="49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-3.1418181818182158</v>
      </c>
      <c r="P6" s="49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1.9200000000002384</v>
      </c>
      <c r="Q6" s="49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0</v>
      </c>
      <c r="R6" s="49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0.95999999999992058</v>
      </c>
      <c r="S6" s="49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-3.1418181818181021</v>
      </c>
      <c r="T6" s="51">
        <v>0</v>
      </c>
      <c r="U6" s="45" t="s">
        <v>60</v>
      </c>
      <c r="W6" s="25">
        <v>24090</v>
      </c>
      <c r="X6" s="25">
        <f>표6_238[[#This Row],[신규가]]-W6</f>
        <v>0</v>
      </c>
      <c r="Y6" s="25">
        <v>0</v>
      </c>
      <c r="Z6" s="25">
        <f>표6_238[[#This Row],[신규가2]]-Y6</f>
        <v>25420</v>
      </c>
      <c r="AA6" s="25">
        <v>0</v>
      </c>
      <c r="AB6" s="25">
        <f>표6_238[[#This Row],[신규가3]]-AA6</f>
        <v>25700</v>
      </c>
      <c r="AC6" s="25">
        <v>0</v>
      </c>
      <c r="AD6" s="25">
        <f>표6_238[[#This Row],[신규가4]]-AC6</f>
        <v>25990</v>
      </c>
      <c r="AE6" s="25">
        <v>0</v>
      </c>
      <c r="AF6" s="25">
        <f>표6_238[[#This Row],[신규가5]]-AE6</f>
        <v>26280</v>
      </c>
    </row>
    <row r="7" spans="2:32" s="25" customFormat="1" ht="13.2" x14ac:dyDescent="0.4">
      <c r="B7" s="45">
        <v>3</v>
      </c>
      <c r="C7" s="2" t="s">
        <v>0</v>
      </c>
      <c r="D7" s="2">
        <v>24</v>
      </c>
      <c r="E7" s="49">
        <f>오프_판매가!E6</f>
        <v>17046</v>
      </c>
      <c r="F7" s="49"/>
      <c r="G7" s="64">
        <f>ROUND((10 - $C$3)*(표6_238[[#This Row],[원가]]+표5_59[[#This Row],[택배비]])/(-11*표5_59[[#This Row],[마진율]]+(10-$C$3)*(1-$G$3)), -1)+표6_238[[#This Row],[추가]]</f>
        <v>26800</v>
      </c>
      <c r="H7" s="49">
        <f>ROUND((10 - $C$3)*(표6_238[[#This Row],[원가]]+표5_59[[#This Row],[택배비]])/(-11*표5_59[[#This Row],[마진율]]+(10-$C$3)*(1-$H$3)), -1)</f>
        <v>28700</v>
      </c>
      <c r="I7" s="49"/>
      <c r="J7" s="49">
        <f>ROUND((10 - $C$3)*(표6_238[[#This Row],[원가]]+표5_59[[#This Row],[택배비]])/(-11*표5_59[[#This Row],[마진율]]+(10-$C$3)*(1-$J$3)), -1)+표6_238[[#This Row],[추가3]]</f>
        <v>29110</v>
      </c>
      <c r="K7" s="50">
        <f>ROUND((10 - $C$3)*(표6_238[[#This Row],[원가]]+표5_59[[#This Row],[택배비]])/(-11*표5_59[[#This Row],[마진율]]+(10-$C$3)*(1-$K$3)), -1)</f>
        <v>29540</v>
      </c>
      <c r="L7" s="50">
        <f>ROUND((10 - $C$3)*(표6_238[[#This Row],[원가]]+표5_59[[#This Row],[택배비]])/(-11*표5_59[[#This Row],[마진율]]+(10-$C$3)*(1-$L$3)), -1)</f>
        <v>29980</v>
      </c>
      <c r="M7" s="49"/>
      <c r="N7" s="49">
        <v>3150</v>
      </c>
      <c r="O7" s="49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4827.9272727272728</v>
      </c>
      <c r="P7" s="49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5167.4181818181823</v>
      </c>
      <c r="Q7" s="49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5238.9818181818182</v>
      </c>
      <c r="R7" s="49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5318.9236363636364</v>
      </c>
      <c r="S7" s="49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5399.04</v>
      </c>
      <c r="T7" s="51">
        <v>0.18006968641114982</v>
      </c>
      <c r="U7" s="45" t="s">
        <v>59</v>
      </c>
      <c r="W7" s="25">
        <v>26800</v>
      </c>
      <c r="X7" s="25">
        <f>표6_238[[#This Row],[신규가]]-W7</f>
        <v>0</v>
      </c>
      <c r="Y7" s="25">
        <v>28700</v>
      </c>
      <c r="Z7" s="25">
        <f>표6_238[[#This Row],[신규가2]]-Y7</f>
        <v>0</v>
      </c>
      <c r="AA7" s="25">
        <v>29120</v>
      </c>
      <c r="AB7" s="25">
        <f>표6_238[[#This Row],[신규가3]]-AA7</f>
        <v>-10</v>
      </c>
      <c r="AC7" s="25">
        <v>29540</v>
      </c>
      <c r="AD7" s="25">
        <f>표6_238[[#This Row],[신규가4]]-AC7</f>
        <v>0</v>
      </c>
      <c r="AE7" s="25">
        <v>29980</v>
      </c>
      <c r="AF7" s="25">
        <f>표6_238[[#This Row],[신규가5]]-AE7</f>
        <v>0</v>
      </c>
    </row>
    <row r="8" spans="2:32" s="25" customFormat="1" ht="13.2" x14ac:dyDescent="0.4">
      <c r="B8" s="45">
        <v>4</v>
      </c>
      <c r="C8" s="2" t="s">
        <v>2</v>
      </c>
      <c r="D8" s="2">
        <v>30</v>
      </c>
      <c r="E8" s="49">
        <f>오프_판매가!E7</f>
        <v>12248</v>
      </c>
      <c r="F8" s="49"/>
      <c r="G8" s="64">
        <f>ROUND((10 - $C$3)*(표6_238[[#This Row],[원가]]+표5_59[[#This Row],[택배비]])/(-11*표5_59[[#This Row],[마진율]]+(10-$C$3)*(1-$G$3)), -1)+표6_238[[#This Row],[추가]]</f>
        <v>19620</v>
      </c>
      <c r="H8" s="49">
        <f>ROUND((10 - $C$3)*(표6_238[[#This Row],[원가]]+표5_59[[#This Row],[택배비]])/(-11*표5_59[[#This Row],[마진율]]+(10-$C$3)*(1-$H$3)), -1)</f>
        <v>20990</v>
      </c>
      <c r="I8" s="49"/>
      <c r="J8" s="49">
        <f>ROUND((10 - $C$3)*(표6_238[[#This Row],[원가]]+표5_59[[#This Row],[택배비]])/(-11*표5_59[[#This Row],[마진율]]+(10-$C$3)*(1-$J$3)), -1)+표6_238[[#This Row],[추가3]]</f>
        <v>21290</v>
      </c>
      <c r="K8" s="50">
        <f>ROUND((10 - $C$3)*(표6_238[[#This Row],[원가]]+표5_59[[#This Row],[택배비]])/(-11*표5_59[[#This Row],[마진율]]+(10-$C$3)*(1-$K$3)), -1)</f>
        <v>21590</v>
      </c>
      <c r="L8" s="50">
        <f>ROUND((10 - $C$3)*(표6_238[[#This Row],[원가]]+표5_59[[#This Row],[택배비]])/(-11*표5_59[[#This Row],[마진율]]+(10-$C$3)*(1-$L$3)), -1)</f>
        <v>21910</v>
      </c>
      <c r="M8" s="49"/>
      <c r="N8" s="49">
        <v>2750</v>
      </c>
      <c r="O8" s="49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3348.8290909090906</v>
      </c>
      <c r="P8" s="49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3580.7127272727271</v>
      </c>
      <c r="Q8" s="49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3633.1636363636362</v>
      </c>
      <c r="R8" s="49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3680.3781818181819</v>
      </c>
      <c r="S8" s="49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3737.7163636363639</v>
      </c>
      <c r="T8" s="51">
        <v>0.17060505002382087</v>
      </c>
      <c r="U8" s="45" t="s">
        <v>59</v>
      </c>
      <c r="W8" s="25">
        <v>19620</v>
      </c>
      <c r="X8" s="25">
        <f>표6_238[[#This Row],[신규가]]-W8</f>
        <v>0</v>
      </c>
      <c r="Y8" s="25">
        <v>20990</v>
      </c>
      <c r="Z8" s="25">
        <f>표6_238[[#This Row],[신규가2]]-Y8</f>
        <v>0</v>
      </c>
      <c r="AA8" s="25">
        <v>21290</v>
      </c>
      <c r="AB8" s="25">
        <f>표6_238[[#This Row],[신규가3]]-AA8</f>
        <v>0</v>
      </c>
      <c r="AC8" s="25">
        <v>21590</v>
      </c>
      <c r="AD8" s="25">
        <f>표6_238[[#This Row],[신규가4]]-AC8</f>
        <v>0</v>
      </c>
      <c r="AE8" s="25">
        <v>21910</v>
      </c>
      <c r="AF8" s="25">
        <f>표6_238[[#This Row],[신규가5]]-AE8</f>
        <v>0</v>
      </c>
    </row>
    <row r="9" spans="2:32" s="25" customFormat="1" ht="13.2" x14ac:dyDescent="0.4">
      <c r="B9" s="45">
        <v>5</v>
      </c>
      <c r="C9" s="2" t="s">
        <v>3</v>
      </c>
      <c r="D9" s="2">
        <v>30</v>
      </c>
      <c r="E9" s="49">
        <f>오프_판매가!E8</f>
        <v>14190</v>
      </c>
      <c r="F9" s="49">
        <v>-10</v>
      </c>
      <c r="G9" s="64">
        <f>ROUND((10 - $C$3)*(표6_238[[#This Row],[원가]]+표5_59[[#This Row],[택배비]])/(-11*표5_59[[#This Row],[마진율]]+(10-$C$3)*(1-$G$3)), -1)+표6_238[[#This Row],[추가]]</f>
        <v>22990</v>
      </c>
      <c r="H9" s="49">
        <f>ROUND((10 - $C$3)*(표6_238[[#This Row],[원가]]+표5_59[[#This Row],[택배비]])/(-11*표5_59[[#This Row],[마진율]]+(10-$C$3)*(1-$H$3)), -1)</f>
        <v>24640</v>
      </c>
      <c r="I9" s="49"/>
      <c r="J9" s="49">
        <f>ROUND((10 - $C$3)*(표6_238[[#This Row],[원가]]+표5_59[[#This Row],[택배비]])/(-11*표5_59[[#This Row],[마진율]]+(10-$C$3)*(1-$J$3)), -1)+표6_238[[#This Row],[추가3]]</f>
        <v>24990</v>
      </c>
      <c r="K9" s="50">
        <f>ROUND((10 - $C$3)*(표6_238[[#This Row],[원가]]+표5_59[[#This Row],[택배비]])/(-11*표5_59[[#This Row],[마진율]]+(10-$C$3)*(1-$K$3)), -1)</f>
        <v>25360</v>
      </c>
      <c r="L9" s="50">
        <f>ROUND((10 - $C$3)*(표6_238[[#This Row],[원가]]+표5_59[[#This Row],[택배비]])/(-11*표5_59[[#This Row],[마진율]]+(10-$C$3)*(1-$L$3)), -1)</f>
        <v>25740</v>
      </c>
      <c r="M9" s="49"/>
      <c r="N9" s="49">
        <v>3150</v>
      </c>
      <c r="O9" s="49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4128.3490909090906</v>
      </c>
      <c r="P9" s="49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4435.5490909090904</v>
      </c>
      <c r="Q9" s="49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4495.4181818181823</v>
      </c>
      <c r="R9" s="49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4564.7127272727275</v>
      </c>
      <c r="S9" s="49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4635.2290909090916</v>
      </c>
      <c r="T9" s="51">
        <v>0.17999188311688311</v>
      </c>
      <c r="U9" s="45" t="s">
        <v>59</v>
      </c>
      <c r="W9" s="25">
        <v>22990</v>
      </c>
      <c r="X9" s="25">
        <f>표6_238[[#This Row],[신규가]]-W9</f>
        <v>0</v>
      </c>
      <c r="Y9" s="25">
        <v>24640</v>
      </c>
      <c r="Z9" s="25">
        <f>표6_238[[#This Row],[신규가2]]-Y9</f>
        <v>0</v>
      </c>
      <c r="AA9" s="25">
        <v>25000</v>
      </c>
      <c r="AB9" s="25">
        <f>표6_238[[#This Row],[신규가3]]-AA9</f>
        <v>-10</v>
      </c>
      <c r="AC9" s="25">
        <v>25360</v>
      </c>
      <c r="AD9" s="25">
        <f>표6_238[[#This Row],[신규가4]]-AC9</f>
        <v>0</v>
      </c>
      <c r="AE9" s="25">
        <v>25740</v>
      </c>
      <c r="AF9" s="25">
        <f>표6_238[[#This Row],[신규가5]]-AE9</f>
        <v>0</v>
      </c>
    </row>
    <row r="10" spans="2:32" s="25" customFormat="1" ht="13.2" x14ac:dyDescent="0.4">
      <c r="B10" s="45">
        <v>6</v>
      </c>
      <c r="C10" s="2" t="s">
        <v>4</v>
      </c>
      <c r="D10" s="2">
        <v>30</v>
      </c>
      <c r="E10" s="49">
        <f>오프_판매가!E9</f>
        <v>14190</v>
      </c>
      <c r="F10" s="49">
        <v>-10</v>
      </c>
      <c r="G10" s="64">
        <f>ROUND((10 - $C$3)*(표6_238[[#This Row],[원가]]+표5_59[[#This Row],[택배비]])/(-11*표5_59[[#This Row],[마진율]]+(10-$C$3)*(1-$G$3)), -1)+표6_238[[#This Row],[추가]]</f>
        <v>22990</v>
      </c>
      <c r="H10" s="49">
        <f>ROUND((10 - $C$3)*(표6_238[[#This Row],[원가]]+표5_59[[#This Row],[택배비]])/(-11*표5_59[[#This Row],[마진율]]+(10-$C$3)*(1-$H$3)), -1)</f>
        <v>24640</v>
      </c>
      <c r="I10" s="49"/>
      <c r="J10" s="49">
        <f>ROUND((10 - $C$3)*(표6_238[[#This Row],[원가]]+표5_59[[#This Row],[택배비]])/(-11*표5_59[[#This Row],[마진율]]+(10-$C$3)*(1-$J$3)), -1)+표6_238[[#This Row],[추가3]]</f>
        <v>24990</v>
      </c>
      <c r="K10" s="50">
        <f>ROUND((10 - $C$3)*(표6_238[[#This Row],[원가]]+표5_59[[#This Row],[택배비]])/(-11*표5_59[[#This Row],[마진율]]+(10-$C$3)*(1-$K$3)), -1)</f>
        <v>25360</v>
      </c>
      <c r="L10" s="50">
        <f>ROUND((10 - $C$3)*(표6_238[[#This Row],[원가]]+표5_59[[#This Row],[택배비]])/(-11*표5_59[[#This Row],[마진율]]+(10-$C$3)*(1-$L$3)), -1)</f>
        <v>25740</v>
      </c>
      <c r="M10" s="49"/>
      <c r="N10" s="49">
        <v>3150</v>
      </c>
      <c r="O10" s="49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4128.3490909090906</v>
      </c>
      <c r="P10" s="49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4435.5490909090904</v>
      </c>
      <c r="Q10" s="49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4495.4181818181823</v>
      </c>
      <c r="R10" s="49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4564.7127272727275</v>
      </c>
      <c r="S10" s="49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4635.2290909090916</v>
      </c>
      <c r="T10" s="51">
        <v>0.17999188311688311</v>
      </c>
      <c r="U10" s="45" t="s">
        <v>59</v>
      </c>
      <c r="W10" s="25">
        <v>22990</v>
      </c>
      <c r="X10" s="25">
        <f>표6_238[[#This Row],[신규가]]-W10</f>
        <v>0</v>
      </c>
      <c r="Y10" s="25">
        <v>24640</v>
      </c>
      <c r="Z10" s="25">
        <f>표6_238[[#This Row],[신규가2]]-Y10</f>
        <v>0</v>
      </c>
      <c r="AA10" s="25">
        <v>25000</v>
      </c>
      <c r="AB10" s="25">
        <f>표6_238[[#This Row],[신규가3]]-AA10</f>
        <v>-10</v>
      </c>
      <c r="AC10" s="25">
        <v>25360</v>
      </c>
      <c r="AD10" s="25">
        <f>표6_238[[#This Row],[신규가4]]-AC10</f>
        <v>0</v>
      </c>
      <c r="AE10" s="25">
        <v>25740</v>
      </c>
      <c r="AF10" s="25">
        <f>표6_238[[#This Row],[신규가5]]-AE10</f>
        <v>0</v>
      </c>
    </row>
    <row r="11" spans="2:32" s="25" customFormat="1" ht="13.2" x14ac:dyDescent="0.4">
      <c r="B11" s="45">
        <v>7</v>
      </c>
      <c r="C11" s="2" t="s">
        <v>5</v>
      </c>
      <c r="D11" s="2">
        <v>30</v>
      </c>
      <c r="E11" s="49">
        <f>오프_판매가!E10</f>
        <v>16044</v>
      </c>
      <c r="F11" s="49"/>
      <c r="G11" s="64">
        <f>ROUND((10 - $C$3)*(표6_238[[#This Row],[원가]]+표5_59[[#This Row],[택배비]])/(-11*표5_59[[#This Row],[마진율]]+(10-$C$3)*(1-$G$3)), -1)+표6_238[[#This Row],[추가]]</f>
        <v>25470</v>
      </c>
      <c r="H11" s="49">
        <f>ROUND((10 - $C$3)*(표6_238[[#This Row],[원가]]+표5_59[[#This Row],[택배비]])/(-11*표5_59[[#This Row],[마진율]]+(10-$C$3)*(1-$H$3)), -1)</f>
        <v>27280</v>
      </c>
      <c r="I11" s="49"/>
      <c r="J11" s="49">
        <f>ROUND((10 - $C$3)*(표6_238[[#This Row],[원가]]+표5_59[[#This Row],[택배비]])/(-11*표5_59[[#This Row],[마진율]]+(10-$C$3)*(1-$J$3)), -1)+표6_238[[#This Row],[추가3]]</f>
        <v>27670</v>
      </c>
      <c r="K11" s="50">
        <f>ROUND((10 - $C$3)*(표6_238[[#This Row],[원가]]+표5_59[[#This Row],[택배비]])/(-11*표5_59[[#This Row],[마진율]]+(10-$C$3)*(1-$K$3)), -1)</f>
        <v>28080</v>
      </c>
      <c r="L11" s="50">
        <f>ROUND((10 - $C$3)*(표6_238[[#This Row],[원가]]+표5_59[[#This Row],[택배비]])/(-11*표5_59[[#This Row],[마진율]]+(10-$C$3)*(1-$L$3)), -1)</f>
        <v>28490</v>
      </c>
      <c r="M11" s="49"/>
      <c r="N11" s="49">
        <v>3150</v>
      </c>
      <c r="O11" s="49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4588.1018181818181</v>
      </c>
      <c r="P11" s="49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4914.1527272727271</v>
      </c>
      <c r="Q11" s="49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4982.3999999999996</v>
      </c>
      <c r="R11" s="49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5059.3745454545451</v>
      </c>
      <c r="S11" s="49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5129.192727272728</v>
      </c>
      <c r="T11" s="51">
        <v>0.18013196480938418</v>
      </c>
      <c r="U11" s="45" t="s">
        <v>59</v>
      </c>
      <c r="W11" s="25">
        <v>25470</v>
      </c>
      <c r="X11" s="25">
        <f>표6_238[[#This Row],[신규가]]-W11</f>
        <v>0</v>
      </c>
      <c r="Y11" s="25">
        <v>27280</v>
      </c>
      <c r="Z11" s="25">
        <f>표6_238[[#This Row],[신규가2]]-Y11</f>
        <v>0</v>
      </c>
      <c r="AA11" s="25">
        <v>27670</v>
      </c>
      <c r="AB11" s="25">
        <f>표6_238[[#This Row],[신규가3]]-AA11</f>
        <v>0</v>
      </c>
      <c r="AC11" s="25">
        <v>28080</v>
      </c>
      <c r="AD11" s="25">
        <f>표6_238[[#This Row],[신규가4]]-AC11</f>
        <v>0</v>
      </c>
      <c r="AE11" s="25">
        <v>28490</v>
      </c>
      <c r="AF11" s="25">
        <f>표6_238[[#This Row],[신규가5]]-AE11</f>
        <v>0</v>
      </c>
    </row>
    <row r="12" spans="2:32" s="25" customFormat="1" ht="13.2" x14ac:dyDescent="0.4">
      <c r="B12" s="45">
        <v>8</v>
      </c>
      <c r="C12" s="2" t="s">
        <v>6</v>
      </c>
      <c r="D12" s="2">
        <v>30</v>
      </c>
      <c r="E12" s="49">
        <f>오프_판매가!E11</f>
        <v>16519</v>
      </c>
      <c r="F12" s="49">
        <v>-100</v>
      </c>
      <c r="G12" s="64">
        <f>ROUND((10 - $C$3)*(표6_238[[#This Row],[원가]]+표5_59[[#This Row],[택배비]])/(-11*표5_59[[#This Row],[마진율]]+(10-$C$3)*(1-$G$3)), -1)+표6_238[[#This Row],[추가]]</f>
        <v>25990</v>
      </c>
      <c r="H12" s="49">
        <f>ROUND((10 - $C$3)*(표6_238[[#This Row],[원가]]+표5_59[[#This Row],[택배비]])/(-11*표5_59[[#This Row],[마진율]]+(10-$C$3)*(1-$H$3)), -1)</f>
        <v>27950</v>
      </c>
      <c r="I12" s="49"/>
      <c r="J12" s="49">
        <f>ROUND((10 - $C$3)*(표6_238[[#This Row],[원가]]+표5_59[[#This Row],[택배비]])/(-11*표5_59[[#This Row],[마진율]]+(10-$C$3)*(1-$J$3)), -1)+표6_238[[#This Row],[추가3]]</f>
        <v>28350</v>
      </c>
      <c r="K12" s="50">
        <f>ROUND((10 - $C$3)*(표6_238[[#This Row],[원가]]+표5_59[[#This Row],[택배비]])/(-11*표5_59[[#This Row],[마진율]]+(10-$C$3)*(1-$K$3)), -1)</f>
        <v>28770</v>
      </c>
      <c r="L12" s="50">
        <f>ROUND((10 - $C$3)*(표6_238[[#This Row],[원가]]+표5_59[[#This Row],[택배비]])/(-11*표5_59[[#This Row],[마진율]]+(10-$C$3)*(1-$L$3)), -1)</f>
        <v>29190</v>
      </c>
      <c r="M12" s="49"/>
      <c r="N12" s="49">
        <v>3150</v>
      </c>
      <c r="O12" s="49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4609.221818181818</v>
      </c>
      <c r="P12" s="49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5031.7090909090903</v>
      </c>
      <c r="Q12" s="49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5101.9636363636355</v>
      </c>
      <c r="R12" s="49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5180.7709090909093</v>
      </c>
      <c r="S12" s="49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5252.2472727272734</v>
      </c>
      <c r="T12" s="51">
        <v>0.18</v>
      </c>
      <c r="U12" s="45" t="s">
        <v>59</v>
      </c>
      <c r="W12" s="25">
        <v>26100</v>
      </c>
      <c r="X12" s="25">
        <f>표6_238[[#This Row],[신규가]]-W12</f>
        <v>-110</v>
      </c>
      <c r="Y12" s="25">
        <v>27950</v>
      </c>
      <c r="Z12" s="25">
        <f>표6_238[[#This Row],[신규가2]]-Y12</f>
        <v>0</v>
      </c>
      <c r="AA12" s="25">
        <v>28350</v>
      </c>
      <c r="AB12" s="25">
        <f>표6_238[[#This Row],[신규가3]]-AA12</f>
        <v>0</v>
      </c>
      <c r="AC12" s="25">
        <v>28770</v>
      </c>
      <c r="AD12" s="25">
        <f>표6_238[[#This Row],[신규가4]]-AC12</f>
        <v>0</v>
      </c>
      <c r="AE12" s="25">
        <v>29200</v>
      </c>
      <c r="AF12" s="25">
        <f>표6_238[[#This Row],[신규가5]]-AE12</f>
        <v>-10</v>
      </c>
    </row>
    <row r="13" spans="2:32" s="25" customFormat="1" ht="13.2" x14ac:dyDescent="0.4">
      <c r="B13" s="45">
        <v>9</v>
      </c>
      <c r="C13" s="2" t="s">
        <v>7</v>
      </c>
      <c r="D13" s="25">
        <v>30</v>
      </c>
      <c r="E13" s="49">
        <f>오프_판매가!E12</f>
        <v>14190</v>
      </c>
      <c r="F13" s="49"/>
      <c r="G13" s="64">
        <f>ROUND((10 - $C$3)*(표6_238[[#This Row],[원가]]+표5_59[[#This Row],[택배비]])/(-11*표5_59[[#This Row],[마진율]]+(10-$C$3)*(1-$G$3)), -1)+표6_238[[#This Row],[추가]]</f>
        <v>18060</v>
      </c>
      <c r="H13" s="49">
        <f>ROUND((10 - $C$3)*(표6_238[[#This Row],[원가]]+표5_59[[#This Row],[택배비]])/(-11*표5_59[[#This Row],[마진율]]+(10-$C$3)*(1-$H$3)), -1)</f>
        <v>19050</v>
      </c>
      <c r="I13" s="49"/>
      <c r="J13" s="49">
        <f>ROUND((10 - $C$3)*(표6_238[[#This Row],[원가]]+표5_59[[#This Row],[택배비]])/(-11*표5_59[[#This Row],[마진율]]+(10-$C$3)*(1-$J$3)), -1)+표6_238[[#This Row],[추가3]]</f>
        <v>19270</v>
      </c>
      <c r="K13" s="50">
        <f>ROUND((10 - $C$3)*(표6_238[[#This Row],[원가]]+표5_59[[#This Row],[택배비]])/(-11*표5_59[[#This Row],[마진율]]+(10-$C$3)*(1-$K$3)), -1)</f>
        <v>19480</v>
      </c>
      <c r="L13" s="50">
        <f>ROUND((10 - $C$3)*(표6_238[[#This Row],[원가]]+표5_59[[#This Row],[택배비]])/(-11*표5_59[[#This Row],[마진율]]+(10-$C$3)*(1-$L$3)), -1)</f>
        <v>19700</v>
      </c>
      <c r="M13" s="49"/>
      <c r="N13" s="49">
        <v>3150</v>
      </c>
      <c r="O13" s="49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-2.0945454545454205</v>
      </c>
      <c r="P13" s="49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-3.9272727272727272</v>
      </c>
      <c r="Q13" s="49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2.6181818181818186</v>
      </c>
      <c r="R13" s="49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-2.4436363636365228</v>
      </c>
      <c r="S13" s="49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-3.4909090909090907</v>
      </c>
      <c r="T13" s="51">
        <v>0</v>
      </c>
      <c r="U13" s="45" t="s">
        <v>60</v>
      </c>
      <c r="W13" s="25">
        <v>18060</v>
      </c>
      <c r="X13" s="25">
        <f>표6_238[[#This Row],[신규가]]-W13</f>
        <v>0</v>
      </c>
      <c r="Y13" s="25">
        <v>0</v>
      </c>
      <c r="Z13" s="25">
        <f>표6_238[[#This Row],[신규가2]]-Y13</f>
        <v>19050</v>
      </c>
      <c r="AA13" s="25">
        <v>0</v>
      </c>
      <c r="AB13" s="25">
        <f>표6_238[[#This Row],[신규가3]]-AA13</f>
        <v>19270</v>
      </c>
      <c r="AC13" s="25">
        <v>0</v>
      </c>
      <c r="AD13" s="25">
        <f>표6_238[[#This Row],[신규가4]]-AC13</f>
        <v>19480</v>
      </c>
      <c r="AE13" s="25">
        <v>0</v>
      </c>
      <c r="AF13" s="25">
        <f>표6_238[[#This Row],[신규가5]]-AE13</f>
        <v>19700</v>
      </c>
    </row>
    <row r="14" spans="2:32" s="25" customFormat="1" ht="13.2" x14ac:dyDescent="0.4">
      <c r="B14" s="45">
        <v>10</v>
      </c>
      <c r="C14" s="2" t="s">
        <v>8</v>
      </c>
      <c r="D14" s="2">
        <v>30</v>
      </c>
      <c r="E14" s="49">
        <f>오프_판매가!E13</f>
        <v>16906</v>
      </c>
      <c r="F14" s="49"/>
      <c r="G14" s="64">
        <f>ROUND((10 - $C$3)*(표6_238[[#This Row],[원가]]+표5_59[[#This Row],[택배비]])/(-11*표5_59[[#This Row],[마진율]]+(10-$C$3)*(1-$G$3)), -1)+표6_238[[#This Row],[추가]]</f>
        <v>26610</v>
      </c>
      <c r="H14" s="49">
        <f>ROUND((10 - $C$3)*(표6_238[[#This Row],[원가]]+표5_59[[#This Row],[택배비]])/(-11*표5_59[[#This Row],[마진율]]+(10-$C$3)*(1-$H$3)), -1)</f>
        <v>28500</v>
      </c>
      <c r="I14" s="49"/>
      <c r="J14" s="49">
        <f>ROUND((10 - $C$3)*(표6_238[[#This Row],[원가]]+표5_59[[#This Row],[택배비]])/(-11*표5_59[[#This Row],[마진율]]+(10-$C$3)*(1-$J$3)), -1)+표6_238[[#This Row],[추가3]]</f>
        <v>28910</v>
      </c>
      <c r="K14" s="50">
        <f>ROUND((10 - $C$3)*(표6_238[[#This Row],[원가]]+표5_59[[#This Row],[택배비]])/(-11*표5_59[[#This Row],[마진율]]+(10-$C$3)*(1-$K$3)), -1)</f>
        <v>29330</v>
      </c>
      <c r="L14" s="50">
        <f>ROUND((10 - $C$3)*(표6_238[[#This Row],[원가]]+표5_59[[#This Row],[택배비]])/(-11*표5_59[[#This Row],[마진율]]+(10-$C$3)*(1-$L$3)), -1)</f>
        <v>29770</v>
      </c>
      <c r="M14" s="49"/>
      <c r="N14" s="49">
        <v>3150</v>
      </c>
      <c r="O14" s="49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4790.9236363636364</v>
      </c>
      <c r="P14" s="49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5130.7636363636357</v>
      </c>
      <c r="Q14" s="49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5204.0727272727272</v>
      </c>
      <c r="R14" s="49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5277.9927272727273</v>
      </c>
      <c r="S14" s="49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5359.9418181818191</v>
      </c>
      <c r="T14" s="51">
        <v>0.18003508771929824</v>
      </c>
      <c r="U14" s="45" t="s">
        <v>59</v>
      </c>
      <c r="W14" s="25">
        <v>26610</v>
      </c>
      <c r="X14" s="25">
        <f>표6_238[[#This Row],[신규가]]-W14</f>
        <v>0</v>
      </c>
      <c r="Y14" s="25">
        <v>28500</v>
      </c>
      <c r="Z14" s="25">
        <f>표6_238[[#This Row],[신규가2]]-Y14</f>
        <v>0</v>
      </c>
      <c r="AA14" s="25">
        <v>28910</v>
      </c>
      <c r="AB14" s="25">
        <f>표6_238[[#This Row],[신규가3]]-AA14</f>
        <v>0</v>
      </c>
      <c r="AC14" s="25">
        <v>29330</v>
      </c>
      <c r="AD14" s="25">
        <f>표6_238[[#This Row],[신규가4]]-AC14</f>
        <v>0</v>
      </c>
      <c r="AE14" s="25">
        <v>29770</v>
      </c>
      <c r="AF14" s="25">
        <f>표6_238[[#This Row],[신규가5]]-AE14</f>
        <v>0</v>
      </c>
    </row>
    <row r="15" spans="2:32" s="25" customFormat="1" ht="13.2" x14ac:dyDescent="0.4">
      <c r="B15" s="45">
        <v>11</v>
      </c>
      <c r="C15" s="2" t="s">
        <v>9</v>
      </c>
      <c r="D15" s="2">
        <v>16</v>
      </c>
      <c r="E15" s="49">
        <f>오프_판매가!E14</f>
        <v>11983</v>
      </c>
      <c r="F15" s="49"/>
      <c r="G15" s="64">
        <f>ROUND((10 - $C$3)*(표6_238[[#This Row],[원가]]+표5_59[[#This Row],[택배비]])/(-11*표5_59[[#This Row],[마진율]]+(10-$C$3)*(1-$G$3)), -1)+표6_238[[#This Row],[추가]]</f>
        <v>19590</v>
      </c>
      <c r="H15" s="49">
        <f>ROUND((10 - $C$3)*(표6_238[[#This Row],[원가]]+표5_59[[#This Row],[택배비]])/(-11*표5_59[[#This Row],[마진율]]+(10-$C$3)*(1-$H$3)), -1)</f>
        <v>20990</v>
      </c>
      <c r="I15" s="49"/>
      <c r="J15" s="49">
        <f>ROUND((10 - $C$3)*(표6_238[[#This Row],[원가]]+표5_59[[#This Row],[택배비]])/(-11*표5_59[[#This Row],[마진율]]+(10-$C$3)*(1-$J$3)), -1)+표6_238[[#This Row],[추가3]]</f>
        <v>21290</v>
      </c>
      <c r="K15" s="50">
        <f>ROUND((10 - $C$3)*(표6_238[[#This Row],[원가]]+표5_59[[#This Row],[택배비]])/(-11*표5_59[[#This Row],[마진율]]+(10-$C$3)*(1-$K$3)), -1)</f>
        <v>21610</v>
      </c>
      <c r="L15" s="50">
        <f>ROUND((10 - $C$3)*(표6_238[[#This Row],[원가]]+표5_59[[#This Row],[택배비]])/(-11*표5_59[[#This Row],[마진율]]+(10-$C$3)*(1-$L$3)), -1)</f>
        <v>21930</v>
      </c>
      <c r="M15" s="49"/>
      <c r="N15" s="49">
        <v>2750</v>
      </c>
      <c r="O15" s="49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3554.9672727272728</v>
      </c>
      <c r="P15" s="49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3811.9854545454541</v>
      </c>
      <c r="Q15" s="49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3864.4363636363637</v>
      </c>
      <c r="R15" s="49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3927.1854545454544</v>
      </c>
      <c r="S15" s="49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3984.3490909090906</v>
      </c>
      <c r="T15" s="51">
        <v>0.18161029061457837</v>
      </c>
      <c r="U15" s="45" t="s">
        <v>59</v>
      </c>
      <c r="W15" s="25">
        <v>19700</v>
      </c>
      <c r="X15" s="25">
        <f>표6_238[[#This Row],[신규가]]-W15</f>
        <v>-110</v>
      </c>
      <c r="Y15" s="25">
        <v>20990</v>
      </c>
      <c r="Z15" s="25">
        <f>표6_238[[#This Row],[신규가2]]-Y15</f>
        <v>0</v>
      </c>
      <c r="AA15" s="25">
        <v>21300</v>
      </c>
      <c r="AB15" s="25">
        <f>표6_238[[#This Row],[신규가3]]-AA15</f>
        <v>-10</v>
      </c>
      <c r="AC15" s="25">
        <v>21610</v>
      </c>
      <c r="AD15" s="25">
        <f>표6_238[[#This Row],[신규가4]]-AC15</f>
        <v>0</v>
      </c>
      <c r="AE15" s="25">
        <v>21930</v>
      </c>
      <c r="AF15" s="25">
        <f>표6_238[[#This Row],[신규가5]]-AE15</f>
        <v>0</v>
      </c>
    </row>
    <row r="16" spans="2:32" s="25" customFormat="1" ht="13.2" x14ac:dyDescent="0.4">
      <c r="B16" s="45">
        <v>12</v>
      </c>
      <c r="C16" s="2" t="s">
        <v>10</v>
      </c>
      <c r="D16" s="2">
        <v>16</v>
      </c>
      <c r="E16" s="49">
        <f>오프_판매가!E15</f>
        <v>13777</v>
      </c>
      <c r="F16" s="49"/>
      <c r="G16" s="64">
        <f>ROUND((10 - $C$3)*(표6_238[[#This Row],[원가]]+표5_59[[#This Row],[택배비]])/(-11*표5_59[[#This Row],[마진율]]+(10-$C$3)*(1-$G$3)), -1)+표6_238[[#This Row],[추가]]</f>
        <v>22370</v>
      </c>
      <c r="H16" s="49">
        <f>ROUND((10 - $C$3)*(표6_238[[#This Row],[원가]]+표5_59[[#This Row],[택배비]])/(-11*표5_59[[#This Row],[마진율]]+(10-$C$3)*(1-$H$3)), -1)</f>
        <v>23990</v>
      </c>
      <c r="I16" s="49"/>
      <c r="J16" s="49">
        <f>ROUND((10 - $C$3)*(표6_238[[#This Row],[원가]]+표5_59[[#This Row],[택배비]])/(-11*표5_59[[#This Row],[마진율]]+(10-$C$3)*(1-$J$3)), -1)+표6_238[[#This Row],[추가3]]</f>
        <v>24340</v>
      </c>
      <c r="K16" s="50">
        <f>ROUND((10 - $C$3)*(표6_238[[#This Row],[원가]]+표5_59[[#This Row],[택배비]])/(-11*표5_59[[#This Row],[마진율]]+(10-$C$3)*(1-$K$3)), -1)</f>
        <v>24710</v>
      </c>
      <c r="L16" s="50">
        <f>ROUND((10 - $C$3)*(표6_238[[#This Row],[원가]]+표5_59[[#This Row],[택배비]])/(-11*표5_59[[#This Row],[마진율]]+(10-$C$3)*(1-$L$3)), -1)</f>
        <v>25080</v>
      </c>
      <c r="M16" s="49"/>
      <c r="N16" s="49">
        <v>2750</v>
      </c>
      <c r="O16" s="49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4318.4290909090905</v>
      </c>
      <c r="P16" s="49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4628.858181818181</v>
      </c>
      <c r="Q16" s="49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4694.3999999999996</v>
      </c>
      <c r="R16" s="49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4769.3672727272724</v>
      </c>
      <c r="S16" s="49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4837.8763636363628</v>
      </c>
      <c r="T16" s="51">
        <v>0.1929553980825344</v>
      </c>
      <c r="U16" s="45" t="s">
        <v>59</v>
      </c>
      <c r="W16" s="25">
        <v>22370</v>
      </c>
      <c r="X16" s="25">
        <f>표6_238[[#This Row],[신규가]]-W16</f>
        <v>0</v>
      </c>
      <c r="Y16" s="25">
        <v>23990</v>
      </c>
      <c r="Z16" s="25">
        <f>표6_238[[#This Row],[신규가2]]-Y16</f>
        <v>0</v>
      </c>
      <c r="AA16" s="25">
        <v>24350</v>
      </c>
      <c r="AB16" s="25">
        <f>표6_238[[#This Row],[신규가3]]-AA16</f>
        <v>-10</v>
      </c>
      <c r="AC16" s="25">
        <v>24710</v>
      </c>
      <c r="AD16" s="25">
        <f>표6_238[[#This Row],[신규가4]]-AC16</f>
        <v>0</v>
      </c>
      <c r="AE16" s="25">
        <v>25090</v>
      </c>
      <c r="AF16" s="25">
        <f>표6_238[[#This Row],[신규가5]]-AE16</f>
        <v>-10</v>
      </c>
    </row>
    <row r="17" spans="2:32" s="25" customFormat="1" ht="13.2" x14ac:dyDescent="0.4">
      <c r="B17" s="45">
        <v>13</v>
      </c>
      <c r="C17" s="2" t="s">
        <v>11</v>
      </c>
      <c r="D17" s="2">
        <v>16</v>
      </c>
      <c r="E17" s="49">
        <f>오프_판매가!E16</f>
        <v>14963</v>
      </c>
      <c r="F17" s="49"/>
      <c r="G17" s="64">
        <f>ROUND((10 - $C$3)*(표6_238[[#This Row],[원가]]+표5_59[[#This Row],[택배비]])/(-11*표5_59[[#This Row],[마진율]]+(10-$C$3)*(1-$G$3)), -1)+표6_238[[#This Row],[추가]]</f>
        <v>23980</v>
      </c>
      <c r="H17" s="49">
        <f>ROUND((10 - $C$3)*(표6_238[[#This Row],[원가]]+표5_59[[#This Row],[택배비]])/(-11*표5_59[[#This Row],[마진율]]+(10-$C$3)*(1-$H$3)), -1)</f>
        <v>25720</v>
      </c>
      <c r="I17" s="49"/>
      <c r="J17" s="49">
        <f>ROUND((10 - $C$3)*(표6_238[[#This Row],[원가]]+표5_59[[#This Row],[택배비]])/(-11*표5_59[[#This Row],[마진율]]+(10-$C$3)*(1-$J$3)), -1)+표6_238[[#This Row],[추가3]]</f>
        <v>26100</v>
      </c>
      <c r="K17" s="50">
        <f>ROUND((10 - $C$3)*(표6_238[[#This Row],[원가]]+표5_59[[#This Row],[택배비]])/(-11*표5_59[[#This Row],[마진율]]+(10-$C$3)*(1-$K$3)), -1)</f>
        <v>26490</v>
      </c>
      <c r="L17" s="50">
        <f>ROUND((10 - $C$3)*(표6_238[[#This Row],[원가]]+표5_59[[#This Row],[택배비]])/(-11*표5_59[[#This Row],[마진율]]+(10-$C$3)*(1-$L$3)), -1)</f>
        <v>26890</v>
      </c>
      <c r="M17" s="49"/>
      <c r="N17" s="49">
        <v>2750</v>
      </c>
      <c r="O17" s="49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4632.2618181818179</v>
      </c>
      <c r="P17" s="49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4967.738181818183</v>
      </c>
      <c r="Q17" s="49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5041.7454545454548</v>
      </c>
      <c r="R17" s="49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5116.8872727272737</v>
      </c>
      <c r="S17" s="49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5192.9018181818192</v>
      </c>
      <c r="T17" s="51">
        <v>0.19315707620528771</v>
      </c>
      <c r="U17" s="45" t="s">
        <v>59</v>
      </c>
      <c r="W17" s="25">
        <v>23980</v>
      </c>
      <c r="X17" s="25">
        <f>표6_238[[#This Row],[신규가]]-W17</f>
        <v>0</v>
      </c>
      <c r="Y17" s="25">
        <v>25720</v>
      </c>
      <c r="Z17" s="25">
        <f>표6_238[[#This Row],[신규가2]]-Y17</f>
        <v>0</v>
      </c>
      <c r="AA17" s="25">
        <v>26100</v>
      </c>
      <c r="AB17" s="25">
        <f>표6_238[[#This Row],[신규가3]]-AA17</f>
        <v>0</v>
      </c>
      <c r="AC17" s="25">
        <v>26490</v>
      </c>
      <c r="AD17" s="25">
        <f>표6_238[[#This Row],[신규가4]]-AC17</f>
        <v>0</v>
      </c>
      <c r="AE17" s="25">
        <v>26890</v>
      </c>
      <c r="AF17" s="25">
        <f>표6_238[[#This Row],[신규가5]]-AE17</f>
        <v>0</v>
      </c>
    </row>
    <row r="18" spans="2:32" s="25" customFormat="1" ht="13.2" x14ac:dyDescent="0.4">
      <c r="B18" s="45">
        <v>14</v>
      </c>
      <c r="C18" s="2" t="s">
        <v>12</v>
      </c>
      <c r="D18" s="2">
        <v>16</v>
      </c>
      <c r="E18" s="49">
        <f>오프_판매가!E17</f>
        <v>21207</v>
      </c>
      <c r="F18" s="49"/>
      <c r="G18" s="64">
        <f>ROUND((10 - $C$3)*(표6_238[[#This Row],[원가]]+표5_59[[#This Row],[택배비]])/(-11*표5_59[[#This Row],[마진율]]+(10-$C$3)*(1-$G$3)), -1)+표6_238[[#This Row],[추가]]</f>
        <v>32430</v>
      </c>
      <c r="H18" s="49">
        <f>ROUND((10 - $C$3)*(표6_238[[#This Row],[원가]]+표5_59[[#This Row],[택배비]])/(-11*표5_59[[#This Row],[마진율]]+(10-$C$3)*(1-$H$3)), -1)</f>
        <v>34780</v>
      </c>
      <c r="I18" s="49"/>
      <c r="J18" s="49">
        <f>ROUND((10 - $C$3)*(표6_238[[#This Row],[원가]]+표5_59[[#This Row],[택배비]])/(-11*표5_59[[#This Row],[마진율]]+(10-$C$3)*(1-$J$3)), -1)+표6_238[[#This Row],[추가3]]</f>
        <v>35290</v>
      </c>
      <c r="K18" s="50">
        <f>ROUND((10 - $C$3)*(표6_238[[#This Row],[원가]]+표5_59[[#This Row],[택배비]])/(-11*표5_59[[#This Row],[마진율]]+(10-$C$3)*(1-$K$3)), -1)</f>
        <v>35820</v>
      </c>
      <c r="L18" s="50">
        <f>ROUND((10 - $C$3)*(표6_238[[#This Row],[원가]]+표5_59[[#This Row],[택배비]])/(-11*표5_59[[#This Row],[마진율]]+(10-$C$3)*(1-$L$3)), -1)</f>
        <v>36360</v>
      </c>
      <c r="M18" s="49"/>
      <c r="N18" s="49">
        <v>2750</v>
      </c>
      <c r="O18" s="49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6262.5163636363641</v>
      </c>
      <c r="P18" s="49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6713.7163636363639</v>
      </c>
      <c r="Q18" s="49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6810.7636363636357</v>
      </c>
      <c r="R18" s="49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6914.4436363636369</v>
      </c>
      <c r="S18" s="49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7016.5527272727277</v>
      </c>
      <c r="T18" s="51">
        <v>0.19304197814836113</v>
      </c>
      <c r="U18" s="45" t="s">
        <v>59</v>
      </c>
      <c r="W18" s="25">
        <v>32430</v>
      </c>
      <c r="X18" s="25">
        <f>표6_238[[#This Row],[신규가]]-W18</f>
        <v>0</v>
      </c>
      <c r="Y18" s="25">
        <v>34780</v>
      </c>
      <c r="Z18" s="25">
        <f>표6_238[[#This Row],[신규가2]]-Y18</f>
        <v>0</v>
      </c>
      <c r="AA18" s="25">
        <v>35290</v>
      </c>
      <c r="AB18" s="25">
        <f>표6_238[[#This Row],[신규가3]]-AA18</f>
        <v>0</v>
      </c>
      <c r="AC18" s="25">
        <v>35820</v>
      </c>
      <c r="AD18" s="25">
        <f>표6_238[[#This Row],[신규가4]]-AC18</f>
        <v>0</v>
      </c>
      <c r="AE18" s="25">
        <v>36370</v>
      </c>
      <c r="AF18" s="25">
        <f>표6_238[[#This Row],[신규가5]]-AE18</f>
        <v>-10</v>
      </c>
    </row>
    <row r="19" spans="2:32" s="25" customFormat="1" ht="13.2" x14ac:dyDescent="0.4">
      <c r="B19" s="45">
        <v>15</v>
      </c>
      <c r="C19" s="2" t="s">
        <v>13</v>
      </c>
      <c r="D19" s="2">
        <v>16</v>
      </c>
      <c r="E19" s="49">
        <f>오프_판매가!E18</f>
        <v>12568</v>
      </c>
      <c r="F19" s="49"/>
      <c r="G19" s="64">
        <f>ROUND((10 - $C$3)*(표6_238[[#This Row],[원가]]+표5_59[[#This Row],[택배비]])/(-11*표5_59[[#This Row],[마진율]]+(10-$C$3)*(1-$G$3)), -1)+표6_238[[#This Row],[추가]]</f>
        <v>20380</v>
      </c>
      <c r="H19" s="49">
        <f>ROUND((10 - $C$3)*(표6_238[[#This Row],[원가]]+표5_59[[#This Row],[택배비]])/(-11*표5_59[[#This Row],[마진율]]+(10-$C$3)*(1-$H$3)), -1)</f>
        <v>21830</v>
      </c>
      <c r="I19" s="49"/>
      <c r="J19" s="49">
        <f>ROUND((10 - $C$3)*(표6_238[[#This Row],[원가]]+표5_59[[#This Row],[택배비]])/(-11*표5_59[[#This Row],[마진율]]+(10-$C$3)*(1-$J$3)), -1)+표6_238[[#This Row],[추가3]]</f>
        <v>22150</v>
      </c>
      <c r="K19" s="50">
        <f>ROUND((10 - $C$3)*(표6_238[[#This Row],[원가]]+표5_59[[#This Row],[택배비]])/(-11*표5_59[[#This Row],[마진율]]+(10-$C$3)*(1-$K$3)), -1)</f>
        <v>22470</v>
      </c>
      <c r="L19" s="50">
        <f>ROUND((10 - $C$3)*(표6_238[[#This Row],[원가]]+표5_59[[#This Row],[택배비]])/(-11*표5_59[[#This Row],[마진율]]+(10-$C$3)*(1-$L$3)), -1)</f>
        <v>22810</v>
      </c>
      <c r="M19" s="49"/>
      <c r="N19" s="49">
        <v>2750</v>
      </c>
      <c r="O19" s="49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3706.298181818182</v>
      </c>
      <c r="P19" s="49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3968.5527272727272</v>
      </c>
      <c r="Q19" s="49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4029.3818181818178</v>
      </c>
      <c r="R19" s="49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4084.6254545454549</v>
      </c>
      <c r="S19" s="49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4149.6436363636367</v>
      </c>
      <c r="T19" s="52">
        <v>0.18181401740723774</v>
      </c>
      <c r="U19" s="45" t="s">
        <v>59</v>
      </c>
      <c r="W19" s="25">
        <v>20480</v>
      </c>
      <c r="X19" s="25">
        <f>표6_238[[#This Row],[신규가]]-W19</f>
        <v>-100</v>
      </c>
      <c r="Y19" s="53">
        <v>21830</v>
      </c>
      <c r="Z19" s="25">
        <f>표6_238[[#This Row],[신규가2]]-Y19</f>
        <v>0</v>
      </c>
      <c r="AA19" s="25">
        <v>22150</v>
      </c>
      <c r="AB19" s="25">
        <f>표6_238[[#This Row],[신규가3]]-AA19</f>
        <v>0</v>
      </c>
      <c r="AC19" s="25">
        <v>22470</v>
      </c>
      <c r="AD19" s="25">
        <f>표6_238[[#This Row],[신규가4]]-AC19</f>
        <v>0</v>
      </c>
      <c r="AE19" s="25">
        <v>22800</v>
      </c>
      <c r="AF19" s="25">
        <f>표6_238[[#This Row],[신규가5]]-AE19</f>
        <v>10</v>
      </c>
    </row>
    <row r="20" spans="2:32" s="25" customFormat="1" ht="13.2" x14ac:dyDescent="0.4">
      <c r="B20" s="45">
        <v>16</v>
      </c>
      <c r="C20" s="2" t="s">
        <v>14</v>
      </c>
      <c r="D20" s="2">
        <v>16</v>
      </c>
      <c r="E20" s="49">
        <f>오프_판매가!E19</f>
        <v>14459</v>
      </c>
      <c r="F20" s="49"/>
      <c r="G20" s="64">
        <f>ROUND((10 - $C$3)*(표6_238[[#This Row],[원가]]+표5_59[[#This Row],[택배비]])/(-11*표5_59[[#This Row],[마진율]]+(10-$C$3)*(1-$G$3)), -1)+표6_238[[#This Row],[추가]]</f>
        <v>23290</v>
      </c>
      <c r="H20" s="49">
        <f>ROUND((10 - $C$3)*(표6_238[[#This Row],[원가]]+표5_59[[#This Row],[택배비]])/(-11*표5_59[[#This Row],[마진율]]+(10-$C$3)*(1-$H$3)), -1)</f>
        <v>24980</v>
      </c>
      <c r="I20" s="49"/>
      <c r="J20" s="49">
        <f>ROUND((10 - $C$3)*(표6_238[[#This Row],[원가]]+표5_59[[#This Row],[택배비]])/(-11*표5_59[[#This Row],[마진율]]+(10-$C$3)*(1-$J$3)), -1)+표6_238[[#This Row],[추가3]]</f>
        <v>25350</v>
      </c>
      <c r="K20" s="50">
        <f>ROUND((10 - $C$3)*(표6_238[[#This Row],[원가]]+표5_59[[#This Row],[택배비]])/(-11*표5_59[[#This Row],[마진율]]+(10-$C$3)*(1-$K$3)), -1)</f>
        <v>25730</v>
      </c>
      <c r="L20" s="50">
        <f>ROUND((10 - $C$3)*(표6_238[[#This Row],[원가]]+표5_59[[#This Row],[택배비]])/(-11*표5_59[[#This Row],[마진율]]+(10-$C$3)*(1-$L$3)), -1)</f>
        <v>26120</v>
      </c>
      <c r="M20" s="49"/>
      <c r="N20" s="49">
        <v>2750</v>
      </c>
      <c r="O20" s="49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4494.0218181818182</v>
      </c>
      <c r="P20" s="49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4819.8981818181819</v>
      </c>
      <c r="Q20" s="49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4892.5090909090904</v>
      </c>
      <c r="R20" s="49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4966.4290909090905</v>
      </c>
      <c r="S20" s="49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5041.3963636363642</v>
      </c>
      <c r="T20" s="51">
        <v>0.19295436349079265</v>
      </c>
      <c r="U20" s="45" t="s">
        <v>59</v>
      </c>
      <c r="W20" s="25">
        <v>23290</v>
      </c>
      <c r="X20" s="25">
        <f>표6_238[[#This Row],[신규가]]-W20</f>
        <v>0</v>
      </c>
      <c r="Y20" s="25">
        <v>24980</v>
      </c>
      <c r="Z20" s="25">
        <f>표6_238[[#This Row],[신규가2]]-Y20</f>
        <v>0</v>
      </c>
      <c r="AA20" s="25">
        <v>25350</v>
      </c>
      <c r="AB20" s="25">
        <f>표6_238[[#This Row],[신규가3]]-AA20</f>
        <v>0</v>
      </c>
      <c r="AC20" s="25">
        <v>25730</v>
      </c>
      <c r="AD20" s="25">
        <f>표6_238[[#This Row],[신규가4]]-AC20</f>
        <v>0</v>
      </c>
      <c r="AE20" s="25">
        <v>26120</v>
      </c>
      <c r="AF20" s="25">
        <f>표6_238[[#This Row],[신규가5]]-AE20</f>
        <v>0</v>
      </c>
    </row>
    <row r="21" spans="2:32" s="25" customFormat="1" ht="13.2" x14ac:dyDescent="0.4">
      <c r="B21" s="45">
        <v>17</v>
      </c>
      <c r="C21" s="2" t="s">
        <v>15</v>
      </c>
      <c r="D21" s="2">
        <v>16</v>
      </c>
      <c r="E21" s="49">
        <f>오프_판매가!E20</f>
        <v>15710</v>
      </c>
      <c r="F21" s="49"/>
      <c r="G21" s="64">
        <f>ROUND((10 - $C$3)*(표6_238[[#This Row],[원가]]+표5_59[[#This Row],[택배비]])/(-11*표5_59[[#This Row],[마진율]]+(10-$C$3)*(1-$G$3)), -1)+표6_238[[#This Row],[추가]]</f>
        <v>24990</v>
      </c>
      <c r="H21" s="49">
        <f>ROUND((10 - $C$3)*(표6_238[[#This Row],[원가]]+표5_59[[#This Row],[택배비]])/(-11*표5_59[[#This Row],[마진율]]+(10-$C$3)*(1-$H$3)), -1)</f>
        <v>26800</v>
      </c>
      <c r="I21" s="49"/>
      <c r="J21" s="49">
        <f>ROUND((10 - $C$3)*(표6_238[[#This Row],[원가]]+표5_59[[#This Row],[택배비]])/(-11*표5_59[[#This Row],[마진율]]+(10-$C$3)*(1-$J$3)), -1)+표6_238[[#This Row],[추가3]]</f>
        <v>27190</v>
      </c>
      <c r="K21" s="50">
        <f>ROUND((10 - $C$3)*(표6_238[[#This Row],[원가]]+표5_59[[#This Row],[택배비]])/(-11*표5_59[[#This Row],[마진율]]+(10-$C$3)*(1-$K$3)), -1)</f>
        <v>27600</v>
      </c>
      <c r="L21" s="50">
        <f>ROUND((10 - $C$3)*(표6_238[[#This Row],[원가]]+표5_59[[#This Row],[택배비]])/(-11*표5_59[[#This Row],[마진율]]+(10-$C$3)*(1-$L$3)), -1)</f>
        <v>28020</v>
      </c>
      <c r="M21" s="49"/>
      <c r="N21" s="49">
        <v>2750</v>
      </c>
      <c r="O21" s="49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4826.5309090909086</v>
      </c>
      <c r="P21" s="49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5173.5272727272722</v>
      </c>
      <c r="Q21" s="49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5245.9636363636355</v>
      </c>
      <c r="R21" s="49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5327.1272727272726</v>
      </c>
      <c r="S21" s="49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5408.8145454545456</v>
      </c>
      <c r="T21" s="51">
        <v>0.19302238805970148</v>
      </c>
      <c r="U21" s="45" t="s">
        <v>59</v>
      </c>
      <c r="W21" s="25">
        <v>24990</v>
      </c>
      <c r="X21" s="25">
        <f>표6_238[[#This Row],[신규가]]-W21</f>
        <v>0</v>
      </c>
      <c r="Y21" s="25">
        <v>26800</v>
      </c>
      <c r="Z21" s="25">
        <f>표6_238[[#This Row],[신규가2]]-Y21</f>
        <v>0</v>
      </c>
      <c r="AA21" s="25">
        <v>27190</v>
      </c>
      <c r="AB21" s="25">
        <f>표6_238[[#This Row],[신규가3]]-AA21</f>
        <v>0</v>
      </c>
      <c r="AC21" s="25">
        <v>27600</v>
      </c>
      <c r="AD21" s="25">
        <f>표6_238[[#This Row],[신규가4]]-AC21</f>
        <v>0</v>
      </c>
      <c r="AE21" s="25">
        <v>28020</v>
      </c>
      <c r="AF21" s="25">
        <f>표6_238[[#This Row],[신규가5]]-AE21</f>
        <v>0</v>
      </c>
    </row>
    <row r="22" spans="2:32" s="25" customFormat="1" ht="13.2" x14ac:dyDescent="0.4">
      <c r="B22" s="45">
        <v>18</v>
      </c>
      <c r="C22" s="2" t="s">
        <v>16</v>
      </c>
      <c r="D22" s="2">
        <v>16</v>
      </c>
      <c r="E22" s="49">
        <f>오프_판매가!E21</f>
        <v>21993</v>
      </c>
      <c r="F22" s="49"/>
      <c r="G22" s="64">
        <f>ROUND((10 - $C$3)*(표6_238[[#This Row],[원가]]+표5_59[[#This Row],[택배비]])/(-11*표5_59[[#This Row],[마진율]]+(10-$C$3)*(1-$G$3)), -1)+표6_238[[#This Row],[추가]]</f>
        <v>33550</v>
      </c>
      <c r="H22" s="49">
        <f>ROUND((10 - $C$3)*(표6_238[[#This Row],[원가]]+표5_59[[#This Row],[택배비]])/(-11*표5_59[[#This Row],[마진율]]+(10-$C$3)*(1-$H$3)), -1)</f>
        <v>35990</v>
      </c>
      <c r="I22" s="49"/>
      <c r="J22" s="49">
        <f>ROUND((10 - $C$3)*(표6_238[[#This Row],[원가]]+표5_59[[#This Row],[택배비]])/(-11*표5_59[[#This Row],[마진율]]+(10-$C$3)*(1-$J$3)), -1)+표6_238[[#This Row],[추가3]]</f>
        <v>36520</v>
      </c>
      <c r="K22" s="50">
        <f>ROUND((10 - $C$3)*(표6_238[[#This Row],[원가]]+표5_59[[#This Row],[택배비]])/(-11*표5_59[[#This Row],[마진율]]+(10-$C$3)*(1-$K$3)), -1)</f>
        <v>37070</v>
      </c>
      <c r="L22" s="50">
        <f>ROUND((10 - $C$3)*(표6_238[[#This Row],[원가]]+표5_59[[#This Row],[택배비]])/(-11*표5_59[[#This Row],[마진율]]+(10-$C$3)*(1-$L$3)), -1)</f>
        <v>37630</v>
      </c>
      <c r="M22" s="49"/>
      <c r="N22" s="49">
        <v>2750</v>
      </c>
      <c r="O22" s="49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6514.909090909091</v>
      </c>
      <c r="P22" s="49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6988.7127272727266</v>
      </c>
      <c r="Q22" s="49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7090.909090909091</v>
      </c>
      <c r="R22" s="49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7199.3890909090906</v>
      </c>
      <c r="S22" s="49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7305.9490909090928</v>
      </c>
      <c r="T22" s="51">
        <v>0.19419283134203946</v>
      </c>
      <c r="U22" s="45" t="s">
        <v>60</v>
      </c>
      <c r="W22" s="25">
        <v>33550</v>
      </c>
      <c r="X22" s="25">
        <f>표6_238[[#This Row],[신규가]]-W22</f>
        <v>0</v>
      </c>
      <c r="Y22" s="25">
        <v>35990</v>
      </c>
      <c r="Z22" s="25">
        <f>표6_238[[#This Row],[신규가2]]-Y22</f>
        <v>0</v>
      </c>
      <c r="AA22" s="25">
        <v>36530</v>
      </c>
      <c r="AB22" s="25">
        <f>표6_238[[#This Row],[신규가3]]-AA22</f>
        <v>-10</v>
      </c>
      <c r="AC22" s="25">
        <v>36990</v>
      </c>
      <c r="AD22" s="25">
        <f>표6_238[[#This Row],[신규가4]]-AC22</f>
        <v>80</v>
      </c>
      <c r="AE22" s="25">
        <v>37630</v>
      </c>
      <c r="AF22" s="25">
        <f>표6_238[[#This Row],[신규가5]]-AE22</f>
        <v>0</v>
      </c>
    </row>
    <row r="23" spans="2:32" s="25" customFormat="1" ht="13.2" x14ac:dyDescent="0.4">
      <c r="B23" s="45">
        <v>19</v>
      </c>
      <c r="C23" s="2" t="s">
        <v>17</v>
      </c>
      <c r="D23" s="2">
        <v>10000</v>
      </c>
      <c r="E23" s="49">
        <f>오프_판매가!E22</f>
        <v>9000</v>
      </c>
      <c r="F23" s="49"/>
      <c r="G23" s="64">
        <f>ROUND((10 - $C$3)*(표6_238[[#This Row],[원가]]+표5_59[[#This Row],[택배비]])/(-11*표5_59[[#This Row],[마진율]]+(10-$C$3)*(1-$G$3)), -1)+표6_238[[#This Row],[추가]]</f>
        <v>15830</v>
      </c>
      <c r="H23" s="49">
        <f>ROUND((10 - $C$3)*(표6_238[[#This Row],[원가]]+표5_59[[#This Row],[택배비]])/(-11*표5_59[[#This Row],[마진율]]+(10-$C$3)*(1-$H$3)), -1)</f>
        <v>16970</v>
      </c>
      <c r="I23" s="49"/>
      <c r="J23" s="49">
        <f>ROUND((10 - $C$3)*(표6_238[[#This Row],[원가]]+표5_59[[#This Row],[택배비]])/(-11*표5_59[[#This Row],[마진율]]+(10-$C$3)*(1-$J$3)), -1)+표6_238[[#This Row],[추가3]]</f>
        <v>17220</v>
      </c>
      <c r="K23" s="50">
        <f>ROUND((10 - $C$3)*(표6_238[[#This Row],[원가]]+표5_59[[#This Row],[택배비]])/(-11*표5_59[[#This Row],[마진율]]+(10-$C$3)*(1-$K$3)), -1)</f>
        <v>17480</v>
      </c>
      <c r="L23" s="50">
        <f>ROUND((10 - $C$3)*(표6_238[[#This Row],[원가]]+표5_59[[#This Row],[택배비]])/(-11*표5_59[[#This Row],[마진율]]+(10-$C$3)*(1-$L$3)), -1)</f>
        <v>17740</v>
      </c>
      <c r="N23" s="49">
        <v>2750</v>
      </c>
      <c r="O23" s="49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3008.1163636363635</v>
      </c>
      <c r="P23" s="49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3222.72</v>
      </c>
      <c r="Q23" s="49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3270.9818181818177</v>
      </c>
      <c r="R23" s="49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3322.6472727272726</v>
      </c>
      <c r="S23" s="49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3369.7745454545457</v>
      </c>
      <c r="T23" s="51">
        <v>0.18992339422510313</v>
      </c>
      <c r="U23" s="45" t="s">
        <v>60</v>
      </c>
      <c r="W23" s="25">
        <v>15830</v>
      </c>
      <c r="X23" s="25">
        <f>표6_238[[#This Row],[신규가]]-W23</f>
        <v>0</v>
      </c>
      <c r="Y23" s="25">
        <v>16970</v>
      </c>
      <c r="Z23" s="25">
        <f>표6_238[[#This Row],[신규가2]]-Y23</f>
        <v>0</v>
      </c>
      <c r="AA23" s="25">
        <v>17220</v>
      </c>
      <c r="AB23" s="25">
        <f>표6_238[[#This Row],[신규가3]]-AA23</f>
        <v>0</v>
      </c>
      <c r="AC23" s="25">
        <v>17480</v>
      </c>
      <c r="AD23" s="25">
        <f>표6_238[[#This Row],[신규가4]]-AC23</f>
        <v>0</v>
      </c>
      <c r="AE23" s="25">
        <v>17740</v>
      </c>
      <c r="AF23" s="25">
        <f>표6_238[[#This Row],[신규가5]]-AE23</f>
        <v>0</v>
      </c>
    </row>
    <row r="24" spans="2:32" s="25" customFormat="1" ht="13.2" x14ac:dyDescent="0.4">
      <c r="B24" s="45">
        <v>20</v>
      </c>
      <c r="C24" s="2" t="s">
        <v>18</v>
      </c>
      <c r="D24" s="2">
        <v>5000</v>
      </c>
      <c r="E24" s="49">
        <f>오프_판매가!E23</f>
        <v>16000</v>
      </c>
      <c r="F24" s="49"/>
      <c r="G24" s="64">
        <f>ROUND((10 - $C$3)*(표6_238[[#This Row],[원가]]+표5_59[[#This Row],[택배비]])/(-11*표5_59[[#This Row],[마진율]]+(10-$C$3)*(1-$G$3)), -1)+표6_238[[#This Row],[추가]]</f>
        <v>25180</v>
      </c>
      <c r="H24" s="49">
        <f>ROUND((10 - $C$3)*(표6_238[[#This Row],[원가]]+표5_59[[#This Row],[택배비]])/(-11*표5_59[[#This Row],[마진율]]+(10-$C$3)*(1-$H$3)), -1)</f>
        <v>26990</v>
      </c>
      <c r="I24" s="49"/>
      <c r="J24" s="49">
        <f>ROUND((10 - $C$3)*(표6_238[[#This Row],[원가]]+표5_59[[#This Row],[택배비]])/(-11*표5_59[[#This Row],[마진율]]+(10-$C$3)*(1-$J$3)), -1)+표6_238[[#This Row],[추가3]]</f>
        <v>27390</v>
      </c>
      <c r="K24" s="50">
        <f>ROUND((10 - $C$3)*(표6_238[[#This Row],[원가]]+표5_59[[#This Row],[택배비]])/(-11*표5_59[[#This Row],[마진율]]+(10-$C$3)*(1-$K$3)), -1)</f>
        <v>27790</v>
      </c>
      <c r="L24" s="50">
        <f>ROUND((10 - $C$3)*(표6_238[[#This Row],[원가]]+표5_59[[#This Row],[택배비]])/(-11*표5_59[[#This Row],[마진율]]+(10-$C$3)*(1-$L$3)), -1)</f>
        <v>28210</v>
      </c>
      <c r="N24" s="49">
        <v>2750</v>
      </c>
      <c r="O24" s="49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4732.6254545454549</v>
      </c>
      <c r="P24" s="49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5071.3309090909088</v>
      </c>
      <c r="Q24" s="49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5149.9636363636355</v>
      </c>
      <c r="R24" s="49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5221.6145454545449</v>
      </c>
      <c r="S24" s="49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5301.6436363636367</v>
      </c>
      <c r="T24" s="51">
        <v>0.18792145238977398</v>
      </c>
      <c r="U24" s="45" t="s">
        <v>60</v>
      </c>
      <c r="W24" s="25">
        <v>25180</v>
      </c>
      <c r="X24" s="25">
        <f>표6_238[[#This Row],[신규가]]-W24</f>
        <v>0</v>
      </c>
      <c r="Y24" s="25">
        <v>26990</v>
      </c>
      <c r="Z24" s="25">
        <f>표6_238[[#This Row],[신규가2]]-Y24</f>
        <v>0</v>
      </c>
      <c r="AA24" s="25">
        <v>27380</v>
      </c>
      <c r="AB24" s="25">
        <f>표6_238[[#This Row],[신규가3]]-AA24</f>
        <v>10</v>
      </c>
      <c r="AC24" s="25">
        <v>27790</v>
      </c>
      <c r="AD24" s="25">
        <f>표6_238[[#This Row],[신규가4]]-AC24</f>
        <v>0</v>
      </c>
      <c r="AE24" s="25">
        <v>28210</v>
      </c>
      <c r="AF24" s="25">
        <f>표6_238[[#This Row],[신규가5]]-AE24</f>
        <v>0</v>
      </c>
    </row>
    <row r="25" spans="2:32" s="25" customFormat="1" ht="13.2" x14ac:dyDescent="0.4">
      <c r="B25" s="54">
        <v>21</v>
      </c>
      <c r="C25" s="55" t="s">
        <v>0</v>
      </c>
      <c r="D25" s="55">
        <v>7</v>
      </c>
      <c r="E25" s="50">
        <f>오프_판매가!E24</f>
        <v>13776</v>
      </c>
      <c r="F25" s="50">
        <v>100</v>
      </c>
      <c r="G25" s="64">
        <f>ROUND((10 - $C$3)*(표6_238[[#This Row],[원가]]+표5_59[[#This Row],[택배비]])/(-11*표5_59[[#This Row],[마진율]]+(10-$C$3)*(1-$G$3)), -1)+표6_238[[#This Row],[추가]]</f>
        <v>22190</v>
      </c>
      <c r="H25" s="50">
        <f>ROUND((10 - $C$3)*(표6_238[[#This Row],[원가]]+표5_59[[#This Row],[택배비]])/(-11*표5_59[[#This Row],[마진율]]+(10-$C$3)*(1-$H$3)), -1)</f>
        <v>23680</v>
      </c>
      <c r="I25" s="50">
        <v>-30</v>
      </c>
      <c r="J25" s="50">
        <f>ROUND((10 - $C$3)*(표6_238[[#This Row],[원가]]+표5_59[[#This Row],[택배비]])/(-11*표5_59[[#This Row],[마진율]]+(10-$C$3)*(1-$J$3)), -1)+표6_238[[#This Row],[추가3]]</f>
        <v>23990</v>
      </c>
      <c r="K25" s="50">
        <f>ROUND((10 - $C$3)*(표6_238[[#This Row],[원가]]+표5_59[[#This Row],[택배비]])/(-11*표5_59[[#This Row],[마진율]]+(10-$C$3)*(1-$K$3)), -1)</f>
        <v>24370</v>
      </c>
      <c r="L25" s="50">
        <f>ROUND((10 - $C$3)*(표6_238[[#This Row],[원가]]+표5_59[[#This Row],[택배비]])/(-11*표5_59[[#This Row],[마진율]]+(10-$C$3)*(1-$L$3)), -1)</f>
        <v>24740</v>
      </c>
      <c r="N25" s="56">
        <v>2750</v>
      </c>
      <c r="O25" s="56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4168.494545454545</v>
      </c>
      <c r="P25" s="56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4383.534545454545</v>
      </c>
      <c r="Q25" s="56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4420.3636363636369</v>
      </c>
      <c r="R25" s="56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4506.1527272727271</v>
      </c>
      <c r="S25" s="56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4577.6290909090912</v>
      </c>
      <c r="T25" s="57">
        <v>0.185</v>
      </c>
      <c r="U25" s="58" t="s">
        <v>39</v>
      </c>
      <c r="W25" s="25">
        <v>21930</v>
      </c>
      <c r="X25" s="25">
        <f>표6_238[[#This Row],[신규가]]-W25</f>
        <v>260</v>
      </c>
      <c r="Y25" s="25">
        <v>23490</v>
      </c>
      <c r="Z25" s="25">
        <f>표6_238[[#This Row],[신규가2]]-Y25</f>
        <v>190</v>
      </c>
      <c r="AA25" s="25">
        <v>23830</v>
      </c>
      <c r="AB25" s="25">
        <f>표6_238[[#This Row],[신규가3]]-AA25</f>
        <v>160</v>
      </c>
      <c r="AC25" s="25">
        <v>24180</v>
      </c>
      <c r="AD25" s="25">
        <f>표6_238[[#This Row],[신규가4]]-AC25</f>
        <v>190</v>
      </c>
      <c r="AE25" s="25">
        <v>24540</v>
      </c>
      <c r="AF25" s="25">
        <f>표6_238[[#This Row],[신규가5]]-AE25</f>
        <v>200</v>
      </c>
    </row>
    <row r="26" spans="2:32" s="25" customFormat="1" ht="13.2" x14ac:dyDescent="0.4">
      <c r="B26" s="54">
        <v>22</v>
      </c>
      <c r="C26" s="59" t="s">
        <v>0</v>
      </c>
      <c r="D26" s="60">
        <v>6</v>
      </c>
      <c r="E26" s="50">
        <f>오프_판매가!E25</f>
        <v>11808</v>
      </c>
      <c r="F26" s="50">
        <v>-60</v>
      </c>
      <c r="G26" s="64">
        <f>ROUND((10 - $C$3)*(표6_238[[#This Row],[원가]]+표5_59[[#This Row],[택배비]])/(-11*표5_59[[#This Row],[마진율]]+(10-$C$3)*(1-$G$3)), -1)+표6_238[[#This Row],[추가]]</f>
        <v>19400</v>
      </c>
      <c r="H26" s="50">
        <f>ROUND((10 - $C$3)*(표6_238[[#This Row],[원가]]+표5_59[[#This Row],[택배비]])/(-11*표5_59[[#This Row],[마진율]]+(10-$C$3)*(1-$H$3)), -1)</f>
        <v>20860</v>
      </c>
      <c r="I26" s="50"/>
      <c r="J26" s="50">
        <f>ROUND((10 - $C$3)*(표6_238[[#This Row],[원가]]+표5_59[[#This Row],[택배비]])/(-11*표5_59[[#This Row],[마진율]]+(10-$C$3)*(1-$J$3)), -1)+표6_238[[#This Row],[추가3]]</f>
        <v>21160</v>
      </c>
      <c r="K26" s="50">
        <f>ROUND((10 - $C$3)*(표6_238[[#This Row],[원가]]+표5_59[[#This Row],[택배비]])/(-11*표5_59[[#This Row],[마진율]]+(10-$C$3)*(1-$K$3)), -1)</f>
        <v>21470</v>
      </c>
      <c r="L26" s="50">
        <f>ROUND((10 - $C$3)*(표6_238[[#This Row],[원가]]+표5_59[[#This Row],[택배비]])/(-11*표5_59[[#This Row],[마진율]]+(10-$C$3)*(1-$L$3)), -1)</f>
        <v>21790</v>
      </c>
      <c r="N26" s="56">
        <v>2750</v>
      </c>
      <c r="O26" s="56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3548.5090909090909</v>
      </c>
      <c r="P26" s="56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3861.4690909090914</v>
      </c>
      <c r="Q26" s="56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3915.0545454545454</v>
      </c>
      <c r="R26" s="56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3971.1709090909094</v>
      </c>
      <c r="S26" s="56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4029.556363636364</v>
      </c>
      <c r="T26" s="57">
        <v>0.185</v>
      </c>
      <c r="U26" s="58" t="s">
        <v>39</v>
      </c>
      <c r="W26" s="25">
        <v>19320</v>
      </c>
      <c r="X26" s="25">
        <f>표6_238[[#This Row],[신규가]]-W26</f>
        <v>80</v>
      </c>
      <c r="Y26" s="25">
        <v>20690</v>
      </c>
      <c r="Z26" s="25">
        <f>표6_238[[#This Row],[신규가2]]-Y26</f>
        <v>170</v>
      </c>
      <c r="AA26" s="25">
        <v>20990</v>
      </c>
      <c r="AB26" s="25">
        <f>표6_238[[#This Row],[신규가3]]-AA26</f>
        <v>170</v>
      </c>
      <c r="AC26" s="25">
        <v>21300</v>
      </c>
      <c r="AD26" s="25">
        <f>표6_238[[#This Row],[신규가4]]-AC26</f>
        <v>170</v>
      </c>
      <c r="AE26" s="25">
        <v>21610</v>
      </c>
      <c r="AF26" s="25">
        <f>표6_238[[#This Row],[신규가5]]-AE26</f>
        <v>180</v>
      </c>
    </row>
    <row r="27" spans="2:32" s="25" customFormat="1" ht="13.2" x14ac:dyDescent="0.4">
      <c r="B27" s="54">
        <v>23</v>
      </c>
      <c r="C27" s="55" t="s">
        <v>0</v>
      </c>
      <c r="D27" s="55">
        <v>5</v>
      </c>
      <c r="E27" s="50">
        <f>오프_판매가!E26</f>
        <v>9840</v>
      </c>
      <c r="F27" s="50">
        <v>-40</v>
      </c>
      <c r="G27" s="64">
        <f>ROUND((10 - $C$3)*(표6_238[[#This Row],[원가]]+표5_59[[#This Row],[택배비]])/(-11*표5_59[[#This Row],[마진율]]+(10-$C$3)*(1-$G$3)), -1)+표6_238[[#This Row],[추가]]</f>
        <v>16790</v>
      </c>
      <c r="H27" s="50">
        <f>ROUND((10 - $C$3)*(표6_238[[#This Row],[원가]]+표5_59[[#This Row],[택배비]])/(-11*표5_59[[#This Row],[마진율]]+(10-$C$3)*(1-$H$3)), -1)</f>
        <v>18040</v>
      </c>
      <c r="I27" s="50"/>
      <c r="J27" s="50">
        <f>ROUND((10 - $C$3)*(표6_238[[#This Row],[원가]]+표5_59[[#This Row],[택배비]])/(-11*표5_59[[#This Row],[마진율]]+(10-$C$3)*(1-$J$3)), -1)+표6_238[[#This Row],[추가3]]</f>
        <v>18300</v>
      </c>
      <c r="K27" s="50">
        <f>ROUND((10 - $C$3)*(표6_238[[#This Row],[원가]]+표5_59[[#This Row],[택배비]])/(-11*표5_59[[#This Row],[마진율]]+(10-$C$3)*(1-$K$3)), -1)</f>
        <v>18570</v>
      </c>
      <c r="L27" s="50">
        <f>ROUND((10 - $C$3)*(표6_238[[#This Row],[원가]]+표5_59[[#This Row],[택배비]])/(-11*표5_59[[#This Row],[마진율]]+(10-$C$3)*(1-$L$3)), -1)</f>
        <v>18850</v>
      </c>
      <c r="N27" s="56">
        <v>2750</v>
      </c>
      <c r="O27" s="56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3079.3309090909092</v>
      </c>
      <c r="P27" s="56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3339.4036363636365</v>
      </c>
      <c r="Q27" s="56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3386.181818181818</v>
      </c>
      <c r="R27" s="56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3436.1890909090912</v>
      </c>
      <c r="S27" s="56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3489.1636363636362</v>
      </c>
      <c r="T27" s="57">
        <v>0.185</v>
      </c>
      <c r="U27" s="58" t="s">
        <v>39</v>
      </c>
      <c r="W27" s="25">
        <v>16700</v>
      </c>
      <c r="X27" s="25">
        <f>표6_238[[#This Row],[신규가]]-W27</f>
        <v>90</v>
      </c>
      <c r="Y27" s="25">
        <v>17890</v>
      </c>
      <c r="Z27" s="25">
        <f>표6_238[[#This Row],[신규가2]]-Y27</f>
        <v>150</v>
      </c>
      <c r="AA27" s="25">
        <v>18150</v>
      </c>
      <c r="AB27" s="25">
        <f>표6_238[[#This Row],[신규가3]]-AA27</f>
        <v>150</v>
      </c>
      <c r="AC27" s="25">
        <v>18420</v>
      </c>
      <c r="AD27" s="25">
        <f>표6_238[[#This Row],[신규가4]]-AC27</f>
        <v>150</v>
      </c>
      <c r="AE27" s="25">
        <v>18690</v>
      </c>
      <c r="AF27" s="25">
        <f>표6_238[[#This Row],[신규가5]]-AE27</f>
        <v>160</v>
      </c>
    </row>
    <row r="28" spans="2:32" s="25" customFormat="1" ht="13.2" x14ac:dyDescent="0.4">
      <c r="B28" s="54">
        <v>24</v>
      </c>
      <c r="C28" s="55" t="s">
        <v>0</v>
      </c>
      <c r="D28" s="55">
        <v>3</v>
      </c>
      <c r="E28" s="50">
        <f>오프_판매가!E27</f>
        <v>12785</v>
      </c>
      <c r="F28" s="50">
        <v>220</v>
      </c>
      <c r="G28" s="64">
        <f>ROUND((10 - $C$3)*(표6_238[[#This Row],[원가]]+표5_59[[#This Row],[택배비]])/(-11*표5_59[[#This Row],[마진율]]+(10-$C$3)*(1-$G$3)), -1)+표6_238[[#This Row],[추가]]</f>
        <v>20990</v>
      </c>
      <c r="H28" s="50">
        <f>ROUND((10 - $C$3)*(표6_238[[#This Row],[원가]]+표5_59[[#This Row],[택배비]])/(-11*표5_59[[#This Row],[마진율]]+(10-$C$3)*(1-$H$3)), -1)</f>
        <v>22260</v>
      </c>
      <c r="I28" s="50"/>
      <c r="J28" s="50">
        <f>ROUND((10 - $C$3)*(표6_238[[#This Row],[원가]]+표5_59[[#This Row],[택배비]])/(-11*표5_59[[#This Row],[마진율]]+(10-$C$3)*(1-$J$3)), -1)+표6_238[[#This Row],[추가3]]</f>
        <v>22580</v>
      </c>
      <c r="K28" s="50">
        <f>ROUND((10 - $C$3)*(표6_238[[#This Row],[원가]]+표5_59[[#This Row],[택배비]])/(-11*표5_59[[#This Row],[마진율]]+(10-$C$3)*(1-$K$3)), -1)</f>
        <v>22910</v>
      </c>
      <c r="L28" s="50">
        <f>ROUND((10 - $C$3)*(표6_238[[#This Row],[원가]]+표5_59[[#This Row],[택배비]])/(-11*표5_59[[#This Row],[마진율]]+(10-$C$3)*(1-$L$3)), -1)</f>
        <v>23260</v>
      </c>
      <c r="N28" s="56">
        <v>2750</v>
      </c>
      <c r="O28" s="56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4027.9854545454536</v>
      </c>
      <c r="P28" s="56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4120.6690909090912</v>
      </c>
      <c r="Q28" s="56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4177.7454545454548</v>
      </c>
      <c r="R28" s="56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4237.0036363636355</v>
      </c>
      <c r="S28" s="56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4305.8618181818183</v>
      </c>
      <c r="T28" s="57">
        <v>0.185</v>
      </c>
      <c r="U28" s="58" t="s">
        <v>39</v>
      </c>
      <c r="W28" s="25">
        <v>20890</v>
      </c>
      <c r="X28" s="25">
        <f>표6_238[[#This Row],[신규가]]-W28</f>
        <v>100</v>
      </c>
      <c r="Y28" s="25">
        <v>22400</v>
      </c>
      <c r="Z28" s="25">
        <f>표6_238[[#This Row],[신규가2]]-Y28</f>
        <v>-140</v>
      </c>
      <c r="AA28" s="25">
        <v>22730</v>
      </c>
      <c r="AB28" s="25">
        <f>표6_238[[#This Row],[신규가3]]-AA28</f>
        <v>-150</v>
      </c>
      <c r="AC28" s="25">
        <v>23070</v>
      </c>
      <c r="AD28" s="25">
        <f>표6_238[[#This Row],[신규가4]]-AC28</f>
        <v>-160</v>
      </c>
      <c r="AE28" s="25">
        <v>23410</v>
      </c>
      <c r="AF28" s="25">
        <f>표6_238[[#This Row],[신규가5]]-AE28</f>
        <v>-150</v>
      </c>
    </row>
    <row r="29" spans="2:32" s="25" customFormat="1" ht="13.2" x14ac:dyDescent="0.4">
      <c r="B29" s="54">
        <v>25</v>
      </c>
      <c r="C29" s="55" t="s">
        <v>0</v>
      </c>
      <c r="D29" s="55">
        <v>2</v>
      </c>
      <c r="E29" s="50">
        <f>오프_판매가!E28</f>
        <v>8523</v>
      </c>
      <c r="F29" s="50"/>
      <c r="G29" s="64">
        <f>ROUND((10 - $C$3)*(표6_238[[#This Row],[원가]]+표5_59[[#This Row],[택배비]])/(-11*표5_59[[#This Row],[마진율]]+(10-$C$3)*(1-$G$3)), -1)+표6_238[[#This Row],[추가]]</f>
        <v>14400</v>
      </c>
      <c r="H29" s="50">
        <f>ROUND((10 - $C$3)*(표6_238[[#This Row],[원가]]+표5_59[[#This Row],[택배비]])/(-11*표5_59[[#This Row],[마진율]]+(10-$C$3)*(1-$H$3)), -1)</f>
        <v>15430</v>
      </c>
      <c r="I29" s="50"/>
      <c r="J29" s="50">
        <f>ROUND((10 - $C$3)*(표6_238[[#This Row],[원가]]+표5_59[[#This Row],[택배비]])/(-11*표5_59[[#This Row],[마진율]]+(10-$C$3)*(1-$J$3)), -1)+표6_238[[#This Row],[추가3]]</f>
        <v>15660</v>
      </c>
      <c r="K29" s="50">
        <f>ROUND((10 - $C$3)*(표6_238[[#This Row],[원가]]+표5_59[[#This Row],[택배비]])/(-11*표5_59[[#This Row],[마진율]]+(10-$C$3)*(1-$K$3)), -1)</f>
        <v>15890</v>
      </c>
      <c r="L29" s="50">
        <f>ROUND((10 - $C$3)*(표6_238[[#This Row],[원가]]+표5_59[[#This Row],[택배비]])/(-11*표5_59[[#This Row],[마진율]]+(10-$C$3)*(1-$L$3)), -1)</f>
        <v>16130</v>
      </c>
      <c r="N29" s="56">
        <v>2250</v>
      </c>
      <c r="O29" s="56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2662.6909090909089</v>
      </c>
      <c r="P29" s="56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2852.3345454545456</v>
      </c>
      <c r="Q29" s="56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2898.3272727272724</v>
      </c>
      <c r="R29" s="56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2940.3054545454543</v>
      </c>
      <c r="S29" s="56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2985.949090909091</v>
      </c>
      <c r="T29" s="57">
        <v>0.185</v>
      </c>
      <c r="U29" s="58" t="s">
        <v>39</v>
      </c>
      <c r="W29" s="25">
        <v>14490</v>
      </c>
      <c r="X29" s="25">
        <f>표6_238[[#This Row],[신규가]]-W29</f>
        <v>-90</v>
      </c>
      <c r="Y29" s="25">
        <v>15530</v>
      </c>
      <c r="Z29" s="25">
        <f>표6_238[[#This Row],[신규가2]]-Y29</f>
        <v>-100</v>
      </c>
      <c r="AA29" s="25">
        <v>15760</v>
      </c>
      <c r="AB29" s="25">
        <f>표6_238[[#This Row],[신규가3]]-AA29</f>
        <v>-100</v>
      </c>
      <c r="AC29" s="25">
        <v>15990</v>
      </c>
      <c r="AD29" s="25">
        <f>표6_238[[#This Row],[신규가4]]-AC29</f>
        <v>-100</v>
      </c>
      <c r="AE29" s="25">
        <v>16240</v>
      </c>
      <c r="AF29" s="25">
        <f>표6_238[[#This Row],[신규가5]]-AE29</f>
        <v>-110</v>
      </c>
    </row>
    <row r="30" spans="2:32" s="25" customFormat="1" ht="13.2" x14ac:dyDescent="0.4">
      <c r="B30" s="54">
        <v>26</v>
      </c>
      <c r="C30" s="55" t="s">
        <v>182</v>
      </c>
      <c r="D30" s="55">
        <v>2</v>
      </c>
      <c r="E30" s="50">
        <f>오프_판매가!E29</f>
        <v>10696</v>
      </c>
      <c r="F30" s="50">
        <v>0</v>
      </c>
      <c r="G30" s="64">
        <f>ROUND((10 - $C$3)*(표6_238[[#This Row],[원가]]+표5_59[[#This Row],[택배비]])/(-11*표5_59[[#This Row],[마진율]]+(10-$C$3)*(1-$G$3)), -1)+표6_238[[#This Row],[추가]]</f>
        <v>17980</v>
      </c>
      <c r="H30" s="50">
        <f>ROUND((10 - $C$3)*(표6_238[[#This Row],[원가]]+표5_59[[#This Row],[택배비]])/(-11*표5_59[[#This Row],[마진율]]+(10-$C$3)*(1-$H$3)), -1)</f>
        <v>19260</v>
      </c>
      <c r="I30" s="50">
        <v>0</v>
      </c>
      <c r="J30" s="50">
        <f>ROUND((10 - $C$3)*(표6_238[[#This Row],[원가]]+표5_59[[#This Row],[택배비]])/(-11*표5_59[[#This Row],[마진율]]+(10-$C$3)*(1-$J$3)), -1)+표6_238[[#This Row],[추가3]]</f>
        <v>19540</v>
      </c>
      <c r="K30" s="50">
        <f>ROUND((10 - $C$3)*(표6_238[[#This Row],[원가]]+표5_59[[#This Row],[택배비]])/(-11*표5_59[[#This Row],[마진율]]+(10-$C$3)*(1-$K$3)), -1)</f>
        <v>19830</v>
      </c>
      <c r="L30" s="50">
        <f>ROUND((10 - $C$3)*(표6_238[[#This Row],[원가]]+표5_59[[#This Row],[택배비]])/(-11*표5_59[[#This Row],[마진율]]+(10-$C$3)*(1-$L$3)), -1)</f>
        <v>20130</v>
      </c>
      <c r="N30" s="56">
        <v>2750</v>
      </c>
      <c r="O30" s="56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3329.28</v>
      </c>
      <c r="P30" s="56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3561.2509090909093</v>
      </c>
      <c r="Q30" s="56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3613.090909090909</v>
      </c>
      <c r="R30" s="56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3667.8109090909088</v>
      </c>
      <c r="S30" s="56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3725.1490909090908</v>
      </c>
      <c r="T30" s="57">
        <v>0.185</v>
      </c>
      <c r="U30" s="58" t="s">
        <v>39</v>
      </c>
      <c r="W30" s="25">
        <v>18500</v>
      </c>
      <c r="X30" s="25">
        <f>표6_238[[#This Row],[신규가]]-W30</f>
        <v>-520</v>
      </c>
      <c r="Y30" s="25">
        <v>19800</v>
      </c>
      <c r="Z30" s="25">
        <f>표6_238[[#This Row],[신규가2]]-Y30</f>
        <v>-540</v>
      </c>
      <c r="AA30" s="25">
        <v>20090</v>
      </c>
      <c r="AB30" s="25">
        <f>표6_238[[#This Row],[신규가3]]-AA30</f>
        <v>-550</v>
      </c>
      <c r="AC30" s="25">
        <v>20400</v>
      </c>
      <c r="AD30" s="25">
        <f>표6_238[[#This Row],[신규가4]]-AC30</f>
        <v>-570</v>
      </c>
      <c r="AE30" s="25">
        <v>20700</v>
      </c>
      <c r="AF30" s="25">
        <f>표6_238[[#This Row],[신규가5]]-AE30</f>
        <v>-570</v>
      </c>
    </row>
    <row r="31" spans="2:32" s="25" customFormat="1" ht="13.2" x14ac:dyDescent="0.4">
      <c r="B31" s="54">
        <v>27</v>
      </c>
      <c r="C31" s="55" t="s">
        <v>6</v>
      </c>
      <c r="D31" s="55">
        <v>2</v>
      </c>
      <c r="E31" s="50">
        <f>오프_판매가!E30</f>
        <v>11013</v>
      </c>
      <c r="F31" s="50">
        <v>90</v>
      </c>
      <c r="G31" s="64">
        <f>ROUND((10 - $C$3)*(표6_238[[#This Row],[원가]]+표5_59[[#This Row],[택배비]])/(-11*표5_59[[#This Row],[마진율]]+(10-$C$3)*(1-$G$3)), -1)+표6_238[[#This Row],[추가]]</f>
        <v>18490</v>
      </c>
      <c r="H31" s="50">
        <f>ROUND((10 - $C$3)*(표6_238[[#This Row],[원가]]+표5_59[[#This Row],[택배비]])/(-11*표5_59[[#This Row],[마진율]]+(10-$C$3)*(1-$H$3)), -1)</f>
        <v>19720</v>
      </c>
      <c r="I31" s="50">
        <v>-10</v>
      </c>
      <c r="J31" s="50">
        <f>ROUND((10 - $C$3)*(표6_238[[#This Row],[원가]]+표5_59[[#This Row],[택배비]])/(-11*표5_59[[#This Row],[마진율]]+(10-$C$3)*(1-$J$3)), -1)+표6_238[[#This Row],[추가3]]</f>
        <v>19990</v>
      </c>
      <c r="K31" s="50">
        <f>ROUND((10 - $C$3)*(표6_238[[#This Row],[원가]]+표5_59[[#This Row],[택배비]])/(-11*표5_59[[#This Row],[마진율]]+(10-$C$3)*(1-$K$3)), -1)</f>
        <v>20300</v>
      </c>
      <c r="L31" s="50">
        <f>ROUND((10 - $C$3)*(표6_238[[#This Row],[원가]]+표5_59[[#This Row],[택배비]])/(-11*표5_59[[#This Row],[마진율]]+(10-$C$3)*(1-$L$3)), -1)</f>
        <v>20600</v>
      </c>
      <c r="N31" s="56">
        <v>2750</v>
      </c>
      <c r="O31" s="56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3479.9127272727274</v>
      </c>
      <c r="P31" s="56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3649.92</v>
      </c>
      <c r="Q31" s="56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3689.8909090909092</v>
      </c>
      <c r="R31" s="56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3756.2181818181821</v>
      </c>
      <c r="S31" s="56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3809.454545454545</v>
      </c>
      <c r="T31" s="57">
        <v>0.185</v>
      </c>
      <c r="U31" s="58" t="s">
        <v>39</v>
      </c>
      <c r="W31" s="25">
        <v>18820</v>
      </c>
      <c r="X31" s="25">
        <f>표6_238[[#This Row],[신규가]]-W31</f>
        <v>-330</v>
      </c>
      <c r="Y31" s="25">
        <v>20170</v>
      </c>
      <c r="Z31" s="25">
        <f>표6_238[[#This Row],[신규가2]]-Y31</f>
        <v>-450</v>
      </c>
      <c r="AA31" s="25">
        <v>20460</v>
      </c>
      <c r="AB31" s="25">
        <f>표6_238[[#This Row],[신규가3]]-AA31</f>
        <v>-470</v>
      </c>
      <c r="AC31" s="25">
        <v>20770</v>
      </c>
      <c r="AD31" s="25">
        <f>표6_238[[#This Row],[신규가4]]-AC31</f>
        <v>-470</v>
      </c>
      <c r="AE31" s="25">
        <v>21080</v>
      </c>
      <c r="AF31" s="25">
        <f>표6_238[[#This Row],[신규가5]]-AE31</f>
        <v>-480</v>
      </c>
    </row>
    <row r="32" spans="2:32" s="25" customFormat="1" ht="13.2" x14ac:dyDescent="0.4">
      <c r="B32" s="54">
        <v>28</v>
      </c>
      <c r="C32" s="55" t="s">
        <v>48</v>
      </c>
      <c r="D32" s="55">
        <v>2</v>
      </c>
      <c r="E32" s="50">
        <f>오프_판매가!E31</f>
        <v>11271</v>
      </c>
      <c r="F32" s="50">
        <v>150</v>
      </c>
      <c r="G32" s="64">
        <f>ROUND((10 - $C$3)*(표6_238[[#This Row],[원가]]+표5_59[[#This Row],[택배비]])/(-11*표5_59[[#This Row],[마진율]]+(10-$C$3)*(1-$G$3)), -1)+표6_238[[#This Row],[추가]]</f>
        <v>18890</v>
      </c>
      <c r="H32" s="50">
        <f>ROUND((10 - $C$3)*(표6_238[[#This Row],[원가]]+표5_59[[#This Row],[택배비]])/(-11*표5_59[[#This Row],[마진율]]+(10-$C$3)*(1-$H$3)), -1)</f>
        <v>20090</v>
      </c>
      <c r="I32" s="50"/>
      <c r="J32" s="50">
        <f>ROUND((10 - $C$3)*(표6_238[[#This Row],[원가]]+표5_59[[#This Row],[택배비]])/(-11*표5_59[[#This Row],[마진율]]+(10-$C$3)*(1-$J$3)), -1)+표6_238[[#This Row],[추가3]]</f>
        <v>20380</v>
      </c>
      <c r="K32" s="50">
        <f>ROUND((10 - $C$3)*(표6_238[[#This Row],[원가]]+표5_59[[#This Row],[택배비]])/(-11*표5_59[[#This Row],[마진율]]+(10-$C$3)*(1-$K$3)), -1)</f>
        <v>20680</v>
      </c>
      <c r="L32" s="50">
        <f>ROUND((10 - $C$3)*(표6_238[[#This Row],[원가]]+표5_59[[#This Row],[택배비]])/(-11*표5_59[[#This Row],[마진율]]+(10-$C$3)*(1-$L$3)), -1)</f>
        <v>20990</v>
      </c>
      <c r="N32" s="56">
        <v>2750</v>
      </c>
      <c r="O32" s="56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3589.8763636363633</v>
      </c>
      <c r="P32" s="56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3718.6036363636358</v>
      </c>
      <c r="Q32" s="56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3771.0545454545454</v>
      </c>
      <c r="R32" s="56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3826.2109090909089</v>
      </c>
      <c r="S32" s="56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3883.8109090909097</v>
      </c>
      <c r="T32" s="57">
        <v>0.185</v>
      </c>
      <c r="U32" s="58" t="s">
        <v>60</v>
      </c>
      <c r="W32" s="25">
        <v>15820</v>
      </c>
      <c r="X32" s="25">
        <f>표6_238[[#This Row],[신규가]]-W32</f>
        <v>3070</v>
      </c>
      <c r="Y32" s="25">
        <v>16960</v>
      </c>
      <c r="Z32" s="25">
        <f>표6_238[[#This Row],[신규가2]]-Y32</f>
        <v>3130</v>
      </c>
      <c r="AA32" s="25">
        <v>17210</v>
      </c>
      <c r="AB32" s="25">
        <f>표6_238[[#This Row],[신규가3]]-AA32</f>
        <v>3170</v>
      </c>
      <c r="AC32" s="25">
        <v>17470</v>
      </c>
      <c r="AD32" s="25">
        <f>표6_238[[#This Row],[신규가4]]-AC32</f>
        <v>3210</v>
      </c>
      <c r="AE32" s="25">
        <v>17730</v>
      </c>
      <c r="AF32" s="25">
        <f>표6_238[[#This Row],[신규가5]]-AE32</f>
        <v>3260</v>
      </c>
    </row>
    <row r="33" spans="2:32" s="25" customFormat="1" ht="13.2" x14ac:dyDescent="0.4">
      <c r="B33" s="54">
        <v>29</v>
      </c>
      <c r="C33" s="55" t="s">
        <v>49</v>
      </c>
      <c r="D33" s="55">
        <v>3</v>
      </c>
      <c r="E33" s="50">
        <f>오프_판매가!E32</f>
        <v>8987</v>
      </c>
      <c r="F33" s="50">
        <v>180</v>
      </c>
      <c r="G33" s="64">
        <f>ROUND((10 - $C$3)*(표6_238[[#This Row],[원가]]+표5_59[[#This Row],[택배비]])/(-11*표5_59[[#This Row],[마진율]]+(10-$C$3)*(1-$G$3)), -1)+표6_238[[#This Row],[추가]]</f>
        <v>15990</v>
      </c>
      <c r="H33" s="50">
        <f>ROUND((10 - $C$3)*(표6_238[[#This Row],[원가]]+표5_59[[#This Row],[택배비]])/(-11*표5_59[[#This Row],[마진율]]+(10-$C$3)*(1-$H$3)), -1)</f>
        <v>16950</v>
      </c>
      <c r="I33" s="50"/>
      <c r="J33" s="50">
        <f>ROUND((10 - $C$3)*(표6_238[[#This Row],[원가]]+표5_59[[#This Row],[택배비]])/(-11*표5_59[[#This Row],[마진율]]+(10-$C$3)*(1-$J$3)), -1)+표6_238[[#This Row],[추가3]]</f>
        <v>17200</v>
      </c>
      <c r="K33" s="50">
        <f>ROUND((10 - $C$3)*(표6_238[[#This Row],[원가]]+표5_59[[#This Row],[택배비]])/(-11*표5_59[[#This Row],[마진율]]+(10-$C$3)*(1-$K$3)), -1)</f>
        <v>17460</v>
      </c>
      <c r="L33" s="50">
        <f>ROUND((10 - $C$3)*(표6_238[[#This Row],[원가]]+표5_59[[#This Row],[택배비]])/(-11*표5_59[[#This Row],[마진율]]+(10-$C$3)*(1-$L$3)), -1)</f>
        <v>17720</v>
      </c>
      <c r="N33" s="56">
        <v>2750</v>
      </c>
      <c r="O33" s="56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3153.5127272727273</v>
      </c>
      <c r="P33" s="56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3218.181818181818</v>
      </c>
      <c r="Q33" s="56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3266.6181818181822</v>
      </c>
      <c r="R33" s="56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3318.4581818181823</v>
      </c>
      <c r="S33" s="56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3365.76</v>
      </c>
      <c r="T33" s="57">
        <v>0.19</v>
      </c>
      <c r="U33" s="58" t="s">
        <v>60</v>
      </c>
      <c r="W33" s="25">
        <v>16410</v>
      </c>
      <c r="X33" s="25">
        <f>표6_238[[#This Row],[신규가]]-W33</f>
        <v>-420</v>
      </c>
      <c r="Y33" s="25">
        <v>17590</v>
      </c>
      <c r="Z33" s="25">
        <f>표6_238[[#This Row],[신규가2]]-Y33</f>
        <v>-640</v>
      </c>
      <c r="AA33" s="25">
        <v>17850</v>
      </c>
      <c r="AB33" s="25">
        <f>표6_238[[#This Row],[신규가3]]-AA33</f>
        <v>-650</v>
      </c>
      <c r="AC33" s="25">
        <v>18120</v>
      </c>
      <c r="AD33" s="25">
        <f>표6_238[[#This Row],[신규가4]]-AC33</f>
        <v>-660</v>
      </c>
      <c r="AE33" s="25">
        <v>18390</v>
      </c>
      <c r="AF33" s="25">
        <f>표6_238[[#This Row],[신규가5]]-AE33</f>
        <v>-670</v>
      </c>
    </row>
    <row r="34" spans="2:32" x14ac:dyDescent="0.4">
      <c r="B34" s="54">
        <v>30</v>
      </c>
      <c r="C34" s="55" t="s">
        <v>50</v>
      </c>
      <c r="D34" s="55">
        <v>3</v>
      </c>
      <c r="E34" s="50">
        <f>오프_판매가!E33</f>
        <v>9426</v>
      </c>
      <c r="F34" s="50">
        <v>90</v>
      </c>
      <c r="G34" s="64">
        <f>ROUND((10 - $C$3)*(표6_238[[#This Row],[원가]]+표5_59[[#This Row],[택배비]])/(-11*표5_59[[#This Row],[마진율]]+(10-$C$3)*(1-$G$3)), -1)+표6_238[[#This Row],[추가]]</f>
        <v>16490</v>
      </c>
      <c r="H34" s="50">
        <f>ROUND((10 - $C$3)*(표6_238[[#This Row],[원가]]+표5_59[[#This Row],[택배비]])/(-11*표5_59[[#This Row],[마진율]]+(10-$C$3)*(1-$H$3)), -1)</f>
        <v>17590</v>
      </c>
      <c r="I34" s="50"/>
      <c r="J34" s="50">
        <f>ROUND((10 - $C$3)*(표6_238[[#This Row],[원가]]+표5_59[[#This Row],[택배비]])/(-11*표5_59[[#This Row],[마진율]]+(10-$C$3)*(1-$J$3)), -1)+표6_238[[#This Row],[추가3]]</f>
        <v>17850</v>
      </c>
      <c r="K34" s="50">
        <f>ROUND((10 - $C$3)*(표6_238[[#This Row],[원가]]+표5_59[[#This Row],[택배비]])/(-11*표5_59[[#This Row],[마진율]]+(10-$C$3)*(1-$K$3)), -1)</f>
        <v>18110</v>
      </c>
      <c r="L34" s="50">
        <f>ROUND((10 - $C$3)*(표6_238[[#This Row],[원가]]+표5_59[[#This Row],[택배비]])/(-11*표5_59[[#This Row],[마진율]]+(10-$C$3)*(1-$L$3)), -1)</f>
        <v>18380</v>
      </c>
      <c r="N34" s="56">
        <v>2750</v>
      </c>
      <c r="O34" s="56">
        <f>표6_238[[#This Row],[신규가]]-표6_238[[#This Row],[원가]]-표5_59[[#This Row],[택배비]]-표6_238[[#This Row],[신규가]]*G$3-(표6_238[[#This Row],[신규가]]-표6_238[[#This Row],[원가]]-표6_238[[#This Row],[신규가]]*G$3-표5_59[[#This Row],[택배비]])/11-((표6_238[[#This Row],[신규가]]-표6_238[[#This Row],[원가]]-표6_238[[#This Row],[신규가]]*G$3-표5_59[[#This Row],[택배비]])/11)*$C$3</f>
        <v>3189.2945454545456</v>
      </c>
      <c r="P34" s="56">
        <f>표6_238[[#This Row],[신규가2]]-표6_238[[#This Row],[원가]]-표5_59[[#This Row],[택배비]]-표6_238[[#This Row],[신규가2]]*H$3-(표6_238[[#This Row],[신규가2]]-표6_238[[#This Row],[원가]]-표6_238[[#This Row],[신규가2]]*H$3-표5_59[[#This Row],[택배비]])/11-((표6_238[[#This Row],[신규가2]]-표6_238[[#This Row],[원가]]-표6_238[[#This Row],[신규가2]]*H$3-표5_59[[#This Row],[택배비]])/11)*$C$3</f>
        <v>3343.3309090909092</v>
      </c>
      <c r="Q34" s="56">
        <f>표6_238[[#This Row],[신규가3]]-표6_238[[#This Row],[원가]]-표5_59[[#This Row],[택배비]]-표6_238[[#This Row],[신규가3]]*J$3-(표6_238[[#This Row],[신규가3]]-표6_238[[#This Row],[원가]]-표6_238[[#This Row],[신규가3]]*J$3-표5_59[[#This Row],[택배비]])/11-((표6_238[[#This Row],[신규가3]]-표6_238[[#This Row],[원가]]-표6_238[[#This Row],[신규가3]]*J$3-표5_59[[#This Row],[택배비]])/11)*$C$3</f>
        <v>3394.0363636363636</v>
      </c>
      <c r="R34" s="56">
        <f>표6_238[[#This Row],[신규가4]]-표6_238[[#This Row],[원가]]-표5_59[[#This Row],[택배비]]-표6_238[[#This Row],[신규가4]]*K$3-(표6_238[[#This Row],[신규가4]]-표6_238[[#This Row],[원가]]-표6_238[[#This Row],[신규가4]]*K$3-표5_59[[#This Row],[택배비]])/11-((표6_238[[#This Row],[신규가4]]-표6_238[[#This Row],[원가]]-표6_238[[#This Row],[신규가4]]*K$3-표5_59[[#This Row],[택배비]])/11)*$C$3</f>
        <v>3440.2036363636362</v>
      </c>
      <c r="S34" s="56">
        <f>표6_238[[#This Row],[신규가5]]-표6_238[[#This Row],[원가]]-표5_59[[#This Row],[택배비]]-표6_238[[#This Row],[신규가5]]*L$3-(표6_238[[#This Row],[신규가5]]-표6_238[[#This Row],[원가]]-표6_238[[#This Row],[신규가5]]*L$3-표5_59[[#This Row],[택배비]])/11-((표6_238[[#This Row],[신규가5]]-표6_238[[#This Row],[원가]]-표6_238[[#This Row],[신규가5]]*L$3-표5_59[[#This Row],[택배비]])/11)*$C$3</f>
        <v>3489.5127272727273</v>
      </c>
      <c r="T34" s="57">
        <v>0.19</v>
      </c>
      <c r="U34" s="58" t="s">
        <v>60</v>
      </c>
    </row>
    <row r="35" spans="2:32" x14ac:dyDescent="0.4">
      <c r="L35" s="1"/>
    </row>
    <row r="36" spans="2:32" x14ac:dyDescent="0.4">
      <c r="C36">
        <f>20000*0.0125</f>
        <v>250</v>
      </c>
      <c r="E36">
        <f>20380/11*10</f>
        <v>18527.272727272728</v>
      </c>
    </row>
  </sheetData>
  <mergeCells count="1">
    <mergeCell ref="B2:L2"/>
  </mergeCells>
  <phoneticPr fontId="1" type="noConversion"/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X49"/>
  <sheetViews>
    <sheetView zoomScale="130" zoomScaleNormal="130" workbookViewId="0">
      <pane ySplit="4" topLeftCell="A44" activePane="bottomLeft" state="frozen"/>
      <selection pane="bottomLeft" activeCell="Q37" sqref="Q37"/>
    </sheetView>
  </sheetViews>
  <sheetFormatPr defaultColWidth="8.69921875" defaultRowHeight="13.2" x14ac:dyDescent="0.4"/>
  <cols>
    <col min="1" max="1" width="2.69921875" style="67" customWidth="1"/>
    <col min="2" max="2" width="3.19921875" style="67" bestFit="1" customWidth="1"/>
    <col min="3" max="3" width="6" style="67" bestFit="1" customWidth="1"/>
    <col min="4" max="4" width="4.5" style="67" bestFit="1" customWidth="1"/>
    <col min="5" max="5" width="6.69921875" style="67" bestFit="1" customWidth="1"/>
    <col min="6" max="6" width="6.59765625" style="67" bestFit="1" customWidth="1"/>
    <col min="7" max="7" width="6" style="67" bestFit="1" customWidth="1"/>
    <col min="8" max="9" width="6.69921875" style="67" bestFit="1" customWidth="1"/>
    <col min="10" max="11" width="6" style="67" bestFit="1" customWidth="1"/>
    <col min="12" max="12" width="7.5" style="67" bestFit="1" customWidth="1"/>
    <col min="13" max="13" width="6.5" style="67" bestFit="1" customWidth="1"/>
    <col min="14" max="14" width="3.59765625" style="67" customWidth="1"/>
    <col min="15" max="15" width="3.19921875" style="67" bestFit="1" customWidth="1"/>
    <col min="16" max="16" width="6" style="67" bestFit="1" customWidth="1"/>
    <col min="17" max="17" width="4.5" style="67" bestFit="1" customWidth="1"/>
    <col min="18" max="18" width="6.69921875" style="67" bestFit="1" customWidth="1"/>
    <col min="19" max="19" width="5.69921875" style="67" bestFit="1" customWidth="1"/>
    <col min="20" max="20" width="6" style="67" bestFit="1" customWidth="1"/>
    <col min="21" max="21" width="6.69921875" style="67" bestFit="1" customWidth="1"/>
    <col min="22" max="23" width="6" style="67" bestFit="1" customWidth="1"/>
    <col min="24" max="24" width="7.5" style="67" bestFit="1" customWidth="1"/>
    <col min="25" max="16384" width="8.69921875" style="67"/>
  </cols>
  <sheetData>
    <row r="2" spans="2:24" ht="30" x14ac:dyDescent="0.4">
      <c r="B2" s="101" t="s">
        <v>175</v>
      </c>
      <c r="C2" s="101"/>
      <c r="D2" s="101"/>
      <c r="E2" s="101"/>
      <c r="F2" s="101"/>
    </row>
    <row r="3" spans="2:24" x14ac:dyDescent="0.4">
      <c r="B3" s="95" t="s">
        <v>183</v>
      </c>
      <c r="C3" s="95"/>
      <c r="D3" s="67">
        <v>0.1</v>
      </c>
      <c r="E3" s="67" t="s">
        <v>184</v>
      </c>
      <c r="F3" s="67">
        <v>0.4</v>
      </c>
    </row>
    <row r="4" spans="2:24" x14ac:dyDescent="0.4">
      <c r="B4" s="102" t="s">
        <v>197</v>
      </c>
      <c r="C4" s="102"/>
      <c r="D4" s="102"/>
      <c r="E4" s="102"/>
      <c r="F4" s="102"/>
      <c r="G4" s="102"/>
      <c r="H4" s="102"/>
      <c r="I4" s="102"/>
      <c r="J4" s="102"/>
      <c r="K4" s="68"/>
      <c r="L4" s="68"/>
      <c r="M4" s="68"/>
      <c r="N4" s="68"/>
    </row>
    <row r="5" spans="2:24" ht="17.399999999999999" x14ac:dyDescent="0.4">
      <c r="B5" s="97" t="s">
        <v>214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9"/>
      <c r="N5" s="68"/>
      <c r="O5" s="93" t="s">
        <v>243</v>
      </c>
      <c r="P5" s="94"/>
      <c r="Q5" s="94"/>
      <c r="R5" s="94"/>
      <c r="S5" s="94"/>
      <c r="T5" s="94"/>
      <c r="U5" s="94"/>
      <c r="V5" s="94"/>
      <c r="W5" s="94"/>
      <c r="X5" s="94"/>
    </row>
    <row r="6" spans="2:24" x14ac:dyDescent="0.4">
      <c r="B6" s="104" t="s">
        <v>209</v>
      </c>
      <c r="C6" s="104"/>
      <c r="D6" s="104"/>
      <c r="E6" s="105" t="s">
        <v>211</v>
      </c>
      <c r="F6" s="105"/>
      <c r="G6" s="105"/>
      <c r="H6" s="105"/>
      <c r="I6" s="105"/>
      <c r="J6" s="105"/>
      <c r="K6" s="105"/>
      <c r="L6" s="104" t="s">
        <v>210</v>
      </c>
      <c r="M6" s="104"/>
      <c r="N6" s="68"/>
      <c r="O6" s="80" t="s">
        <v>21</v>
      </c>
      <c r="P6" s="80" t="s">
        <v>186</v>
      </c>
      <c r="Q6" s="80" t="s">
        <v>31</v>
      </c>
      <c r="R6" s="80" t="s">
        <v>188</v>
      </c>
      <c r="S6" s="80" t="s">
        <v>199</v>
      </c>
      <c r="T6" s="80" t="s">
        <v>35</v>
      </c>
      <c r="U6" s="80" t="s">
        <v>190</v>
      </c>
      <c r="V6" s="80" t="s">
        <v>64</v>
      </c>
      <c r="W6" s="80" t="s">
        <v>191</v>
      </c>
      <c r="X6" s="80" t="s">
        <v>200</v>
      </c>
    </row>
    <row r="7" spans="2:24" x14ac:dyDescent="0.4">
      <c r="B7" s="104" t="s">
        <v>215</v>
      </c>
      <c r="C7" s="104"/>
      <c r="D7" s="104"/>
      <c r="E7" s="105" t="s">
        <v>244</v>
      </c>
      <c r="F7" s="105"/>
      <c r="G7" s="105"/>
      <c r="H7" s="105"/>
      <c r="I7" s="105"/>
      <c r="J7" s="105"/>
      <c r="K7" s="105"/>
      <c r="L7" s="104" t="s">
        <v>208</v>
      </c>
      <c r="M7" s="104"/>
      <c r="N7" s="68"/>
      <c r="O7" s="77">
        <v>1</v>
      </c>
      <c r="P7" s="73" t="s">
        <v>228</v>
      </c>
      <c r="Q7" s="73">
        <v>10</v>
      </c>
      <c r="R7" s="87">
        <v>19680</v>
      </c>
      <c r="S7" s="79">
        <v>0.17136605189121601</v>
      </c>
      <c r="T7" s="87">
        <v>3150</v>
      </c>
      <c r="U7" s="86">
        <f t="shared" ref="U7:U22" si="0">ROUND((10-$F$3)*(R7+T7)/(-11*S7+(10-$F$3)*(1-$D$3)), -2)</f>
        <v>32400</v>
      </c>
      <c r="V7" s="87">
        <f>U7*$D$3</f>
        <v>3240</v>
      </c>
      <c r="W7" s="87">
        <f t="shared" ref="W7:W22" si="1">U7-R7-T7-V7</f>
        <v>6330</v>
      </c>
      <c r="X7" s="88">
        <f>W7/U7</f>
        <v>0.19537037037037036</v>
      </c>
    </row>
    <row r="8" spans="2:24" ht="17.399999999999999" x14ac:dyDescent="0.4">
      <c r="B8" s="93" t="s">
        <v>192</v>
      </c>
      <c r="C8" s="94"/>
      <c r="D8" s="94"/>
      <c r="E8" s="94"/>
      <c r="F8" s="94"/>
      <c r="G8" s="94"/>
      <c r="H8" s="94"/>
      <c r="I8" s="94"/>
      <c r="J8" s="94"/>
      <c r="K8" s="94"/>
      <c r="L8" s="94"/>
      <c r="M8" s="100"/>
      <c r="O8" s="77">
        <v>2</v>
      </c>
      <c r="P8" s="73" t="s">
        <v>229</v>
      </c>
      <c r="Q8" s="73">
        <v>24</v>
      </c>
      <c r="R8" s="87">
        <v>17046</v>
      </c>
      <c r="S8" s="79">
        <v>0.18006968641114982</v>
      </c>
      <c r="T8" s="87">
        <v>3150</v>
      </c>
      <c r="U8" s="86">
        <f t="shared" si="0"/>
        <v>29100</v>
      </c>
      <c r="V8" s="87">
        <f>U8*$D$3</f>
        <v>2910</v>
      </c>
      <c r="W8" s="87">
        <f t="shared" si="1"/>
        <v>5994</v>
      </c>
      <c r="X8" s="88">
        <f>W8/U8</f>
        <v>0.20597938144329897</v>
      </c>
    </row>
    <row r="9" spans="2:24" x14ac:dyDescent="0.4">
      <c r="B9" s="80" t="s">
        <v>185</v>
      </c>
      <c r="C9" s="80" t="s">
        <v>186</v>
      </c>
      <c r="D9" s="80" t="s">
        <v>187</v>
      </c>
      <c r="E9" s="80" t="s">
        <v>188</v>
      </c>
      <c r="F9" s="80" t="s">
        <v>199</v>
      </c>
      <c r="G9" s="80" t="s">
        <v>189</v>
      </c>
      <c r="H9" s="80" t="s">
        <v>204</v>
      </c>
      <c r="I9" s="80" t="s">
        <v>190</v>
      </c>
      <c r="J9" s="80" t="s">
        <v>198</v>
      </c>
      <c r="K9" s="80" t="s">
        <v>191</v>
      </c>
      <c r="L9" s="80" t="s">
        <v>200</v>
      </c>
      <c r="M9" s="80">
        <v>19800</v>
      </c>
      <c r="O9" s="77">
        <v>3</v>
      </c>
      <c r="P9" s="73" t="s">
        <v>230</v>
      </c>
      <c r="Q9" s="73">
        <v>30</v>
      </c>
      <c r="R9" s="87">
        <v>12248</v>
      </c>
      <c r="S9" s="79">
        <v>0.17060505002382087</v>
      </c>
      <c r="T9" s="87">
        <v>2750</v>
      </c>
      <c r="U9" s="86">
        <f t="shared" si="0"/>
        <v>21300</v>
      </c>
      <c r="V9" s="87">
        <f>U9*$D$3</f>
        <v>2130</v>
      </c>
      <c r="W9" s="87">
        <f t="shared" si="1"/>
        <v>4172</v>
      </c>
      <c r="X9" s="88">
        <f>W9/U9</f>
        <v>0.19586854460093897</v>
      </c>
    </row>
    <row r="10" spans="2:24" x14ac:dyDescent="0.4">
      <c r="B10" s="71">
        <v>1</v>
      </c>
      <c r="C10" s="72" t="s">
        <v>193</v>
      </c>
      <c r="D10" s="73">
        <v>2</v>
      </c>
      <c r="E10" s="74">
        <f>E11/3*D10</f>
        <v>8165.333333333333</v>
      </c>
      <c r="F10" s="75">
        <v>0.193</v>
      </c>
      <c r="G10" s="74">
        <v>2250</v>
      </c>
      <c r="H10" s="74">
        <f>ROUND((E11-G11)/3*2+G10, -2)</f>
        <v>8600</v>
      </c>
      <c r="I10" s="82">
        <f t="shared" ref="I10:I20" si="2">ROUND((10-$F$3)*(E10+G10)/(-11*F10+(10-$F$3)*(1-$D$3)), -2)</f>
        <v>15300</v>
      </c>
      <c r="J10" s="74">
        <f t="shared" ref="J10:J20" si="3">I10*$D$3</f>
        <v>1530</v>
      </c>
      <c r="K10" s="74">
        <f>I10-E10-G10-J10</f>
        <v>3354.666666666667</v>
      </c>
      <c r="L10" s="76">
        <f t="shared" ref="L10:L20" si="4">K10/I10</f>
        <v>0.21925925925925929</v>
      </c>
      <c r="M10" s="83">
        <f>I10-$M$9</f>
        <v>-4500</v>
      </c>
      <c r="N10" s="69"/>
      <c r="O10" s="77">
        <v>4</v>
      </c>
      <c r="P10" s="73" t="s">
        <v>231</v>
      </c>
      <c r="Q10" s="73">
        <v>30</v>
      </c>
      <c r="R10" s="87">
        <v>14190</v>
      </c>
      <c r="S10" s="79">
        <v>0.17999188311688311</v>
      </c>
      <c r="T10" s="87">
        <v>3150</v>
      </c>
      <c r="U10" s="86">
        <f t="shared" si="0"/>
        <v>25000</v>
      </c>
      <c r="V10" s="87">
        <f>U10*$D$3</f>
        <v>2500</v>
      </c>
      <c r="W10" s="87">
        <f t="shared" si="1"/>
        <v>5160</v>
      </c>
      <c r="X10" s="88">
        <f>W10/U10</f>
        <v>0.2064</v>
      </c>
    </row>
    <row r="11" spans="2:24" x14ac:dyDescent="0.4">
      <c r="B11" s="71">
        <v>2</v>
      </c>
      <c r="C11" s="72" t="s">
        <v>74</v>
      </c>
      <c r="D11" s="73">
        <v>3</v>
      </c>
      <c r="E11" s="74">
        <v>12248</v>
      </c>
      <c r="F11" s="75">
        <v>0.17460000000000001</v>
      </c>
      <c r="G11" s="74">
        <v>2750</v>
      </c>
      <c r="H11" s="74">
        <v>0</v>
      </c>
      <c r="I11" s="82">
        <f>ROUND((10-$F$3)*(E11+G11)/(-11*F11+(10-$F$3)*(1-$D$3)), -2)</f>
        <v>21400</v>
      </c>
      <c r="J11" s="74">
        <f t="shared" si="3"/>
        <v>2140</v>
      </c>
      <c r="K11" s="74">
        <f>I11-E11-G11-J11</f>
        <v>4262</v>
      </c>
      <c r="L11" s="76">
        <f>K11/I11</f>
        <v>0.1991588785046729</v>
      </c>
      <c r="M11" s="83">
        <f t="shared" ref="M11:M21" si="5">I11-$M$9</f>
        <v>1600</v>
      </c>
      <c r="N11" s="69"/>
      <c r="O11" s="77">
        <v>5</v>
      </c>
      <c r="P11" s="73" t="s">
        <v>232</v>
      </c>
      <c r="Q11" s="73">
        <v>30</v>
      </c>
      <c r="R11" s="87">
        <v>14190</v>
      </c>
      <c r="S11" s="79">
        <v>0.17999188311688311</v>
      </c>
      <c r="T11" s="87">
        <v>3150</v>
      </c>
      <c r="U11" s="86">
        <f t="shared" si="0"/>
        <v>25000</v>
      </c>
      <c r="V11" s="87">
        <f t="shared" ref="V11:V22" si="6">U11*$D$3</f>
        <v>2500</v>
      </c>
      <c r="W11" s="87">
        <f t="shared" si="1"/>
        <v>5160</v>
      </c>
      <c r="X11" s="88">
        <f t="shared" ref="X11:X22" si="7">W11/U11</f>
        <v>0.2064</v>
      </c>
    </row>
    <row r="12" spans="2:24" x14ac:dyDescent="0.4">
      <c r="B12" s="71">
        <v>3</v>
      </c>
      <c r="C12" s="72" t="s">
        <v>194</v>
      </c>
      <c r="D12" s="73">
        <v>2</v>
      </c>
      <c r="E12" s="74">
        <f>E13/3*D12</f>
        <v>9460</v>
      </c>
      <c r="F12" s="75">
        <v>0.191</v>
      </c>
      <c r="G12" s="74">
        <v>2750</v>
      </c>
      <c r="H12" s="74">
        <f>ROUND((I13-G13)/3*2+G12, -2)</f>
        <v>17300</v>
      </c>
      <c r="I12" s="82">
        <f t="shared" si="2"/>
        <v>17900</v>
      </c>
      <c r="J12" s="74">
        <f t="shared" si="3"/>
        <v>1790</v>
      </c>
      <c r="K12" s="74">
        <f t="shared" ref="K12:K20" si="8">I12-E12-G12-J12</f>
        <v>3900</v>
      </c>
      <c r="L12" s="76">
        <f t="shared" si="4"/>
        <v>0.21787709497206703</v>
      </c>
      <c r="M12" s="83">
        <f t="shared" si="5"/>
        <v>-1900</v>
      </c>
      <c r="O12" s="77">
        <v>6</v>
      </c>
      <c r="P12" s="73" t="s">
        <v>233</v>
      </c>
      <c r="Q12" s="73">
        <v>30</v>
      </c>
      <c r="R12" s="87">
        <v>16044</v>
      </c>
      <c r="S12" s="79">
        <v>0.18013196480938418</v>
      </c>
      <c r="T12" s="87">
        <v>3150</v>
      </c>
      <c r="U12" s="86">
        <f t="shared" si="0"/>
        <v>27700</v>
      </c>
      <c r="V12" s="87">
        <f t="shared" si="6"/>
        <v>2770</v>
      </c>
      <c r="W12" s="87">
        <f t="shared" si="1"/>
        <v>5736</v>
      </c>
      <c r="X12" s="88">
        <f t="shared" si="7"/>
        <v>0.20707581227436822</v>
      </c>
    </row>
    <row r="13" spans="2:24" x14ac:dyDescent="0.4">
      <c r="B13" s="71">
        <v>4</v>
      </c>
      <c r="C13" s="72" t="s">
        <v>194</v>
      </c>
      <c r="D13" s="73">
        <v>3</v>
      </c>
      <c r="E13" s="74">
        <v>14190</v>
      </c>
      <c r="F13" s="75">
        <v>0.18</v>
      </c>
      <c r="G13" s="74">
        <v>3150</v>
      </c>
      <c r="H13" s="74">
        <v>0</v>
      </c>
      <c r="I13" s="82">
        <f>ROUND((10-$F$3)*(E13+G13)/(-11*F13+(10-$F$3)*(1-$D$3)), -2)</f>
        <v>25000</v>
      </c>
      <c r="J13" s="74">
        <f>I13*$D$3</f>
        <v>2500</v>
      </c>
      <c r="K13" s="74">
        <f>I13-E13-G13-J13</f>
        <v>5160</v>
      </c>
      <c r="L13" s="76">
        <f>K13/I13</f>
        <v>0.2064</v>
      </c>
      <c r="M13" s="83">
        <f t="shared" si="5"/>
        <v>5200</v>
      </c>
      <c r="O13" s="77">
        <v>7</v>
      </c>
      <c r="P13" s="73" t="s">
        <v>234</v>
      </c>
      <c r="Q13" s="73">
        <v>30</v>
      </c>
      <c r="R13" s="87">
        <v>16519</v>
      </c>
      <c r="S13" s="79">
        <v>0.18</v>
      </c>
      <c r="T13" s="87">
        <v>3150</v>
      </c>
      <c r="U13" s="86">
        <f t="shared" si="0"/>
        <v>28400</v>
      </c>
      <c r="V13" s="87">
        <f t="shared" si="6"/>
        <v>2840</v>
      </c>
      <c r="W13" s="87">
        <f t="shared" si="1"/>
        <v>5891</v>
      </c>
      <c r="X13" s="88">
        <f t="shared" si="7"/>
        <v>0.20742957746478874</v>
      </c>
    </row>
    <row r="14" spans="2:24" x14ac:dyDescent="0.4">
      <c r="B14" s="71">
        <v>5</v>
      </c>
      <c r="C14" s="72" t="s">
        <v>195</v>
      </c>
      <c r="D14" s="73">
        <v>2</v>
      </c>
      <c r="E14" s="74">
        <f>E15/3*D14</f>
        <v>9460</v>
      </c>
      <c r="F14" s="75">
        <v>0.191</v>
      </c>
      <c r="G14" s="74">
        <v>2750</v>
      </c>
      <c r="H14" s="74">
        <f>ROUND((I15-G15)/3*2+G14, -2)</f>
        <v>17300</v>
      </c>
      <c r="I14" s="82">
        <f t="shared" si="2"/>
        <v>17900</v>
      </c>
      <c r="J14" s="74">
        <f t="shared" si="3"/>
        <v>1790</v>
      </c>
      <c r="K14" s="74">
        <f t="shared" si="8"/>
        <v>3900</v>
      </c>
      <c r="L14" s="76">
        <f t="shared" si="4"/>
        <v>0.21787709497206703</v>
      </c>
      <c r="M14" s="83">
        <f t="shared" si="5"/>
        <v>-1900</v>
      </c>
      <c r="O14" s="77">
        <v>8</v>
      </c>
      <c r="P14" s="73" t="s">
        <v>235</v>
      </c>
      <c r="Q14" s="73">
        <v>30</v>
      </c>
      <c r="R14" s="87">
        <v>16906</v>
      </c>
      <c r="S14" s="79">
        <v>0.18003508771929824</v>
      </c>
      <c r="T14" s="87">
        <v>3150</v>
      </c>
      <c r="U14" s="86">
        <f t="shared" si="0"/>
        <v>28900</v>
      </c>
      <c r="V14" s="87">
        <f t="shared" si="6"/>
        <v>2890</v>
      </c>
      <c r="W14" s="87">
        <f t="shared" si="1"/>
        <v>5954</v>
      </c>
      <c r="X14" s="88">
        <f t="shared" si="7"/>
        <v>0.20602076124567473</v>
      </c>
    </row>
    <row r="15" spans="2:24" x14ac:dyDescent="0.4">
      <c r="B15" s="71">
        <v>6</v>
      </c>
      <c r="C15" s="72" t="s">
        <v>195</v>
      </c>
      <c r="D15" s="73">
        <v>3</v>
      </c>
      <c r="E15" s="74">
        <v>14190</v>
      </c>
      <c r="F15" s="75">
        <v>0.18</v>
      </c>
      <c r="G15" s="74">
        <v>3150</v>
      </c>
      <c r="H15" s="74">
        <v>0</v>
      </c>
      <c r="I15" s="82">
        <f>ROUND((10-$F$3)*(E15+G15)/(-11*F15+(10-$F$3)*(1-$D$3)), -2)</f>
        <v>25000</v>
      </c>
      <c r="J15" s="74">
        <f>I15*$D$3</f>
        <v>2500</v>
      </c>
      <c r="K15" s="74">
        <f>I15-E15-G15-J15</f>
        <v>5160</v>
      </c>
      <c r="L15" s="76">
        <f>K15/I15</f>
        <v>0.2064</v>
      </c>
      <c r="M15" s="83">
        <f t="shared" si="5"/>
        <v>5200</v>
      </c>
      <c r="O15" s="77">
        <v>9</v>
      </c>
      <c r="P15" s="73" t="s">
        <v>236</v>
      </c>
      <c r="Q15" s="73">
        <v>150</v>
      </c>
      <c r="R15" s="87">
        <v>11983</v>
      </c>
      <c r="S15" s="79">
        <v>0.18161029061457837</v>
      </c>
      <c r="T15" s="87">
        <v>2750</v>
      </c>
      <c r="U15" s="86">
        <f t="shared" si="0"/>
        <v>21300</v>
      </c>
      <c r="V15" s="87">
        <f t="shared" si="6"/>
        <v>2130</v>
      </c>
      <c r="W15" s="87">
        <f t="shared" si="1"/>
        <v>4437</v>
      </c>
      <c r="X15" s="88">
        <f t="shared" si="7"/>
        <v>0.20830985915492958</v>
      </c>
    </row>
    <row r="16" spans="2:24" x14ac:dyDescent="0.4">
      <c r="B16" s="71">
        <v>7</v>
      </c>
      <c r="C16" s="72" t="s">
        <v>201</v>
      </c>
      <c r="D16" s="73">
        <v>2</v>
      </c>
      <c r="E16" s="74">
        <f>E17/3*D16</f>
        <v>10696</v>
      </c>
      <c r="F16" s="75">
        <v>0.192</v>
      </c>
      <c r="G16" s="74">
        <v>2750</v>
      </c>
      <c r="H16" s="74">
        <f>ROUND((I17-G17)/3*2+G16, -2)</f>
        <v>19100</v>
      </c>
      <c r="I16" s="82">
        <f t="shared" si="2"/>
        <v>19800</v>
      </c>
      <c r="J16" s="74">
        <f t="shared" si="3"/>
        <v>1980</v>
      </c>
      <c r="K16" s="74">
        <f t="shared" si="8"/>
        <v>4374</v>
      </c>
      <c r="L16" s="76">
        <f t="shared" si="4"/>
        <v>0.22090909090909092</v>
      </c>
      <c r="M16" s="83">
        <f t="shared" si="5"/>
        <v>0</v>
      </c>
      <c r="O16" s="77">
        <v>10</v>
      </c>
      <c r="P16" s="73" t="s">
        <v>236</v>
      </c>
      <c r="Q16" s="73">
        <v>180</v>
      </c>
      <c r="R16" s="87">
        <v>13777</v>
      </c>
      <c r="S16" s="79">
        <v>0.1929553980825344</v>
      </c>
      <c r="T16" s="87">
        <v>2750</v>
      </c>
      <c r="U16" s="86">
        <f t="shared" si="0"/>
        <v>24300</v>
      </c>
      <c r="V16" s="87">
        <f t="shared" si="6"/>
        <v>2430</v>
      </c>
      <c r="W16" s="87">
        <f t="shared" si="1"/>
        <v>5343</v>
      </c>
      <c r="X16" s="88">
        <f t="shared" si="7"/>
        <v>0.21987654320987654</v>
      </c>
    </row>
    <row r="17" spans="2:24" x14ac:dyDescent="0.4">
      <c r="B17" s="71">
        <v>8</v>
      </c>
      <c r="C17" s="72" t="s">
        <v>201</v>
      </c>
      <c r="D17" s="73">
        <v>3</v>
      </c>
      <c r="E17" s="74">
        <v>16044</v>
      </c>
      <c r="F17" s="75">
        <v>0.18</v>
      </c>
      <c r="G17" s="74">
        <v>3150</v>
      </c>
      <c r="H17" s="74">
        <v>0</v>
      </c>
      <c r="I17" s="82">
        <f>ROUND((10-$F$3)*(E17+G17)/(-11*F17+(10-$F$3)*(1-$D$3)), -2)</f>
        <v>27700</v>
      </c>
      <c r="J17" s="74">
        <f>I17*$D$3</f>
        <v>2770</v>
      </c>
      <c r="K17" s="74">
        <f>I17-E17-G17-J17</f>
        <v>5736</v>
      </c>
      <c r="L17" s="76">
        <f>K17/I17</f>
        <v>0.20707581227436822</v>
      </c>
      <c r="M17" s="83">
        <f t="shared" si="5"/>
        <v>7900</v>
      </c>
      <c r="O17" s="77">
        <v>11</v>
      </c>
      <c r="P17" s="73" t="s">
        <v>237</v>
      </c>
      <c r="Q17" s="73">
        <v>200</v>
      </c>
      <c r="R17" s="87">
        <v>14963</v>
      </c>
      <c r="S17" s="79">
        <v>0.19315707620528771</v>
      </c>
      <c r="T17" s="87">
        <v>2750</v>
      </c>
      <c r="U17" s="86">
        <f t="shared" si="0"/>
        <v>26100</v>
      </c>
      <c r="V17" s="87">
        <f t="shared" si="6"/>
        <v>2610</v>
      </c>
      <c r="W17" s="87">
        <f t="shared" si="1"/>
        <v>5777</v>
      </c>
      <c r="X17" s="88">
        <f t="shared" si="7"/>
        <v>0.22134099616858238</v>
      </c>
    </row>
    <row r="18" spans="2:24" x14ac:dyDescent="0.4">
      <c r="B18" s="71">
        <v>9</v>
      </c>
      <c r="C18" s="72" t="s">
        <v>196</v>
      </c>
      <c r="D18" s="73">
        <v>2</v>
      </c>
      <c r="E18" s="74">
        <f>E19/3*D18</f>
        <v>11012.666666666666</v>
      </c>
      <c r="F18" s="75">
        <v>0.192</v>
      </c>
      <c r="G18" s="74">
        <v>2750</v>
      </c>
      <c r="H18" s="74">
        <f>ROUND((I19-G19)/3*2+G18, -2)</f>
        <v>19600</v>
      </c>
      <c r="I18" s="82">
        <f t="shared" si="2"/>
        <v>20200</v>
      </c>
      <c r="J18" s="74">
        <f t="shared" si="3"/>
        <v>2020</v>
      </c>
      <c r="K18" s="74">
        <f t="shared" si="8"/>
        <v>4417.3333333333339</v>
      </c>
      <c r="L18" s="76">
        <f t="shared" si="4"/>
        <v>0.2186798679867987</v>
      </c>
      <c r="M18" s="83">
        <f t="shared" si="5"/>
        <v>400</v>
      </c>
      <c r="O18" s="77">
        <v>12</v>
      </c>
      <c r="P18" s="73" t="s">
        <v>238</v>
      </c>
      <c r="Q18" s="73">
        <v>300</v>
      </c>
      <c r="R18" s="87">
        <v>21207</v>
      </c>
      <c r="S18" s="79">
        <v>0.19304197814836113</v>
      </c>
      <c r="T18" s="87">
        <v>2750</v>
      </c>
      <c r="U18" s="86">
        <f t="shared" si="0"/>
        <v>35300</v>
      </c>
      <c r="V18" s="87">
        <f t="shared" si="6"/>
        <v>3530</v>
      </c>
      <c r="W18" s="87">
        <f t="shared" si="1"/>
        <v>7813</v>
      </c>
      <c r="X18" s="88">
        <f t="shared" si="7"/>
        <v>0.2213314447592068</v>
      </c>
    </row>
    <row r="19" spans="2:24" x14ac:dyDescent="0.4">
      <c r="B19" s="71">
        <v>10</v>
      </c>
      <c r="C19" s="72" t="s">
        <v>196</v>
      </c>
      <c r="D19" s="73">
        <v>3</v>
      </c>
      <c r="E19" s="74">
        <v>16519</v>
      </c>
      <c r="F19" s="75">
        <v>0.18</v>
      </c>
      <c r="G19" s="74">
        <v>3150</v>
      </c>
      <c r="H19" s="74">
        <v>0</v>
      </c>
      <c r="I19" s="82">
        <f>ROUND((10-$F$3)*(E19+G19)/(-11*F19+(10-$F$3)*(1-$D$3)), -2)</f>
        <v>28400</v>
      </c>
      <c r="J19" s="74">
        <f>I19*$D$3</f>
        <v>2840</v>
      </c>
      <c r="K19" s="74">
        <f>I19-E19-G19-J19</f>
        <v>5891</v>
      </c>
      <c r="L19" s="76">
        <f>K19/I19</f>
        <v>0.20742957746478874</v>
      </c>
      <c r="M19" s="83">
        <f t="shared" si="5"/>
        <v>8600</v>
      </c>
      <c r="O19" s="77">
        <v>13</v>
      </c>
      <c r="P19" s="73" t="s">
        <v>239</v>
      </c>
      <c r="Q19" s="73">
        <v>150</v>
      </c>
      <c r="R19" s="87">
        <v>12568</v>
      </c>
      <c r="S19" s="79">
        <v>0.18181401740723774</v>
      </c>
      <c r="T19" s="87">
        <v>2750</v>
      </c>
      <c r="U19" s="86">
        <f t="shared" si="0"/>
        <v>22100</v>
      </c>
      <c r="V19" s="87">
        <f t="shared" si="6"/>
        <v>2210</v>
      </c>
      <c r="W19" s="87">
        <f t="shared" si="1"/>
        <v>4572</v>
      </c>
      <c r="X19" s="88">
        <f t="shared" si="7"/>
        <v>0.20687782805429863</v>
      </c>
    </row>
    <row r="20" spans="2:24" x14ac:dyDescent="0.4">
      <c r="B20" s="71">
        <v>11</v>
      </c>
      <c r="C20" s="72" t="s">
        <v>202</v>
      </c>
      <c r="D20" s="73">
        <v>2</v>
      </c>
      <c r="E20" s="74">
        <f>E21/3*D20</f>
        <v>11270.666666666666</v>
      </c>
      <c r="F20" s="75">
        <v>0.192</v>
      </c>
      <c r="G20" s="74">
        <v>2750</v>
      </c>
      <c r="H20" s="74">
        <f>ROUND((I21-G21)/3*2+G20, -2)</f>
        <v>19900</v>
      </c>
      <c r="I20" s="82">
        <f t="shared" si="2"/>
        <v>20600</v>
      </c>
      <c r="J20" s="74">
        <f t="shared" si="3"/>
        <v>2060</v>
      </c>
      <c r="K20" s="74">
        <f t="shared" si="8"/>
        <v>4519.3333333333339</v>
      </c>
      <c r="L20" s="76">
        <f t="shared" si="4"/>
        <v>0.21938511326860843</v>
      </c>
      <c r="M20" s="83">
        <f t="shared" si="5"/>
        <v>800</v>
      </c>
      <c r="O20" s="77">
        <v>14</v>
      </c>
      <c r="P20" s="73" t="s">
        <v>240</v>
      </c>
      <c r="Q20" s="73">
        <v>180</v>
      </c>
      <c r="R20" s="87">
        <v>14459</v>
      </c>
      <c r="S20" s="79">
        <v>0.19295436349079265</v>
      </c>
      <c r="T20" s="87">
        <v>2750</v>
      </c>
      <c r="U20" s="86">
        <f t="shared" si="0"/>
        <v>25300</v>
      </c>
      <c r="V20" s="87">
        <f t="shared" si="6"/>
        <v>2530</v>
      </c>
      <c r="W20" s="87">
        <f t="shared" si="1"/>
        <v>5561</v>
      </c>
      <c r="X20" s="88">
        <f t="shared" si="7"/>
        <v>0.21980237154150198</v>
      </c>
    </row>
    <row r="21" spans="2:24" x14ac:dyDescent="0.4">
      <c r="B21" s="71">
        <v>12</v>
      </c>
      <c r="C21" s="72" t="s">
        <v>202</v>
      </c>
      <c r="D21" s="73">
        <v>3</v>
      </c>
      <c r="E21" s="74">
        <v>16906</v>
      </c>
      <c r="F21" s="75">
        <v>0.18</v>
      </c>
      <c r="G21" s="74">
        <v>3150</v>
      </c>
      <c r="H21" s="74">
        <v>0</v>
      </c>
      <c r="I21" s="82">
        <f>ROUND((10-$F$3)*(E21+G21)/(-11*F21+(10-$F$3)*(1-$D$3)), -2)</f>
        <v>28900</v>
      </c>
      <c r="J21" s="74">
        <f>I21*$D$3</f>
        <v>2890</v>
      </c>
      <c r="K21" s="74">
        <f>I21-E21-G21-J21</f>
        <v>5954</v>
      </c>
      <c r="L21" s="76">
        <f>K21/I21</f>
        <v>0.20602076124567473</v>
      </c>
      <c r="M21" s="83">
        <f t="shared" si="5"/>
        <v>9100</v>
      </c>
      <c r="O21" s="77">
        <v>15</v>
      </c>
      <c r="P21" s="73" t="s">
        <v>241</v>
      </c>
      <c r="Q21" s="73">
        <v>200</v>
      </c>
      <c r="R21" s="87">
        <v>15710</v>
      </c>
      <c r="S21" s="79">
        <v>0.19302238805970148</v>
      </c>
      <c r="T21" s="87">
        <v>2750</v>
      </c>
      <c r="U21" s="86">
        <f t="shared" si="0"/>
        <v>27200</v>
      </c>
      <c r="V21" s="87">
        <f t="shared" si="6"/>
        <v>2720</v>
      </c>
      <c r="W21" s="87">
        <f t="shared" si="1"/>
        <v>6020</v>
      </c>
      <c r="X21" s="88">
        <f t="shared" si="7"/>
        <v>0.2213235294117647</v>
      </c>
    </row>
    <row r="22" spans="2:24" x14ac:dyDescent="0.4">
      <c r="O22" s="77">
        <v>16</v>
      </c>
      <c r="P22" s="73" t="s">
        <v>242</v>
      </c>
      <c r="Q22" s="73">
        <v>300</v>
      </c>
      <c r="R22" s="87">
        <v>21993</v>
      </c>
      <c r="S22" s="79">
        <v>0.19419283134203946</v>
      </c>
      <c r="T22" s="87">
        <v>2750</v>
      </c>
      <c r="U22" s="86">
        <f t="shared" si="0"/>
        <v>36500</v>
      </c>
      <c r="V22" s="87">
        <f t="shared" si="6"/>
        <v>3650</v>
      </c>
      <c r="W22" s="87">
        <f t="shared" si="1"/>
        <v>8107</v>
      </c>
      <c r="X22" s="88">
        <f t="shared" si="7"/>
        <v>0.2221095890410959</v>
      </c>
    </row>
    <row r="23" spans="2:24" x14ac:dyDescent="0.4">
      <c r="B23" s="103" t="s">
        <v>212</v>
      </c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</row>
    <row r="24" spans="2:24" x14ac:dyDescent="0.4">
      <c r="B24" s="103" t="s">
        <v>213</v>
      </c>
      <c r="C24" s="103"/>
      <c r="D24" s="103"/>
      <c r="E24" s="103" t="s">
        <v>245</v>
      </c>
      <c r="F24" s="103"/>
      <c r="G24" s="103"/>
      <c r="H24" s="103"/>
      <c r="I24" s="103"/>
      <c r="J24" s="103"/>
      <c r="K24" s="103"/>
      <c r="L24" s="103" t="s">
        <v>216</v>
      </c>
      <c r="M24" s="103"/>
    </row>
    <row r="25" spans="2:24" ht="17.399999999999999" x14ac:dyDescent="0.4">
      <c r="B25" s="96" t="s">
        <v>203</v>
      </c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</row>
    <row r="26" spans="2:24" x14ac:dyDescent="0.4">
      <c r="B26" s="80" t="s">
        <v>185</v>
      </c>
      <c r="C26" s="80" t="s">
        <v>186</v>
      </c>
      <c r="D26" s="80" t="s">
        <v>187</v>
      </c>
      <c r="E26" s="80" t="s">
        <v>188</v>
      </c>
      <c r="F26" s="80" t="s">
        <v>199</v>
      </c>
      <c r="G26" s="80" t="s">
        <v>189</v>
      </c>
      <c r="H26" s="80" t="s">
        <v>205</v>
      </c>
      <c r="I26" s="80" t="s">
        <v>190</v>
      </c>
      <c r="J26" s="80" t="s">
        <v>198</v>
      </c>
      <c r="K26" s="80" t="s">
        <v>191</v>
      </c>
      <c r="L26" s="80" t="s">
        <v>200</v>
      </c>
      <c r="M26" s="80">
        <v>24000</v>
      </c>
    </row>
    <row r="27" spans="2:24" x14ac:dyDescent="0.4">
      <c r="B27" s="71">
        <v>1</v>
      </c>
      <c r="C27" s="81" t="s">
        <v>135</v>
      </c>
      <c r="D27" s="73">
        <v>5</v>
      </c>
      <c r="E27" s="78">
        <f>$E$30/$D$30*D27</f>
        <v>9840</v>
      </c>
      <c r="F27" s="79">
        <v>0.18099999999999999</v>
      </c>
      <c r="G27" s="78">
        <v>2750</v>
      </c>
      <c r="H27" s="78">
        <f>ROUND(($I$30-$G$30)/10*D27+G27, -2)</f>
        <v>17400</v>
      </c>
      <c r="I27" s="84">
        <f>ROUND((10-$F$3)*(E27+G27)/(-11*F27+(10-$F$3)*(1-$D$3)), -2)</f>
        <v>18200</v>
      </c>
      <c r="J27" s="78">
        <f>I27*$D$3</f>
        <v>1820</v>
      </c>
      <c r="K27" s="78">
        <f>I27-E27-J27-G27</f>
        <v>3790</v>
      </c>
      <c r="L27" s="79">
        <f>K27/I27</f>
        <v>0.20824175824175825</v>
      </c>
      <c r="M27" s="85">
        <f>I27-$M$26</f>
        <v>-5800</v>
      </c>
    </row>
    <row r="28" spans="2:24" x14ac:dyDescent="0.4">
      <c r="B28" s="71">
        <v>2</v>
      </c>
      <c r="C28" s="81" t="s">
        <v>135</v>
      </c>
      <c r="D28" s="73">
        <v>6</v>
      </c>
      <c r="E28" s="78">
        <f>$E$30/$D$30*D28</f>
        <v>11808</v>
      </c>
      <c r="F28" s="79">
        <v>0.182</v>
      </c>
      <c r="G28" s="78">
        <v>2750</v>
      </c>
      <c r="H28" s="78">
        <f>ROUND(($I$30-$G$30)/10*D28+G28, -2)</f>
        <v>20400</v>
      </c>
      <c r="I28" s="84">
        <f>ROUND((10-$F$3)*(E28+G28)/(-11*F28+(10-$F$3)*(1-$D$3)), -2)</f>
        <v>21100</v>
      </c>
      <c r="J28" s="78">
        <f>I28*$D$3</f>
        <v>2110</v>
      </c>
      <c r="K28" s="78">
        <f>I28-E28-J28-G28</f>
        <v>4432</v>
      </c>
      <c r="L28" s="79">
        <f>K28/I28</f>
        <v>0.21004739336492892</v>
      </c>
      <c r="M28" s="85">
        <f>I28-$M$26</f>
        <v>-2900</v>
      </c>
    </row>
    <row r="29" spans="2:24" x14ac:dyDescent="0.4">
      <c r="B29" s="71">
        <v>3</v>
      </c>
      <c r="C29" s="81" t="s">
        <v>135</v>
      </c>
      <c r="D29" s="73">
        <v>7</v>
      </c>
      <c r="E29" s="78">
        <f>$E$30/$D$30*D29</f>
        <v>13776</v>
      </c>
      <c r="F29" s="79">
        <v>0.184</v>
      </c>
      <c r="G29" s="78">
        <v>2750</v>
      </c>
      <c r="H29" s="78">
        <f>ROUND(($I$30-$G$30)/10*D29+G29, -2)</f>
        <v>23300</v>
      </c>
      <c r="I29" s="84">
        <f>ROUND((10-$F$3)*(E29+G29)/(-11*F29+(10-$F$3)*(1-$D$3)), -2)</f>
        <v>24000</v>
      </c>
      <c r="J29" s="78">
        <f>I29*$D$3</f>
        <v>2400</v>
      </c>
      <c r="K29" s="78">
        <f>I29-E29-J29-G29</f>
        <v>5074</v>
      </c>
      <c r="L29" s="79">
        <f>K29/I29</f>
        <v>0.21141666666666667</v>
      </c>
      <c r="M29" s="85">
        <f>I29-$M$26</f>
        <v>0</v>
      </c>
    </row>
    <row r="30" spans="2:24" x14ac:dyDescent="0.4">
      <c r="B30" s="71">
        <v>4</v>
      </c>
      <c r="C30" s="81" t="s">
        <v>135</v>
      </c>
      <c r="D30" s="73">
        <v>10</v>
      </c>
      <c r="E30" s="78">
        <v>19680</v>
      </c>
      <c r="F30" s="79">
        <v>0.17299999999999999</v>
      </c>
      <c r="G30" s="78">
        <v>3150</v>
      </c>
      <c r="H30" s="78">
        <v>0</v>
      </c>
      <c r="I30" s="84">
        <f>ROUND((10-$F$3)*(E30+G30)/(-11*F30+(10-$F$3)*(1-$D$3)), -2)</f>
        <v>32500</v>
      </c>
      <c r="J30" s="78">
        <f>I30*$D$3</f>
        <v>3250</v>
      </c>
      <c r="K30" s="78">
        <f>I30-E30-J30-G30</f>
        <v>6420</v>
      </c>
      <c r="L30" s="79">
        <f>K30/I30</f>
        <v>0.19753846153846155</v>
      </c>
      <c r="M30" s="85">
        <f>I30-$M$26</f>
        <v>8500</v>
      </c>
    </row>
    <row r="32" spans="2:24" x14ac:dyDescent="0.4">
      <c r="B32" s="103" t="s">
        <v>217</v>
      </c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</row>
    <row r="33" spans="2:15" x14ac:dyDescent="0.4">
      <c r="B33" s="103" t="s">
        <v>218</v>
      </c>
      <c r="C33" s="103"/>
      <c r="D33" s="103"/>
      <c r="E33" s="103" t="s">
        <v>220</v>
      </c>
      <c r="F33" s="103"/>
      <c r="G33" s="103"/>
      <c r="H33" s="103"/>
      <c r="I33" s="103"/>
      <c r="J33" s="103"/>
      <c r="K33" s="103"/>
      <c r="L33" s="103" t="s">
        <v>221</v>
      </c>
      <c r="M33" s="103"/>
    </row>
    <row r="34" spans="2:15" x14ac:dyDescent="0.4">
      <c r="B34" s="103" t="s">
        <v>219</v>
      </c>
      <c r="C34" s="103"/>
      <c r="D34" s="103"/>
      <c r="E34" s="103" t="s">
        <v>246</v>
      </c>
      <c r="F34" s="103"/>
      <c r="G34" s="103"/>
      <c r="H34" s="103"/>
      <c r="I34" s="103"/>
      <c r="J34" s="103"/>
      <c r="K34" s="103"/>
      <c r="L34" s="103" t="s">
        <v>222</v>
      </c>
      <c r="M34" s="103"/>
    </row>
    <row r="35" spans="2:15" ht="17.399999999999999" x14ac:dyDescent="0.4">
      <c r="B35" s="96" t="s">
        <v>206</v>
      </c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</row>
    <row r="36" spans="2:15" x14ac:dyDescent="0.4">
      <c r="B36" s="80" t="s">
        <v>185</v>
      </c>
      <c r="C36" s="80" t="s">
        <v>186</v>
      </c>
      <c r="D36" s="80" t="s">
        <v>207</v>
      </c>
      <c r="E36" s="80" t="s">
        <v>188</v>
      </c>
      <c r="F36" s="80" t="s">
        <v>199</v>
      </c>
      <c r="G36" s="80" t="s">
        <v>189</v>
      </c>
      <c r="H36" s="80" t="s">
        <v>205</v>
      </c>
      <c r="I36" s="80" t="s">
        <v>190</v>
      </c>
      <c r="J36" s="80" t="s">
        <v>198</v>
      </c>
      <c r="K36" s="80" t="s">
        <v>191</v>
      </c>
      <c r="L36" s="80" t="s">
        <v>200</v>
      </c>
      <c r="M36" s="80">
        <v>21300</v>
      </c>
    </row>
    <row r="37" spans="2:15" x14ac:dyDescent="0.4">
      <c r="B37" s="71">
        <v>1</v>
      </c>
      <c r="C37" s="81" t="s">
        <v>120</v>
      </c>
      <c r="D37" s="73">
        <v>150</v>
      </c>
      <c r="E37" s="78">
        <v>11983</v>
      </c>
      <c r="F37" s="79">
        <v>0.18160000000000001</v>
      </c>
      <c r="G37" s="78">
        <v>2750</v>
      </c>
      <c r="H37" s="78">
        <v>0</v>
      </c>
      <c r="I37" s="84">
        <f t="shared" ref="I37:I42" si="9">ROUND((10-$F$3)*(E37+G37)/(-11*F37+(10-$F$3)*(1-$D$3)), -2)</f>
        <v>21300</v>
      </c>
      <c r="J37" s="78">
        <f t="shared" ref="J37:J42" si="10">I37*$D$3</f>
        <v>2130</v>
      </c>
      <c r="K37" s="78">
        <f t="shared" ref="K37:K42" si="11">I37-E37-J37-G37</f>
        <v>4437</v>
      </c>
      <c r="L37" s="79">
        <f t="shared" ref="L37:L42" si="12">K37/I37</f>
        <v>0.20830985915492958</v>
      </c>
      <c r="M37" s="85">
        <f t="shared" ref="M37:M42" si="13">I37-$M$36</f>
        <v>0</v>
      </c>
      <c r="O37" s="70"/>
    </row>
    <row r="38" spans="2:15" x14ac:dyDescent="0.4">
      <c r="B38" s="71">
        <v>2</v>
      </c>
      <c r="C38" s="81" t="s">
        <v>120</v>
      </c>
      <c r="D38" s="73">
        <v>180</v>
      </c>
      <c r="E38" s="78">
        <v>13777</v>
      </c>
      <c r="F38" s="79">
        <v>0.19</v>
      </c>
      <c r="G38" s="78">
        <v>2750</v>
      </c>
      <c r="H38" s="78">
        <v>0</v>
      </c>
      <c r="I38" s="84">
        <f t="shared" si="9"/>
        <v>24200</v>
      </c>
      <c r="J38" s="78">
        <f t="shared" si="10"/>
        <v>2420</v>
      </c>
      <c r="K38" s="78">
        <f t="shared" si="11"/>
        <v>5253</v>
      </c>
      <c r="L38" s="79">
        <f t="shared" si="12"/>
        <v>0.21706611570247933</v>
      </c>
      <c r="M38" s="85">
        <f t="shared" si="13"/>
        <v>2900</v>
      </c>
    </row>
    <row r="39" spans="2:15" x14ac:dyDescent="0.4">
      <c r="B39" s="71">
        <v>3</v>
      </c>
      <c r="C39" s="81" t="s">
        <v>120</v>
      </c>
      <c r="D39" s="73">
        <v>200</v>
      </c>
      <c r="E39" s="78">
        <v>14963</v>
      </c>
      <c r="F39" s="79">
        <v>0.19</v>
      </c>
      <c r="G39" s="78">
        <v>2750</v>
      </c>
      <c r="H39" s="78">
        <v>0</v>
      </c>
      <c r="I39" s="84">
        <f t="shared" si="9"/>
        <v>26000</v>
      </c>
      <c r="J39" s="78">
        <f t="shared" si="10"/>
        <v>2600</v>
      </c>
      <c r="K39" s="78">
        <f t="shared" si="11"/>
        <v>5687</v>
      </c>
      <c r="L39" s="79">
        <f t="shared" si="12"/>
        <v>0.21873076923076923</v>
      </c>
      <c r="M39" s="85">
        <f t="shared" si="13"/>
        <v>4700</v>
      </c>
    </row>
    <row r="40" spans="2:15" x14ac:dyDescent="0.4">
      <c r="B40" s="71">
        <v>4</v>
      </c>
      <c r="C40" s="81" t="s">
        <v>121</v>
      </c>
      <c r="D40" s="73">
        <v>150</v>
      </c>
      <c r="E40" s="78">
        <v>12568</v>
      </c>
      <c r="F40" s="79">
        <v>0.18160000000000001</v>
      </c>
      <c r="G40" s="78">
        <v>2750</v>
      </c>
      <c r="H40" s="78">
        <v>0</v>
      </c>
      <c r="I40" s="84">
        <f t="shared" si="9"/>
        <v>22100</v>
      </c>
      <c r="J40" s="78">
        <f t="shared" si="10"/>
        <v>2210</v>
      </c>
      <c r="K40" s="78">
        <f t="shared" si="11"/>
        <v>4572</v>
      </c>
      <c r="L40" s="79">
        <f t="shared" si="12"/>
        <v>0.20687782805429863</v>
      </c>
      <c r="M40" s="85">
        <f t="shared" si="13"/>
        <v>800</v>
      </c>
    </row>
    <row r="41" spans="2:15" x14ac:dyDescent="0.4">
      <c r="B41" s="71">
        <v>5</v>
      </c>
      <c r="C41" s="81" t="s">
        <v>121</v>
      </c>
      <c r="D41" s="73">
        <v>180</v>
      </c>
      <c r="E41" s="78">
        <v>14459</v>
      </c>
      <c r="F41" s="79">
        <v>0.19</v>
      </c>
      <c r="G41" s="78">
        <v>2750</v>
      </c>
      <c r="H41" s="78">
        <v>0</v>
      </c>
      <c r="I41" s="84">
        <f t="shared" si="9"/>
        <v>25200</v>
      </c>
      <c r="J41" s="78">
        <f t="shared" si="10"/>
        <v>2520</v>
      </c>
      <c r="K41" s="78">
        <f t="shared" si="11"/>
        <v>5471</v>
      </c>
      <c r="L41" s="79">
        <f t="shared" si="12"/>
        <v>0.2171031746031746</v>
      </c>
      <c r="M41" s="85">
        <f t="shared" si="13"/>
        <v>3900</v>
      </c>
    </row>
    <row r="42" spans="2:15" x14ac:dyDescent="0.4">
      <c r="B42" s="71">
        <v>6</v>
      </c>
      <c r="C42" s="81" t="s">
        <v>121</v>
      </c>
      <c r="D42" s="73">
        <v>200</v>
      </c>
      <c r="E42" s="78">
        <v>15710</v>
      </c>
      <c r="F42" s="79">
        <v>0.19</v>
      </c>
      <c r="G42" s="78">
        <v>2750</v>
      </c>
      <c r="H42" s="78">
        <v>0</v>
      </c>
      <c r="I42" s="84">
        <f t="shared" si="9"/>
        <v>27100</v>
      </c>
      <c r="J42" s="78">
        <f t="shared" si="10"/>
        <v>2710</v>
      </c>
      <c r="K42" s="78">
        <f t="shared" si="11"/>
        <v>5930</v>
      </c>
      <c r="L42" s="79">
        <f t="shared" si="12"/>
        <v>0.21881918819188192</v>
      </c>
      <c r="M42" s="85">
        <f t="shared" si="13"/>
        <v>5800</v>
      </c>
    </row>
    <row r="44" spans="2:15" ht="17.399999999999999" x14ac:dyDescent="0.4">
      <c r="B44" s="96" t="s">
        <v>223</v>
      </c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</row>
    <row r="45" spans="2:15" x14ac:dyDescent="0.4">
      <c r="B45" s="80" t="s">
        <v>185</v>
      </c>
      <c r="C45" s="80" t="s">
        <v>186</v>
      </c>
      <c r="D45" s="80" t="s">
        <v>224</v>
      </c>
      <c r="E45" s="80" t="s">
        <v>188</v>
      </c>
      <c r="F45" s="80" t="s">
        <v>199</v>
      </c>
      <c r="G45" s="80" t="s">
        <v>189</v>
      </c>
      <c r="H45" s="80" t="s">
        <v>205</v>
      </c>
      <c r="I45" s="80" t="s">
        <v>190</v>
      </c>
      <c r="J45" s="80" t="s">
        <v>198</v>
      </c>
      <c r="K45" s="80" t="s">
        <v>191</v>
      </c>
      <c r="L45" s="80" t="s">
        <v>200</v>
      </c>
      <c r="M45" s="80">
        <v>21300</v>
      </c>
    </row>
    <row r="46" spans="2:15" x14ac:dyDescent="0.4">
      <c r="B46" s="77">
        <v>1</v>
      </c>
      <c r="C46" s="73" t="s">
        <v>135</v>
      </c>
      <c r="D46" s="73">
        <v>1</v>
      </c>
      <c r="E46" s="78">
        <f>E30/10</f>
        <v>1968</v>
      </c>
      <c r="F46" s="79">
        <v>0.23200000000000001</v>
      </c>
      <c r="G46" s="78">
        <v>2250</v>
      </c>
      <c r="H46" s="78">
        <v>0</v>
      </c>
      <c r="I46" s="84">
        <f>ROUND((10-$F$3)*E46/(-11*F46+(10-$F$3)*(1-$D$3)), -1)</f>
        <v>3100</v>
      </c>
      <c r="J46" s="78">
        <f>I46*$D$3</f>
        <v>310</v>
      </c>
      <c r="K46" s="78">
        <f>I46-E46-J46</f>
        <v>822</v>
      </c>
      <c r="L46" s="79">
        <f>K46/I46</f>
        <v>0.26516129032258062</v>
      </c>
      <c r="M46" s="85">
        <v>0</v>
      </c>
    </row>
    <row r="47" spans="2:15" x14ac:dyDescent="0.4">
      <c r="B47" s="77">
        <v>2</v>
      </c>
      <c r="C47" s="73" t="s">
        <v>225</v>
      </c>
      <c r="D47" s="73">
        <v>1</v>
      </c>
      <c r="E47" s="78">
        <f>R9/3</f>
        <v>4082.6666666666665</v>
      </c>
      <c r="F47" s="79">
        <v>0.246</v>
      </c>
      <c r="G47" s="78">
        <v>2250</v>
      </c>
      <c r="H47" s="78">
        <v>0</v>
      </c>
      <c r="I47" s="84">
        <f>ROUND((10-$F$3)*E47/(-11*F47+(10-$F$3)*(1-$D$3)), -1)</f>
        <v>6600</v>
      </c>
      <c r="J47" s="78">
        <f>I47*$D$3</f>
        <v>660</v>
      </c>
      <c r="K47" s="78">
        <f>I47-E47-J47</f>
        <v>1857.3333333333335</v>
      </c>
      <c r="L47" s="79">
        <f>K47/I47</f>
        <v>0.28141414141414145</v>
      </c>
      <c r="M47" s="85">
        <v>0</v>
      </c>
    </row>
    <row r="48" spans="2:15" x14ac:dyDescent="0.4">
      <c r="B48" s="77">
        <v>3</v>
      </c>
      <c r="C48" s="73" t="s">
        <v>226</v>
      </c>
      <c r="D48" s="73">
        <v>1</v>
      </c>
      <c r="E48" s="78">
        <f>E13/3</f>
        <v>4730</v>
      </c>
      <c r="F48" s="79">
        <v>0.246</v>
      </c>
      <c r="G48" s="78">
        <v>2250</v>
      </c>
      <c r="H48" s="78">
        <v>0</v>
      </c>
      <c r="I48" s="84">
        <f>ROUND((10-$F$3)*E48/(-11*F48+(10-$F$3)*(1-$D$3)), -1)</f>
        <v>7650</v>
      </c>
      <c r="J48" s="78">
        <f>I48*$D$3</f>
        <v>765</v>
      </c>
      <c r="K48" s="78">
        <f>I48-E48-J48</f>
        <v>2155</v>
      </c>
      <c r="L48" s="79">
        <f>K48/I48</f>
        <v>0.28169934640522876</v>
      </c>
      <c r="M48" s="85">
        <v>0</v>
      </c>
    </row>
    <row r="49" spans="2:13" x14ac:dyDescent="0.4">
      <c r="B49" s="77">
        <v>4</v>
      </c>
      <c r="C49" s="73" t="s">
        <v>227</v>
      </c>
      <c r="D49" s="73">
        <v>1</v>
      </c>
      <c r="E49" s="78">
        <f>E15/3</f>
        <v>4730</v>
      </c>
      <c r="F49" s="79">
        <v>0.246</v>
      </c>
      <c r="G49" s="78">
        <v>2250</v>
      </c>
      <c r="H49" s="78">
        <v>0</v>
      </c>
      <c r="I49" s="84">
        <f>ROUND((10-$F$3)*E49/(-11*F49+(10-$F$3)*(1-$D$3)), -1)</f>
        <v>7650</v>
      </c>
      <c r="J49" s="78">
        <f>I49*$D$3</f>
        <v>765</v>
      </c>
      <c r="K49" s="78">
        <f>I49-E49-J49</f>
        <v>2155</v>
      </c>
      <c r="L49" s="79">
        <f>K49/I49</f>
        <v>0.28169934640522876</v>
      </c>
      <c r="M49" s="85">
        <v>0</v>
      </c>
    </row>
  </sheetData>
  <mergeCells count="26">
    <mergeCell ref="B44:M44"/>
    <mergeCell ref="B33:D33"/>
    <mergeCell ref="B34:D34"/>
    <mergeCell ref="E33:K33"/>
    <mergeCell ref="L33:M33"/>
    <mergeCell ref="E34:K34"/>
    <mergeCell ref="L34:M34"/>
    <mergeCell ref="B2:F2"/>
    <mergeCell ref="B4:J4"/>
    <mergeCell ref="B32:M32"/>
    <mergeCell ref="B7:D7"/>
    <mergeCell ref="B6:D6"/>
    <mergeCell ref="L7:M7"/>
    <mergeCell ref="L6:M6"/>
    <mergeCell ref="E6:K6"/>
    <mergeCell ref="B25:M25"/>
    <mergeCell ref="E7:K7"/>
    <mergeCell ref="B23:M23"/>
    <mergeCell ref="B24:D24"/>
    <mergeCell ref="E24:K24"/>
    <mergeCell ref="L24:M24"/>
    <mergeCell ref="O5:X5"/>
    <mergeCell ref="B3:C3"/>
    <mergeCell ref="B35:M35"/>
    <mergeCell ref="B5:M5"/>
    <mergeCell ref="B8:M8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R34"/>
  <sheetViews>
    <sheetView workbookViewId="0">
      <selection activeCell="Q7" sqref="Q7"/>
    </sheetView>
  </sheetViews>
  <sheetFormatPr defaultRowHeight="17.399999999999999" x14ac:dyDescent="0.4"/>
  <cols>
    <col min="1" max="1" width="2.8984375" customWidth="1"/>
    <col min="2" max="2" width="5.8984375" bestFit="1" customWidth="1"/>
    <col min="3" max="3" width="9.8984375" bestFit="1" customWidth="1"/>
    <col min="4" max="4" width="5.8984375" bestFit="1" customWidth="1"/>
    <col min="5" max="6" width="6.8984375" bestFit="1" customWidth="1"/>
    <col min="7" max="7" width="3.3984375" customWidth="1"/>
    <col min="8" max="13" width="7.8984375" bestFit="1" customWidth="1"/>
    <col min="14" max="14" width="6.3984375" style="23" bestFit="1" customWidth="1"/>
    <col min="17" max="17" width="9.8984375" bestFit="1" customWidth="1"/>
    <col min="18" max="18" width="10.19921875" bestFit="1" customWidth="1"/>
  </cols>
  <sheetData>
    <row r="2" spans="2:15" x14ac:dyDescent="0.4">
      <c r="B2" s="24" t="s">
        <v>64</v>
      </c>
      <c r="C2" s="24">
        <v>0.04</v>
      </c>
      <c r="D2" s="24"/>
      <c r="E2" s="24" t="s">
        <v>51</v>
      </c>
      <c r="F2" s="24">
        <v>0.4</v>
      </c>
      <c r="H2" s="92" t="s">
        <v>155</v>
      </c>
      <c r="I2" s="106"/>
      <c r="J2" s="106"/>
      <c r="K2" s="106"/>
      <c r="L2" s="106"/>
      <c r="M2" s="106"/>
      <c r="N2" s="106"/>
    </row>
    <row r="3" spans="2:15" x14ac:dyDescent="0.4">
      <c r="B3" s="4" t="s">
        <v>21</v>
      </c>
      <c r="C3" s="27" t="s">
        <v>30</v>
      </c>
      <c r="D3" s="27" t="s">
        <v>31</v>
      </c>
      <c r="E3" s="27" t="s">
        <v>65</v>
      </c>
      <c r="F3" s="27" t="s">
        <v>26</v>
      </c>
      <c r="G3" s="1"/>
      <c r="H3" s="2" t="s">
        <v>52</v>
      </c>
      <c r="I3" s="25" t="s">
        <v>53</v>
      </c>
      <c r="J3" s="25" t="s">
        <v>54</v>
      </c>
      <c r="K3" s="25" t="s">
        <v>55</v>
      </c>
      <c r="L3" s="25" t="s">
        <v>56</v>
      </c>
      <c r="M3" s="25" t="s">
        <v>57</v>
      </c>
      <c r="N3" s="37" t="s">
        <v>58</v>
      </c>
      <c r="O3" s="25" t="s">
        <v>247</v>
      </c>
    </row>
    <row r="4" spans="2:15" x14ac:dyDescent="0.4">
      <c r="B4" s="4">
        <v>1</v>
      </c>
      <c r="C4" s="8" t="s">
        <v>0</v>
      </c>
      <c r="D4" s="8">
        <v>10</v>
      </c>
      <c r="E4" s="5">
        <f>표3[[#This Row],[원가]]</f>
        <v>19680</v>
      </c>
      <c r="F4" s="5">
        <f>ROUND((10 - $F$2)*(표6_23[[#This Row],[원가]]+표5_5[[#This Row],[택배비]])/(-11*표5_5[[#This Row],[마진율]]+(10-$F$2)*(1-$C$2)), -1)</f>
        <v>29900</v>
      </c>
      <c r="G4" s="1"/>
      <c r="H4" s="22">
        <f>ROUND(표6_23[[#This Row],[신규가]]*$C$2, 0)</f>
        <v>1196</v>
      </c>
      <c r="I4" s="22">
        <v>3150</v>
      </c>
      <c r="J4" s="22">
        <f>ROUND(표6_23[[#This Row],[신규가]]/11-표3[[#This Row],[원가]]/11-표5_5[[#This Row],[수수료]]/11-표5_5[[#This Row],[택배비]]/11, 0)</f>
        <v>534</v>
      </c>
      <c r="K4" s="22">
        <f>ROUND(표5_5[[#This Row],[부가세]]*$F$2, 0)</f>
        <v>214</v>
      </c>
      <c r="L4" s="22">
        <f>표6_23[[#This Row],[신규가]]-표3[[#This Row],[원가]]-표5_5[[#This Row],[수수료]]-표5_5[[#This Row],[택배비]]-표5_5[[#This Row],[부가세]]-표5_5[[#This Row],[종소세]]</f>
        <v>5126</v>
      </c>
      <c r="M4" s="42">
        <v>0.17143812709030101</v>
      </c>
      <c r="N4" s="4" t="s">
        <v>59</v>
      </c>
      <c r="O4" s="89">
        <f>표5_5[[#This Row],[순수익]]/표6_23[[#This Row],[신규가]]</f>
        <v>0.17143812709030101</v>
      </c>
    </row>
    <row r="5" spans="2:15" x14ac:dyDescent="0.4">
      <c r="B5" s="4">
        <v>2</v>
      </c>
      <c r="C5" s="8" t="s">
        <v>1</v>
      </c>
      <c r="D5" s="20">
        <v>10</v>
      </c>
      <c r="E5" s="5">
        <f>표3[[#This Row],[원가]]</f>
        <v>19980</v>
      </c>
      <c r="F5" s="5">
        <f>ROUND((10 - $F$2)*(표6_23[[#This Row],[원가]]+표5_5[[#This Row],[택배비]])/(-11*표5_5[[#This Row],[마진율]]+(10-$F$2)*(1-$C$2)), -1)</f>
        <v>24090</v>
      </c>
      <c r="G5" s="1"/>
      <c r="H5" s="22">
        <f>ROUND(표6_23[[#This Row],[신규가]]*$C$2, 0)</f>
        <v>964</v>
      </c>
      <c r="I5" s="22">
        <v>3150</v>
      </c>
      <c r="J5" s="22">
        <f>ROUND(표6_23[[#This Row],[신규가]]/11-표3[[#This Row],[원가]]/11-표5_5[[#This Row],[수수료]]/11-표5_5[[#This Row],[택배비]]/11, 0)</f>
        <v>0</v>
      </c>
      <c r="K5" s="22">
        <f>ROUND(표5_5[[#This Row],[부가세]]*$F$2, 0)</f>
        <v>0</v>
      </c>
      <c r="L5" s="22">
        <f>표6_23[[#This Row],[신규가]]-표3[[#This Row],[원가]]-표5_5[[#This Row],[수수료]]-표5_5[[#This Row],[택배비]]-표5_5[[#This Row],[부가세]]-표5_5[[#This Row],[종소세]]</f>
        <v>-4</v>
      </c>
      <c r="M5" s="42">
        <v>0</v>
      </c>
      <c r="N5" s="4" t="s">
        <v>60</v>
      </c>
      <c r="O5" s="89">
        <f>표5_5[[#This Row],[순수익]]/표6_23[[#This Row],[신규가]]</f>
        <v>-1.6604400166044003E-4</v>
      </c>
    </row>
    <row r="6" spans="2:15" x14ac:dyDescent="0.4">
      <c r="B6" s="4">
        <v>3</v>
      </c>
      <c r="C6" s="8" t="s">
        <v>0</v>
      </c>
      <c r="D6" s="8">
        <v>24</v>
      </c>
      <c r="E6" s="5">
        <f>표3[[#This Row],[원가]]</f>
        <v>17046</v>
      </c>
      <c r="F6" s="5">
        <f>ROUND((10 - $F$2)*(표6_23[[#This Row],[원가]]+표5_5[[#This Row],[택배비]])/(-11*표5_5[[#This Row],[마진율]]+(10-$F$2)*(1-$C$2)), -1)</f>
        <v>27210</v>
      </c>
      <c r="G6" s="1"/>
      <c r="H6" s="22">
        <f>ROUND(표6_23[[#This Row],[신규가]]*$C$2, 0)</f>
        <v>1088</v>
      </c>
      <c r="I6" s="22">
        <v>3150</v>
      </c>
      <c r="J6" s="22">
        <f>ROUND(표6_23[[#This Row],[신규가]]/11-표3[[#This Row],[원가]]/11-표5_5[[#This Row],[수수료]]/11-표5_5[[#This Row],[택배비]]/11, 0)</f>
        <v>539</v>
      </c>
      <c r="K6" s="22">
        <f>ROUND(표5_5[[#This Row],[부가세]]*$F$2, 0)</f>
        <v>216</v>
      </c>
      <c r="L6" s="22">
        <f>표6_23[[#This Row],[신규가]]-표3[[#This Row],[원가]]-표5_5[[#This Row],[수수료]]-표5_5[[#This Row],[택배비]]-표5_5[[#This Row],[부가세]]-표5_5[[#This Row],[종소세]]</f>
        <v>5171</v>
      </c>
      <c r="M6" s="42">
        <v>0.19</v>
      </c>
      <c r="N6" s="4" t="s">
        <v>59</v>
      </c>
      <c r="O6" s="90">
        <f>표5_5[[#This Row],[순수익]]/표6_23[[#This Row],[신규가]]</f>
        <v>0.1900404263138552</v>
      </c>
    </row>
    <row r="7" spans="2:15" x14ac:dyDescent="0.4">
      <c r="B7" s="4">
        <v>4</v>
      </c>
      <c r="C7" s="8" t="s">
        <v>2</v>
      </c>
      <c r="D7" s="8">
        <v>30</v>
      </c>
      <c r="E7" s="5">
        <f>표3[[#This Row],[원가]]</f>
        <v>12248</v>
      </c>
      <c r="F7" s="5">
        <f>ROUND((10 - $F$2)*(표6_23[[#This Row],[원가]]+표5_5[[#This Row],[택배비]])/(-11*표5_5[[#This Row],[마진율]]+(10-$F$2)*(1-$C$2)), -1)</f>
        <v>19620</v>
      </c>
      <c r="G7" s="1"/>
      <c r="H7" s="22">
        <f>ROUND(표6_23[[#This Row],[신규가]]*$C$2, 0)</f>
        <v>785</v>
      </c>
      <c r="I7" s="22">
        <v>2750</v>
      </c>
      <c r="J7" s="22">
        <f>ROUND(표6_23[[#This Row],[신규가]]/11-표3[[#This Row],[원가]]/11-표5_5[[#This Row],[수수료]]/11-표5_5[[#This Row],[택배비]]/11, 0)</f>
        <v>349</v>
      </c>
      <c r="K7" s="22">
        <f>ROUND(표5_5[[#This Row],[부가세]]*$F$2, 0)</f>
        <v>140</v>
      </c>
      <c r="L7" s="22">
        <f>표6_23[[#This Row],[신규가]]-표3[[#This Row],[원가]]-표5_5[[#This Row],[수수료]]-표5_5[[#This Row],[택배비]]-표5_5[[#This Row],[부가세]]-표5_5[[#This Row],[종소세]]</f>
        <v>3348</v>
      </c>
      <c r="M7" s="42">
        <v>0.17064220183486239</v>
      </c>
      <c r="N7" s="4" t="s">
        <v>59</v>
      </c>
      <c r="O7" s="89">
        <f>표5_5[[#This Row],[순수익]]/표6_23[[#This Row],[신규가]]</f>
        <v>0.17064220183486239</v>
      </c>
    </row>
    <row r="8" spans="2:15" x14ac:dyDescent="0.4">
      <c r="B8" s="4">
        <v>5</v>
      </c>
      <c r="C8" s="8" t="s">
        <v>3</v>
      </c>
      <c r="D8" s="8">
        <v>30</v>
      </c>
      <c r="E8" s="5">
        <f>표3[[#This Row],[원가]]</f>
        <v>14190</v>
      </c>
      <c r="F8" s="5">
        <f>ROUND((10 - $F$2)*(표6_23[[#This Row],[원가]]+표5_5[[#This Row],[택배비]])/(-11*표5_5[[#This Row],[마진율]]+(10-$F$2)*(1-$C$2)), -1)</f>
        <v>22990</v>
      </c>
      <c r="G8" s="1"/>
      <c r="H8" s="22">
        <f>ROUND(표6_23[[#This Row],[신규가]]*$C$2, 0)</f>
        <v>920</v>
      </c>
      <c r="I8" s="22">
        <v>3150</v>
      </c>
      <c r="J8" s="22">
        <f>ROUND(표6_23[[#This Row],[신규가]]/11-표3[[#This Row],[원가]]/11-표5_5[[#This Row],[수수료]]/11-표5_5[[#This Row],[택배비]]/11, 0)</f>
        <v>430</v>
      </c>
      <c r="K8" s="22">
        <f>ROUND(표5_5[[#This Row],[부가세]]*$F$2, 0)</f>
        <v>172</v>
      </c>
      <c r="L8" s="22">
        <f>표6_23[[#This Row],[신규가]]-표3[[#This Row],[원가]]-표5_5[[#This Row],[수수료]]-표5_5[[#This Row],[택배비]]-표5_5[[#This Row],[부가세]]-표5_5[[#This Row],[종소세]]</f>
        <v>4128</v>
      </c>
      <c r="M8" s="42">
        <v>0.17955632883862549</v>
      </c>
      <c r="N8" s="4" t="s">
        <v>59</v>
      </c>
      <c r="O8" s="89">
        <f>표5_5[[#This Row],[순수익]]/표6_23[[#This Row],[신규가]]</f>
        <v>0.17955632883862549</v>
      </c>
    </row>
    <row r="9" spans="2:15" x14ac:dyDescent="0.4">
      <c r="B9" s="4">
        <v>6</v>
      </c>
      <c r="C9" s="8" t="s">
        <v>4</v>
      </c>
      <c r="D9" s="8">
        <v>30</v>
      </c>
      <c r="E9" s="5">
        <f>표3[[#This Row],[원가]]</f>
        <v>14190</v>
      </c>
      <c r="F9" s="5">
        <f>ROUND((10 - $F$2)*(표6_23[[#This Row],[원가]]+표5_5[[#This Row],[택배비]])/(-11*표5_5[[#This Row],[마진율]]+(10-$F$2)*(1-$C$2)), -1)</f>
        <v>22990</v>
      </c>
      <c r="G9" s="1"/>
      <c r="H9" s="22">
        <f>ROUND(표6_23[[#This Row],[신규가]]*$C$2, 0)</f>
        <v>920</v>
      </c>
      <c r="I9" s="22">
        <v>3150</v>
      </c>
      <c r="J9" s="22">
        <f>ROUND(표6_23[[#This Row],[신규가]]/11-표3[[#This Row],[원가]]/11-표5_5[[#This Row],[수수료]]/11-표5_5[[#This Row],[택배비]]/11, 0)</f>
        <v>430</v>
      </c>
      <c r="K9" s="22">
        <f>ROUND(표5_5[[#This Row],[부가세]]*$F$2, 0)</f>
        <v>172</v>
      </c>
      <c r="L9" s="22">
        <f>표6_23[[#This Row],[신규가]]-표3[[#This Row],[원가]]-표5_5[[#This Row],[수수료]]-표5_5[[#This Row],[택배비]]-표5_5[[#This Row],[부가세]]-표5_5[[#This Row],[종소세]]</f>
        <v>4128</v>
      </c>
      <c r="M9" s="42">
        <v>0.17955632883862549</v>
      </c>
      <c r="N9" s="4" t="s">
        <v>59</v>
      </c>
      <c r="O9" s="89">
        <f>표5_5[[#This Row],[순수익]]/표6_23[[#This Row],[신규가]]</f>
        <v>0.17955632883862549</v>
      </c>
    </row>
    <row r="10" spans="2:15" x14ac:dyDescent="0.4">
      <c r="B10" s="4">
        <v>7</v>
      </c>
      <c r="C10" s="8" t="s">
        <v>5</v>
      </c>
      <c r="D10" s="8">
        <v>30</v>
      </c>
      <c r="E10" s="5">
        <f>표3[[#This Row],[원가]]</f>
        <v>16044</v>
      </c>
      <c r="F10" s="5">
        <f>ROUND((10 - $F$2)*(표6_23[[#This Row],[원가]]+표5_5[[#This Row],[택배비]])/(-11*표5_5[[#This Row],[마진율]]+(10-$F$2)*(1-$C$2)), -1)</f>
        <v>25470</v>
      </c>
      <c r="G10" s="1"/>
      <c r="H10" s="22">
        <f>ROUND(표6_23[[#This Row],[신규가]]*$C$2, 0)</f>
        <v>1019</v>
      </c>
      <c r="I10" s="22">
        <v>3150</v>
      </c>
      <c r="J10" s="22">
        <f>ROUND(표6_23[[#This Row],[신규가]]/11-표3[[#This Row],[원가]]/11-표5_5[[#This Row],[수수료]]/11-표5_5[[#This Row],[택배비]]/11, 0)</f>
        <v>478</v>
      </c>
      <c r="K10" s="22">
        <f>ROUND(표5_5[[#This Row],[부가세]]*$F$2, 0)</f>
        <v>191</v>
      </c>
      <c r="L10" s="22">
        <f>표6_23[[#This Row],[신규가]]-표3[[#This Row],[원가]]-표5_5[[#This Row],[수수료]]-표5_5[[#This Row],[택배비]]-표5_5[[#This Row],[부가세]]-표5_5[[#This Row],[종소세]]</f>
        <v>4588</v>
      </c>
      <c r="M10" s="42">
        <v>0.1801334903808402</v>
      </c>
      <c r="N10" s="4" t="s">
        <v>59</v>
      </c>
      <c r="O10" s="89">
        <f>표5_5[[#This Row],[순수익]]/표6_23[[#This Row],[신규가]]</f>
        <v>0.1801334903808402</v>
      </c>
    </row>
    <row r="11" spans="2:15" x14ac:dyDescent="0.4">
      <c r="B11" s="4">
        <v>8</v>
      </c>
      <c r="C11" s="8" t="s">
        <v>6</v>
      </c>
      <c r="D11" s="8">
        <v>30</v>
      </c>
      <c r="E11" s="5">
        <f>표3[[#This Row],[원가]]</f>
        <v>16519</v>
      </c>
      <c r="F11" s="5">
        <f>ROUND((10 - $F$2)*(표6_23[[#This Row],[원가]]+표5_5[[#This Row],[택배비]])/(-11*표5_5[[#This Row],[마진율]]+(10-$F$2)*(1-$C$2)), -1)</f>
        <v>26100</v>
      </c>
      <c r="G11" s="1"/>
      <c r="H11" s="22">
        <f>ROUND(표6_23[[#This Row],[신규가]]*$C$2, 0)</f>
        <v>1044</v>
      </c>
      <c r="I11" s="22">
        <v>3150</v>
      </c>
      <c r="J11" s="22">
        <f>ROUND(표6_23[[#This Row],[신규가]]/11-표3[[#This Row],[원가]]/11-표5_5[[#This Row],[수수료]]/11-표5_5[[#This Row],[택배비]]/11, 0)</f>
        <v>490</v>
      </c>
      <c r="K11" s="22">
        <f>ROUND(표5_5[[#This Row],[부가세]]*$F$2, 0)</f>
        <v>196</v>
      </c>
      <c r="L11" s="22">
        <f>표6_23[[#This Row],[신규가]]-표3[[#This Row],[원가]]-표5_5[[#This Row],[수수료]]-표5_5[[#This Row],[택배비]]-표5_5[[#This Row],[부가세]]-표5_5[[#This Row],[종소세]]</f>
        <v>4701</v>
      </c>
      <c r="M11" s="42">
        <v>0.18011494252873564</v>
      </c>
      <c r="N11" s="4" t="s">
        <v>59</v>
      </c>
      <c r="O11" s="89">
        <f>표5_5[[#This Row],[순수익]]/표6_23[[#This Row],[신규가]]</f>
        <v>0.18011494252873564</v>
      </c>
    </row>
    <row r="12" spans="2:15" x14ac:dyDescent="0.4">
      <c r="B12" s="4">
        <v>9</v>
      </c>
      <c r="C12" s="8" t="s">
        <v>7</v>
      </c>
      <c r="D12" s="20">
        <v>30</v>
      </c>
      <c r="E12" s="5">
        <f>표3[[#This Row],[원가]]</f>
        <v>14190</v>
      </c>
      <c r="F12" s="5">
        <f>ROUND((10 - $F$2)*(표6_23[[#This Row],[원가]]+표5_5[[#This Row],[택배비]])/(-11*표5_5[[#This Row],[마진율]]+(10-$F$2)*(1-$C$2)), -1)</f>
        <v>18060</v>
      </c>
      <c r="G12" s="1"/>
      <c r="H12" s="22">
        <f>ROUND(표6_23[[#This Row],[신규가]]*$C$2, 0)</f>
        <v>722</v>
      </c>
      <c r="I12" s="22">
        <v>3150</v>
      </c>
      <c r="J12" s="22">
        <f>ROUND(표6_23[[#This Row],[신규가]]/11-표3[[#This Row],[원가]]/11-표5_5[[#This Row],[수수료]]/11-표5_5[[#This Row],[택배비]]/11, 0)</f>
        <v>0</v>
      </c>
      <c r="K12" s="22">
        <f>ROUND(표5_5[[#This Row],[부가세]]*$F$2, 0)</f>
        <v>0</v>
      </c>
      <c r="L12" s="22">
        <f>표6_23[[#This Row],[신규가]]-표3[[#This Row],[원가]]-표5_5[[#This Row],[수수료]]-표5_5[[#This Row],[택배비]]-표5_5[[#This Row],[부가세]]-표5_5[[#This Row],[종소세]]</f>
        <v>-2</v>
      </c>
      <c r="M12" s="42">
        <v>0</v>
      </c>
      <c r="N12" s="4" t="s">
        <v>61</v>
      </c>
      <c r="O12" s="89">
        <f>표5_5[[#This Row],[순수익]]/표6_23[[#This Row],[신규가]]</f>
        <v>-1.1074197120708749E-4</v>
      </c>
    </row>
    <row r="13" spans="2:15" x14ac:dyDescent="0.4">
      <c r="B13" s="4">
        <v>10</v>
      </c>
      <c r="C13" s="8" t="s">
        <v>8</v>
      </c>
      <c r="D13" s="8">
        <v>30</v>
      </c>
      <c r="E13" s="5">
        <f>표3[[#This Row],[원가]]</f>
        <v>16906</v>
      </c>
      <c r="F13" s="5">
        <f>ROUND((10 - $F$2)*(표6_23[[#This Row],[원가]]+표5_5[[#This Row],[택배비]])/(-11*표5_5[[#This Row],[마진율]]+(10-$F$2)*(1-$C$2)), -1)</f>
        <v>26610</v>
      </c>
      <c r="G13" s="1"/>
      <c r="H13" s="22">
        <f>ROUND(표6_23[[#This Row],[신규가]]*$C$2, 0)</f>
        <v>1064</v>
      </c>
      <c r="I13" s="22">
        <v>3150</v>
      </c>
      <c r="J13" s="22">
        <f>ROUND(표6_23[[#This Row],[신규가]]/11-표3[[#This Row],[원가]]/11-표5_5[[#This Row],[수수료]]/11-표5_5[[#This Row],[택배비]]/11, 0)</f>
        <v>499</v>
      </c>
      <c r="K13" s="22">
        <f>ROUND(표5_5[[#This Row],[부가세]]*$F$2, 0)</f>
        <v>200</v>
      </c>
      <c r="L13" s="22">
        <f>표6_23[[#This Row],[신규가]]-표3[[#This Row],[원가]]-표5_5[[#This Row],[수수료]]-표5_5[[#This Row],[택배비]]-표5_5[[#This Row],[부가세]]-표5_5[[#This Row],[종소세]]</f>
        <v>4791</v>
      </c>
      <c r="M13" s="42">
        <v>0.18004509582863584</v>
      </c>
      <c r="N13" s="4" t="s">
        <v>59</v>
      </c>
      <c r="O13" s="89">
        <f>표5_5[[#This Row],[순수익]]/표6_23[[#This Row],[신규가]]</f>
        <v>0.18004509582863584</v>
      </c>
    </row>
    <row r="14" spans="2:15" x14ac:dyDescent="0.4">
      <c r="B14" s="4">
        <v>11</v>
      </c>
      <c r="C14" s="8" t="s">
        <v>9</v>
      </c>
      <c r="D14" s="8">
        <v>16</v>
      </c>
      <c r="E14" s="5">
        <f>표3[[#This Row],[원가]]</f>
        <v>11983</v>
      </c>
      <c r="F14" s="5">
        <f>ROUND((10 - $F$2)*(표6_23[[#This Row],[원가]]+표5_5[[#This Row],[택배비]])/(-11*표5_5[[#This Row],[마진율]]+(10-$F$2)*(1-$C$2)), -1)</f>
        <v>19700</v>
      </c>
      <c r="G14" s="1"/>
      <c r="H14" s="22">
        <f>ROUND(표6_23[[#This Row],[신규가]]*$C$2, 0)</f>
        <v>788</v>
      </c>
      <c r="I14" s="22">
        <v>2750</v>
      </c>
      <c r="J14" s="22">
        <f>ROUND(표6_23[[#This Row],[신규가]]/11-표3[[#This Row],[원가]]/11-표5_5[[#This Row],[수수료]]/11-표5_5[[#This Row],[택배비]]/11, 0)</f>
        <v>380</v>
      </c>
      <c r="K14" s="22">
        <f>ROUND(표5_5[[#This Row],[부가세]]*$F$2, 0)</f>
        <v>152</v>
      </c>
      <c r="L14" s="22">
        <f>표6_23[[#This Row],[신규가]]-표3[[#This Row],[원가]]-표5_5[[#This Row],[수수료]]-표5_5[[#This Row],[택배비]]-표5_5[[#This Row],[부가세]]-표5_5[[#This Row],[종소세]]</f>
        <v>3647</v>
      </c>
      <c r="M14" s="42">
        <v>0.1851269035532995</v>
      </c>
      <c r="N14" s="4" t="s">
        <v>59</v>
      </c>
      <c r="O14" s="89">
        <f>표5_5[[#This Row],[순수익]]/표6_23[[#This Row],[신규가]]</f>
        <v>0.1851269035532995</v>
      </c>
    </row>
    <row r="15" spans="2:15" x14ac:dyDescent="0.4">
      <c r="B15" s="4">
        <v>12</v>
      </c>
      <c r="C15" s="8" t="s">
        <v>10</v>
      </c>
      <c r="D15" s="8">
        <v>16</v>
      </c>
      <c r="E15" s="5">
        <f>표3[[#This Row],[원가]]</f>
        <v>13777</v>
      </c>
      <c r="F15" s="5">
        <f>ROUND((10 - $F$2)*(표6_23[[#This Row],[원가]]+표5_5[[#This Row],[택배비]])/(-11*표5_5[[#This Row],[마진율]]+(10-$F$2)*(1-$C$2)), -1)</f>
        <v>22370</v>
      </c>
      <c r="G15" s="1"/>
      <c r="H15" s="22">
        <f>ROUND(표6_23[[#This Row],[신규가]]*$C$2, 0)</f>
        <v>895</v>
      </c>
      <c r="I15" s="22">
        <v>2750</v>
      </c>
      <c r="J15" s="22">
        <f>ROUND(표6_23[[#This Row],[신규가]]/11-표3[[#This Row],[원가]]/11-표5_5[[#This Row],[수수료]]/11-표5_5[[#This Row],[택배비]]/11, 0)</f>
        <v>450</v>
      </c>
      <c r="K15" s="22">
        <f>ROUND(표5_5[[#This Row],[부가세]]*$F$2, 0)</f>
        <v>180</v>
      </c>
      <c r="L15" s="22">
        <f>표6_23[[#This Row],[신규가]]-표3[[#This Row],[원가]]-표5_5[[#This Row],[수수료]]-표5_5[[#This Row],[택배비]]-표5_5[[#This Row],[부가세]]-표5_5[[#This Row],[종소세]]</f>
        <v>4318</v>
      </c>
      <c r="M15" s="42">
        <v>0.19302637460885114</v>
      </c>
      <c r="N15" s="4" t="s">
        <v>59</v>
      </c>
      <c r="O15" s="89">
        <f>표5_5[[#This Row],[순수익]]/표6_23[[#This Row],[신규가]]</f>
        <v>0.19302637460885114</v>
      </c>
    </row>
    <row r="16" spans="2:15" x14ac:dyDescent="0.4">
      <c r="B16" s="4">
        <v>13</v>
      </c>
      <c r="C16" s="8" t="s">
        <v>11</v>
      </c>
      <c r="D16" s="8">
        <v>16</v>
      </c>
      <c r="E16" s="5">
        <f>표3[[#This Row],[원가]]</f>
        <v>14963</v>
      </c>
      <c r="F16" s="5">
        <f>ROUND((10 - $F$2)*(표6_23[[#This Row],[원가]]+표5_5[[#This Row],[택배비]])/(-11*표5_5[[#This Row],[마진율]]+(10-$F$2)*(1-$C$2)), -1)</f>
        <v>23980</v>
      </c>
      <c r="G16" s="1"/>
      <c r="H16" s="22">
        <f>ROUND(표6_23[[#This Row],[신규가]]*$C$2, 0)</f>
        <v>959</v>
      </c>
      <c r="I16" s="22">
        <v>2750</v>
      </c>
      <c r="J16" s="22">
        <f>ROUND(표6_23[[#This Row],[신규가]]/11-표3[[#This Row],[원가]]/11-표5_5[[#This Row],[수수료]]/11-표5_5[[#This Row],[택배비]]/11, 0)</f>
        <v>483</v>
      </c>
      <c r="K16" s="22">
        <f>ROUND(표5_5[[#This Row],[부가세]]*$F$2, 0)</f>
        <v>193</v>
      </c>
      <c r="L16" s="22">
        <f>표6_23[[#This Row],[신규가]]-표3[[#This Row],[원가]]-표5_5[[#This Row],[수수료]]-표5_5[[#This Row],[택배비]]-표5_5[[#This Row],[부가세]]-표5_5[[#This Row],[종소세]]</f>
        <v>4632</v>
      </c>
      <c r="M16" s="42">
        <v>0.19316096747289407</v>
      </c>
      <c r="N16" s="4" t="s">
        <v>59</v>
      </c>
      <c r="O16" s="89">
        <f>표5_5[[#This Row],[순수익]]/표6_23[[#This Row],[신규가]]</f>
        <v>0.19316096747289407</v>
      </c>
    </row>
    <row r="17" spans="2:18" x14ac:dyDescent="0.4">
      <c r="B17" s="4">
        <v>14</v>
      </c>
      <c r="C17" s="8" t="s">
        <v>12</v>
      </c>
      <c r="D17" s="8">
        <v>16</v>
      </c>
      <c r="E17" s="5">
        <f>표3[[#This Row],[원가]]</f>
        <v>21207</v>
      </c>
      <c r="F17" s="5">
        <f>ROUND((10 - $F$2)*(표6_23[[#This Row],[원가]]+표5_5[[#This Row],[택배비]])/(-11*표5_5[[#This Row],[마진율]]+(10-$F$2)*(1-$C$2)), -1)</f>
        <v>32430</v>
      </c>
      <c r="G17" s="1"/>
      <c r="H17" s="22">
        <f>ROUND(표6_23[[#This Row],[신규가]]*$C$2, 0)</f>
        <v>1297</v>
      </c>
      <c r="I17" s="22">
        <v>2750</v>
      </c>
      <c r="J17" s="22">
        <f>ROUND(표6_23[[#This Row],[신규가]]/11-표3[[#This Row],[원가]]/11-표5_5[[#This Row],[수수료]]/11-표5_5[[#This Row],[택배비]]/11, 0)</f>
        <v>652</v>
      </c>
      <c r="K17" s="22">
        <f>ROUND(표5_5[[#This Row],[부가세]]*$F$2, 0)</f>
        <v>261</v>
      </c>
      <c r="L17" s="22">
        <f>표6_23[[#This Row],[신규가]]-표3[[#This Row],[원가]]-표5_5[[#This Row],[수수료]]-표5_5[[#This Row],[택배비]]-표5_5[[#This Row],[부가세]]-표5_5[[#This Row],[종소세]]</f>
        <v>6263</v>
      </c>
      <c r="M17" s="42">
        <v>0.1931236509404872</v>
      </c>
      <c r="N17" s="4" t="s">
        <v>59</v>
      </c>
      <c r="O17" s="89">
        <f>표5_5[[#This Row],[순수익]]/표6_23[[#This Row],[신규가]]</f>
        <v>0.1931236509404872</v>
      </c>
    </row>
    <row r="18" spans="2:18" x14ac:dyDescent="0.4">
      <c r="B18" s="4">
        <v>15</v>
      </c>
      <c r="C18" s="8" t="s">
        <v>13</v>
      </c>
      <c r="D18" s="8">
        <v>16</v>
      </c>
      <c r="E18" s="5">
        <f>표3[[#This Row],[원가]]</f>
        <v>12568</v>
      </c>
      <c r="F18" s="5">
        <f>ROUND((10 - $F$2)*(표6_23[[#This Row],[원가]]+표5_5[[#This Row],[택배비]])/(-11*표5_5[[#This Row],[마진율]]+(10-$F$2)*(1-$C$2)), -1)</f>
        <v>20480</v>
      </c>
      <c r="G18" s="1"/>
      <c r="H18" s="22">
        <f>ROUND(표6_23[[#This Row],[신규가]]*$C$2, 0)</f>
        <v>819</v>
      </c>
      <c r="I18" s="22">
        <v>2750</v>
      </c>
      <c r="J18" s="22">
        <f>ROUND(표6_23[[#This Row],[신규가]]/11-표3[[#This Row],[원가]]/11-표5_5[[#This Row],[수수료]]/11-표5_5[[#This Row],[택배비]]/11, 0)</f>
        <v>395</v>
      </c>
      <c r="K18" s="22">
        <f>ROUND(표5_5[[#This Row],[부가세]]*$F$2, 0)</f>
        <v>158</v>
      </c>
      <c r="L18" s="22">
        <f>표6_23[[#This Row],[신규가]]-표3[[#This Row],[원가]]-표5_5[[#This Row],[수수료]]-표5_5[[#This Row],[택배비]]-표5_5[[#This Row],[부가세]]-표5_5[[#This Row],[종소세]]</f>
        <v>3790</v>
      </c>
      <c r="M18" s="42">
        <v>0.18505859375</v>
      </c>
      <c r="N18" s="4" t="s">
        <v>59</v>
      </c>
      <c r="O18" s="89">
        <f>표5_5[[#This Row],[순수익]]/표6_23[[#This Row],[신규가]]</f>
        <v>0.18505859375</v>
      </c>
      <c r="R18" s="40"/>
    </row>
    <row r="19" spans="2:18" x14ac:dyDescent="0.4">
      <c r="B19" s="4">
        <v>16</v>
      </c>
      <c r="C19" s="8" t="s">
        <v>14</v>
      </c>
      <c r="D19" s="8">
        <v>16</v>
      </c>
      <c r="E19" s="5">
        <f>표3[[#This Row],[원가]]</f>
        <v>14459</v>
      </c>
      <c r="F19" s="5">
        <f>ROUND((10 - $F$2)*(표6_23[[#This Row],[원가]]+표5_5[[#This Row],[택배비]])/(-11*표5_5[[#This Row],[마진율]]+(10-$F$2)*(1-$C$2)), -1)</f>
        <v>23290</v>
      </c>
      <c r="G19" s="1"/>
      <c r="H19" s="22">
        <f>ROUND(표6_23[[#This Row],[신규가]]*$C$2, 0)</f>
        <v>932</v>
      </c>
      <c r="I19" s="22">
        <v>2750</v>
      </c>
      <c r="J19" s="22">
        <f>ROUND(표6_23[[#This Row],[신규가]]/11-표3[[#This Row],[원가]]/11-표5_5[[#This Row],[수수료]]/11-표5_5[[#This Row],[택배비]]/11, 0)</f>
        <v>468</v>
      </c>
      <c r="K19" s="22">
        <f>ROUND(표5_5[[#This Row],[부가세]]*$F$2, 0)</f>
        <v>187</v>
      </c>
      <c r="L19" s="22">
        <f>표6_23[[#This Row],[신규가]]-표3[[#This Row],[원가]]-표5_5[[#This Row],[수수료]]-표5_5[[#This Row],[택배비]]-표5_5[[#This Row],[부가세]]-표5_5[[#This Row],[종소세]]</f>
        <v>4494</v>
      </c>
      <c r="M19" s="42">
        <v>0.19295835122370117</v>
      </c>
      <c r="N19" s="4" t="s">
        <v>59</v>
      </c>
      <c r="O19" s="89">
        <f>표5_5[[#This Row],[순수익]]/표6_23[[#This Row],[신규가]]</f>
        <v>0.19295835122370117</v>
      </c>
    </row>
    <row r="20" spans="2:18" x14ac:dyDescent="0.4">
      <c r="B20" s="4">
        <v>17</v>
      </c>
      <c r="C20" s="8" t="s">
        <v>15</v>
      </c>
      <c r="D20" s="8">
        <v>16</v>
      </c>
      <c r="E20" s="5">
        <f>표3[[#This Row],[원가]]</f>
        <v>15710</v>
      </c>
      <c r="F20" s="5">
        <f>ROUND((10 - $F$2)*(표6_23[[#This Row],[원가]]+표5_5[[#This Row],[택배비]])/(-11*표5_5[[#This Row],[마진율]]+(10-$F$2)*(1-$C$2)), -1)</f>
        <v>24990</v>
      </c>
      <c r="G20" s="1"/>
      <c r="H20" s="22">
        <f>ROUND(표6_23[[#This Row],[신규가]]*$C$2, 0)</f>
        <v>1000</v>
      </c>
      <c r="I20" s="22">
        <v>2750</v>
      </c>
      <c r="J20" s="22">
        <f>ROUND(표6_23[[#This Row],[신규가]]/11-표3[[#This Row],[원가]]/11-표5_5[[#This Row],[수수료]]/11-표5_5[[#This Row],[택배비]]/11, 0)</f>
        <v>503</v>
      </c>
      <c r="K20" s="22">
        <f>ROUND(표5_5[[#This Row],[부가세]]*$F$2, 0)</f>
        <v>201</v>
      </c>
      <c r="L20" s="22">
        <f>표6_23[[#This Row],[신규가]]-표3[[#This Row],[원가]]-표5_5[[#This Row],[수수료]]-표5_5[[#This Row],[택배비]]-표5_5[[#This Row],[부가세]]-표5_5[[#This Row],[종소세]]</f>
        <v>4826</v>
      </c>
      <c r="M20" s="42">
        <v>0.1931172468987595</v>
      </c>
      <c r="N20" s="4" t="s">
        <v>59</v>
      </c>
      <c r="O20" s="89">
        <f>표5_5[[#This Row],[순수익]]/표6_23[[#This Row],[신규가]]</f>
        <v>0.1931172468987595</v>
      </c>
    </row>
    <row r="21" spans="2:18" x14ac:dyDescent="0.4">
      <c r="B21" s="4">
        <v>18</v>
      </c>
      <c r="C21" s="8" t="s">
        <v>16</v>
      </c>
      <c r="D21" s="8">
        <v>16</v>
      </c>
      <c r="E21" s="5">
        <f>표3[[#This Row],[원가]]</f>
        <v>21993</v>
      </c>
      <c r="F21" s="5">
        <f>ROUND((10 - $F$2)*(표6_23[[#This Row],[원가]]+표5_5[[#This Row],[택배비]])/(-11*표5_5[[#This Row],[마진율]]+(10-$F$2)*(1-$C$2)), -1)</f>
        <v>33550</v>
      </c>
      <c r="G21" s="1"/>
      <c r="H21" s="22">
        <f>ROUND(표6_23[[#This Row],[신규가]]*$C$2, 0)</f>
        <v>1342</v>
      </c>
      <c r="I21" s="22">
        <v>2750</v>
      </c>
      <c r="J21" s="22">
        <f>ROUND(표6_23[[#This Row],[신규가]]/11-표3[[#This Row],[원가]]/11-표5_5[[#This Row],[수수료]]/11-표5_5[[#This Row],[택배비]]/11, 0)</f>
        <v>679</v>
      </c>
      <c r="K21" s="22">
        <f>ROUND(표5_5[[#This Row],[부가세]]*$F$2, 0)</f>
        <v>272</v>
      </c>
      <c r="L21" s="22">
        <f>표6_23[[#This Row],[신규가]]-표3[[#This Row],[원가]]-표5_5[[#This Row],[수수료]]-표5_5[[#This Row],[택배비]]-표5_5[[#This Row],[부가세]]-표5_5[[#This Row],[종소세]]</f>
        <v>6514</v>
      </c>
      <c r="M21" s="42">
        <v>0.19415797317436662</v>
      </c>
      <c r="N21" s="4" t="s">
        <v>62</v>
      </c>
      <c r="O21" s="89">
        <f>표5_5[[#This Row],[순수익]]/표6_23[[#This Row],[신규가]]</f>
        <v>0.19415797317436662</v>
      </c>
    </row>
    <row r="22" spans="2:18" x14ac:dyDescent="0.4">
      <c r="B22" s="4">
        <v>19</v>
      </c>
      <c r="C22" s="8" t="s">
        <v>17</v>
      </c>
      <c r="D22" s="8">
        <v>10000</v>
      </c>
      <c r="E22" s="5">
        <f>표3[[#This Row],[원가]]</f>
        <v>9000</v>
      </c>
      <c r="F22" s="5">
        <f>ROUND((10 - $F$2)*(표6_23[[#This Row],[원가]]+표5_5[[#This Row],[택배비]])/(-11*표5_5[[#This Row],[마진율]]+(10-$F$2)*(1-$C$2)), -1)</f>
        <v>15830</v>
      </c>
      <c r="H22" s="22">
        <f>ROUND(표6_23[[#This Row],[신규가]]*$C$2, 0)</f>
        <v>633</v>
      </c>
      <c r="I22" s="22">
        <v>2750</v>
      </c>
      <c r="J22" s="22">
        <f>ROUND(표6_23[[#This Row],[신규가]]/11-표3[[#This Row],[원가]]/11-표5_5[[#This Row],[수수료]]/11-표5_5[[#This Row],[택배비]]/11, 0)</f>
        <v>313</v>
      </c>
      <c r="K22" s="22">
        <f>ROUND(표5_5[[#This Row],[부가세]]*$F$2, 0)</f>
        <v>125</v>
      </c>
      <c r="L22" s="22">
        <f>표6_23[[#This Row],[신규가]]-표3[[#This Row],[원가]]-표5_5[[#This Row],[수수료]]-표5_5[[#This Row],[택배비]]-표5_5[[#This Row],[부가세]]-표5_5[[#This Row],[종소세]]</f>
        <v>3009</v>
      </c>
      <c r="M22" s="42">
        <v>0.19008212255211623</v>
      </c>
      <c r="N22" s="4" t="s">
        <v>62</v>
      </c>
      <c r="O22" s="89">
        <f>표5_5[[#This Row],[순수익]]/표6_23[[#This Row],[신규가]]</f>
        <v>0.19008212255211623</v>
      </c>
    </row>
    <row r="23" spans="2:18" x14ac:dyDescent="0.4">
      <c r="B23" s="4">
        <v>20</v>
      </c>
      <c r="C23" s="8" t="s">
        <v>18</v>
      </c>
      <c r="D23" s="8">
        <v>5000</v>
      </c>
      <c r="E23" s="5">
        <f>표3[[#This Row],[원가]]</f>
        <v>16000</v>
      </c>
      <c r="F23" s="5">
        <f>ROUND((10 - $F$2)*(표6_23[[#This Row],[원가]]+표5_5[[#This Row],[택배비]])/(-11*표5_5[[#This Row],[마진율]]+(10-$F$2)*(1-$C$2)), -1)</f>
        <v>25180</v>
      </c>
      <c r="H23" s="22">
        <f>ROUND(표6_23[[#This Row],[신규가]]*$C$2, 0)</f>
        <v>1007</v>
      </c>
      <c r="I23" s="22">
        <v>2750</v>
      </c>
      <c r="J23" s="22">
        <f>ROUND(표6_23[[#This Row],[신규가]]/11-표3[[#This Row],[원가]]/11-표5_5[[#This Row],[수수료]]/11-표5_5[[#This Row],[택배비]]/11, 0)</f>
        <v>493</v>
      </c>
      <c r="K23" s="22">
        <f>ROUND(표5_5[[#This Row],[부가세]]*$F$2, 0)</f>
        <v>197</v>
      </c>
      <c r="L23" s="22">
        <f>표6_23[[#This Row],[신규가]]-표3[[#This Row],[원가]]-표5_5[[#This Row],[수수료]]-표5_5[[#This Row],[택배비]]-표5_5[[#This Row],[부가세]]-표5_5[[#This Row],[종소세]]</f>
        <v>4733</v>
      </c>
      <c r="M23" s="42">
        <v>0.18796664019062748</v>
      </c>
      <c r="N23" s="4" t="s">
        <v>63</v>
      </c>
      <c r="O23" s="89">
        <f>표5_5[[#This Row],[순수익]]/표6_23[[#This Row],[신규가]]</f>
        <v>0.18796664019062748</v>
      </c>
    </row>
    <row r="24" spans="2:18" x14ac:dyDescent="0.4">
      <c r="B24" s="28">
        <v>21</v>
      </c>
      <c r="C24" s="29" t="s">
        <v>0</v>
      </c>
      <c r="D24" s="30">
        <v>7</v>
      </c>
      <c r="E24" s="31">
        <f>표3[[#This Row],[원가]]</f>
        <v>13776</v>
      </c>
      <c r="F24" s="31">
        <f>ROUND((10 - $F$2)*(표6_23[[#This Row],[원가]]+표5_5[[#This Row],[택배비]])/(-11*표5_5[[#This Row],[마진율]]+(10-$F$2)*(1-$C$2)), -1)</f>
        <v>21930</v>
      </c>
      <c r="H24" s="34">
        <f>ROUND(표6_23[[#This Row],[신규가]]*$C$2, 0)</f>
        <v>877</v>
      </c>
      <c r="I24" s="34">
        <v>2750</v>
      </c>
      <c r="J24" s="34">
        <f>ROUND(표6_23[[#This Row],[신규가]]/11-표3[[#This Row],[원가]]/11-표5_5[[#This Row],[수수료]]/11-표5_5[[#This Row],[택배비]]/11, 0)</f>
        <v>412</v>
      </c>
      <c r="K24" s="34">
        <f>ROUND(표5_5[[#This Row],[부가세]]*$F$2, 0)</f>
        <v>165</v>
      </c>
      <c r="L24" s="34">
        <f>표6_23[[#This Row],[신규가]]-표3[[#This Row],[원가]]-표5_5[[#This Row],[수수료]]-표5_5[[#This Row],[택배비]]-표5_5[[#This Row],[부가세]]-표5_5[[#This Row],[종소세]]</f>
        <v>3950</v>
      </c>
      <c r="M24" s="34">
        <v>0.1801185590515276</v>
      </c>
      <c r="N24" s="36" t="s">
        <v>63</v>
      </c>
      <c r="O24" s="89">
        <f>표5_5[[#This Row],[순수익]]/표6_23[[#This Row],[신규가]]</f>
        <v>0.1801185590515276</v>
      </c>
      <c r="Q24" s="1"/>
    </row>
    <row r="25" spans="2:18" x14ac:dyDescent="0.4">
      <c r="B25" s="28">
        <v>22</v>
      </c>
      <c r="C25" s="32" t="s">
        <v>0</v>
      </c>
      <c r="D25" s="33">
        <v>6</v>
      </c>
      <c r="E25" s="31">
        <f>표3[[#This Row],[원가]]</f>
        <v>11808</v>
      </c>
      <c r="F25" s="31">
        <f>ROUND((10 - $F$2)*(표6_23[[#This Row],[원가]]+표5_5[[#This Row],[택배비]])/(-11*표5_5[[#This Row],[마진율]]+(10-$F$2)*(1-$C$2)), -1)</f>
        <v>19320</v>
      </c>
      <c r="H25" s="34">
        <f>ROUND(표6_23[[#This Row],[신규가]]*$C$2, 0)</f>
        <v>773</v>
      </c>
      <c r="I25" s="34">
        <v>2750</v>
      </c>
      <c r="J25" s="34">
        <f>ROUND(표6_23[[#This Row],[신규가]]/11-표3[[#This Row],[원가]]/11-표5_5[[#This Row],[수수료]]/11-표5_5[[#This Row],[택배비]]/11, 0)</f>
        <v>363</v>
      </c>
      <c r="K25" s="34">
        <f>ROUND(표5_5[[#This Row],[부가세]]*$F$2, 0)</f>
        <v>145</v>
      </c>
      <c r="L25" s="34">
        <f>표6_23[[#This Row],[신규가]]-표3[[#This Row],[원가]]-표5_5[[#This Row],[수수료]]-표5_5[[#This Row],[택배비]]-표5_5[[#This Row],[부가세]]-표5_5[[#This Row],[종소세]]</f>
        <v>3481</v>
      </c>
      <c r="M25" s="34">
        <v>0.18017598343685301</v>
      </c>
      <c r="N25" s="36" t="s">
        <v>63</v>
      </c>
      <c r="O25" s="89">
        <f>표5_5[[#This Row],[순수익]]/표6_23[[#This Row],[신규가]]</f>
        <v>0.18017598343685301</v>
      </c>
    </row>
    <row r="26" spans="2:18" x14ac:dyDescent="0.4">
      <c r="B26" s="28">
        <v>23</v>
      </c>
      <c r="C26" s="29" t="s">
        <v>0</v>
      </c>
      <c r="D26" s="29">
        <v>5</v>
      </c>
      <c r="E26" s="31">
        <f>표3[[#This Row],[원가]]</f>
        <v>9840</v>
      </c>
      <c r="F26" s="31">
        <f>ROUND((10 - $F$2)*(표6_23[[#This Row],[원가]]+표5_5[[#This Row],[택배비]])/(-11*표5_5[[#This Row],[마진율]]+(10-$F$2)*(1-$C$2)), -1)</f>
        <v>16700</v>
      </c>
      <c r="H26" s="34">
        <f>ROUND(표6_23[[#This Row],[신규가]]*$C$2, 0)</f>
        <v>668</v>
      </c>
      <c r="I26" s="34">
        <v>2750</v>
      </c>
      <c r="J26" s="34">
        <f>ROUND(표6_23[[#This Row],[신규가]]/11-표3[[#This Row],[원가]]/11-표5_5[[#This Row],[수수료]]/11-표5_5[[#This Row],[택배비]]/11, 0)</f>
        <v>313</v>
      </c>
      <c r="K26" s="34">
        <f>ROUND(표5_5[[#This Row],[부가세]]*$F$2, 0)</f>
        <v>125</v>
      </c>
      <c r="L26" s="34">
        <f>표6_23[[#This Row],[신규가]]-표3[[#This Row],[원가]]-표5_5[[#This Row],[수수료]]-표5_5[[#This Row],[택배비]]-표5_5[[#This Row],[부가세]]-표5_5[[#This Row],[종소세]]</f>
        <v>3004</v>
      </c>
      <c r="M26" s="34">
        <v>0.17988023952095808</v>
      </c>
      <c r="N26" s="36" t="s">
        <v>63</v>
      </c>
      <c r="O26" s="89">
        <f>표5_5[[#This Row],[순수익]]/표6_23[[#This Row],[신규가]]</f>
        <v>0.17988023952095808</v>
      </c>
    </row>
    <row r="27" spans="2:18" x14ac:dyDescent="0.4">
      <c r="B27" s="28">
        <v>24</v>
      </c>
      <c r="C27" s="29" t="s">
        <v>0</v>
      </c>
      <c r="D27" s="29">
        <v>3</v>
      </c>
      <c r="E27" s="31">
        <f>표3[[#This Row],[원가]]</f>
        <v>12785</v>
      </c>
      <c r="F27" s="31">
        <f>ROUND((10 - $F$2)*(표6_23[[#This Row],[원가]]+표5_5[[#This Row],[택배비]])/(-11*표5_5[[#This Row],[마진율]]+(10-$F$2)*(1-$C$2)), -1)</f>
        <v>20890</v>
      </c>
      <c r="H27" s="34">
        <f>ROUND(표6_23[[#This Row],[신규가]]*$C$2, 0)</f>
        <v>836</v>
      </c>
      <c r="I27" s="34">
        <v>2750</v>
      </c>
      <c r="J27" s="34">
        <f>ROUND(표6_23[[#This Row],[신규가]]/11-표3[[#This Row],[원가]]/11-표5_5[[#This Row],[수수료]]/11-표5_5[[#This Row],[택배비]]/11, 0)</f>
        <v>411</v>
      </c>
      <c r="K27" s="34">
        <f>ROUND(표5_5[[#This Row],[부가세]]*$F$2, 0)</f>
        <v>164</v>
      </c>
      <c r="L27" s="34">
        <f>표6_23[[#This Row],[신규가]]-표3[[#This Row],[원가]]-표5_5[[#This Row],[수수료]]-표5_5[[#This Row],[택배비]]-표5_5[[#This Row],[부가세]]-표5_5[[#This Row],[종소세]]</f>
        <v>3944</v>
      </c>
      <c r="M27" s="34">
        <v>0.18879846816658688</v>
      </c>
      <c r="N27" s="36" t="s">
        <v>63</v>
      </c>
      <c r="O27" s="89">
        <f>표5_5[[#This Row],[순수익]]/표6_23[[#This Row],[신규가]]</f>
        <v>0.18879846816658688</v>
      </c>
    </row>
    <row r="28" spans="2:18" x14ac:dyDescent="0.4">
      <c r="B28" s="28">
        <v>25</v>
      </c>
      <c r="C28" s="29" t="s">
        <v>0</v>
      </c>
      <c r="D28" s="29">
        <v>2</v>
      </c>
      <c r="E28" s="31">
        <f>표3[[#This Row],[원가]]</f>
        <v>8523</v>
      </c>
      <c r="F28" s="31">
        <f>ROUND((10 - $F$2)*(표6_23[[#This Row],[원가]]+표5_5[[#This Row],[택배비]])/(-11*표5_5[[#This Row],[마진율]]+(10-$F$2)*(1-$C$2)), -1)</f>
        <v>14490</v>
      </c>
      <c r="H28" s="34">
        <f>ROUND(표6_23[[#This Row],[신규가]]*$C$2, 0)</f>
        <v>580</v>
      </c>
      <c r="I28" s="34">
        <v>2250</v>
      </c>
      <c r="J28" s="34">
        <f>ROUND(표6_23[[#This Row],[신규가]]/11-표3[[#This Row],[원가]]/11-표5_5[[#This Row],[수수료]]/11-표5_5[[#This Row],[택배비]]/11, 0)</f>
        <v>285</v>
      </c>
      <c r="K28" s="34">
        <f>ROUND(표5_5[[#This Row],[부가세]]*$F$2, 0)</f>
        <v>114</v>
      </c>
      <c r="L28" s="34">
        <f>표6_23[[#This Row],[신규가]]-표3[[#This Row],[원가]]-표5_5[[#This Row],[수수료]]-표5_5[[#This Row],[택배비]]-표5_5[[#This Row],[부가세]]-표5_5[[#This Row],[종소세]]</f>
        <v>2738</v>
      </c>
      <c r="M28" s="34">
        <v>0.18895790200138027</v>
      </c>
      <c r="N28" s="36" t="s">
        <v>63</v>
      </c>
      <c r="O28" s="89">
        <f>표5_5[[#This Row],[순수익]]/표6_23[[#This Row],[신규가]]</f>
        <v>0.18895790200138027</v>
      </c>
    </row>
    <row r="29" spans="2:18" x14ac:dyDescent="0.4">
      <c r="B29" s="28">
        <v>26</v>
      </c>
      <c r="C29" s="29" t="s">
        <v>6</v>
      </c>
      <c r="D29" s="29">
        <v>2</v>
      </c>
      <c r="E29" s="31">
        <f>표3[[#This Row],[원가]]</f>
        <v>10696</v>
      </c>
      <c r="F29" s="31">
        <f>ROUND((10 - $F$2)*(표6_23[[#This Row],[원가]]+표5_5[[#This Row],[택배비]])/(-11*표5_5[[#This Row],[마진율]]+(10-$F$2)*(1-$C$2)), -1)</f>
        <v>18070</v>
      </c>
      <c r="H29" s="34">
        <f>ROUND(표6_23[[#This Row],[신규가]]*$C$2, 0)</f>
        <v>723</v>
      </c>
      <c r="I29" s="34">
        <v>2750</v>
      </c>
      <c r="J29" s="34">
        <f>ROUND(표6_23[[#This Row],[신규가]]/11-표3[[#This Row],[원가]]/11-표5_5[[#This Row],[수수료]]/11-표5_5[[#This Row],[택배비]]/11, 0)</f>
        <v>355</v>
      </c>
      <c r="K29" s="34">
        <f>ROUND(표5_5[[#This Row],[부가세]]*$F$2, 0)</f>
        <v>142</v>
      </c>
      <c r="L29" s="34">
        <f>표6_23[[#This Row],[신규가]]-표3[[#This Row],[원가]]-표5_5[[#This Row],[수수료]]-표5_5[[#This Row],[택배비]]-표5_5[[#This Row],[부가세]]-표5_5[[#This Row],[종소세]]</f>
        <v>3404</v>
      </c>
      <c r="M29" s="34">
        <v>0.1885945945945946</v>
      </c>
      <c r="N29" s="36" t="s">
        <v>63</v>
      </c>
      <c r="O29" s="89">
        <f>표5_5[[#This Row],[순수익]]/표6_23[[#This Row],[신규가]]</f>
        <v>0.18837852794687326</v>
      </c>
    </row>
    <row r="30" spans="2:18" x14ac:dyDescent="0.4">
      <c r="B30" s="28">
        <v>27</v>
      </c>
      <c r="C30" s="29" t="s">
        <v>48</v>
      </c>
      <c r="D30" s="29">
        <v>2</v>
      </c>
      <c r="E30" s="31">
        <f>표3[[#This Row],[원가]]</f>
        <v>11013</v>
      </c>
      <c r="F30" s="31">
        <f>ROUND((10 - $F$2)*(표6_23[[#This Row],[원가]]+표5_5[[#This Row],[택배비]])/(-11*표5_5[[#This Row],[마진율]]+(10-$F$2)*(1-$C$2)), -1)</f>
        <v>18470</v>
      </c>
      <c r="H30" s="34">
        <f>ROUND(표6_23[[#This Row],[신규가]]*$C$2, 0)</f>
        <v>739</v>
      </c>
      <c r="I30" s="34">
        <v>2750</v>
      </c>
      <c r="J30" s="34">
        <f>ROUND(표6_23[[#This Row],[신규가]]/11-표3[[#This Row],[원가]]/11-표5_5[[#This Row],[수수료]]/11-표5_5[[#This Row],[택배비]]/11, 0)</f>
        <v>361</v>
      </c>
      <c r="K30" s="34">
        <f>ROUND(표5_5[[#This Row],[부가세]]*$F$2, 0)</f>
        <v>144</v>
      </c>
      <c r="L30" s="34">
        <f>표6_23[[#This Row],[신규가]]-표3[[#This Row],[원가]]-표5_5[[#This Row],[수수료]]-표5_5[[#This Row],[택배비]]-표5_5[[#This Row],[부가세]]-표5_5[[#This Row],[종소세]]</f>
        <v>3463</v>
      </c>
      <c r="M30" s="34">
        <v>0.18761955366631244</v>
      </c>
      <c r="N30" s="36" t="s">
        <v>63</v>
      </c>
      <c r="O30" s="89">
        <f>표5_5[[#This Row],[순수익]]/표6_23[[#This Row],[신규가]]</f>
        <v>0.18749323226854359</v>
      </c>
    </row>
    <row r="31" spans="2:18" x14ac:dyDescent="0.4">
      <c r="B31" s="28">
        <v>28</v>
      </c>
      <c r="C31" s="29" t="s">
        <v>49</v>
      </c>
      <c r="D31" s="29">
        <v>3</v>
      </c>
      <c r="E31" s="31">
        <f>표3[[#This Row],[원가]]</f>
        <v>11271</v>
      </c>
      <c r="F31" s="31">
        <f>ROUND((10 - $F$2)*(표6_23[[#This Row],[원가]]+표5_5[[#This Row],[택배비]])/(-11*표5_5[[#This Row],[마진율]]+(10-$F$2)*(1-$C$2)), -1)</f>
        <v>18900</v>
      </c>
      <c r="H31" s="34">
        <f>ROUND(표6_23[[#This Row],[신규가]]*$C$2, 0)</f>
        <v>756</v>
      </c>
      <c r="I31" s="34">
        <v>2750</v>
      </c>
      <c r="J31" s="34">
        <f>ROUND(표6_23[[#This Row],[신규가]]/11-표3[[#This Row],[원가]]/11-표5_5[[#This Row],[수수료]]/11-표5_5[[#This Row],[택배비]]/11, 0)</f>
        <v>375</v>
      </c>
      <c r="K31" s="34">
        <f>ROUND(표5_5[[#This Row],[부가세]]*$F$2, 0)</f>
        <v>150</v>
      </c>
      <c r="L31" s="34">
        <f>표6_23[[#This Row],[신규가]]-표3[[#This Row],[원가]]-표5_5[[#This Row],[수수료]]-표5_5[[#This Row],[택배비]]-표5_5[[#This Row],[부가세]]-표5_5[[#This Row],[종소세]]</f>
        <v>3598</v>
      </c>
      <c r="M31" s="34">
        <v>0.19026548672566371</v>
      </c>
      <c r="N31" s="36" t="s">
        <v>63</v>
      </c>
      <c r="O31" s="89">
        <f>표5_5[[#This Row],[순수익]]/표6_23[[#This Row],[신규가]]</f>
        <v>0.19037037037037038</v>
      </c>
    </row>
    <row r="32" spans="2:18" x14ac:dyDescent="0.4">
      <c r="B32" s="28">
        <v>29</v>
      </c>
      <c r="C32" s="29" t="s">
        <v>50</v>
      </c>
      <c r="D32" s="29">
        <v>3</v>
      </c>
      <c r="E32" s="31">
        <f>표3[[#This Row],[원가]]</f>
        <v>8987</v>
      </c>
      <c r="F32" s="31">
        <f>ROUND((10 - $F$2)*(표6_23[[#This Row],[원가]]+표5_5[[#This Row],[택배비]])/(-11*표5_5[[#This Row],[마진율]]+(10-$F$2)*(1-$C$2)), -1)</f>
        <v>15820</v>
      </c>
      <c r="H32" s="34">
        <f>ROUND(표6_23[[#This Row],[신규가]]*$C$2, 0)</f>
        <v>633</v>
      </c>
      <c r="I32" s="34">
        <v>2750</v>
      </c>
      <c r="J32" s="34">
        <f>ROUND(표6_23[[#This Row],[신규가]]/11-표3[[#This Row],[원가]]/11-표5_5[[#This Row],[수수료]]/11-표5_5[[#This Row],[택배비]]/11, 0)</f>
        <v>314</v>
      </c>
      <c r="K32" s="34">
        <f>ROUND(표5_5[[#This Row],[부가세]]*$F$2, 0)</f>
        <v>126</v>
      </c>
      <c r="L32" s="34">
        <f>표6_23[[#This Row],[신규가]]-표3[[#This Row],[원가]]-표5_5[[#This Row],[수수료]]-표5_5[[#This Row],[택배비]]-표5_5[[#This Row],[부가세]]-표5_5[[#This Row],[종소세]]</f>
        <v>3010</v>
      </c>
      <c r="M32" s="34">
        <v>0.190310786106033</v>
      </c>
      <c r="N32" s="36" t="s">
        <v>63</v>
      </c>
      <c r="O32" s="89">
        <f>표5_5[[#This Row],[순수익]]/표6_23[[#This Row],[신규가]]</f>
        <v>0.19026548672566371</v>
      </c>
    </row>
    <row r="33" spans="2:6" x14ac:dyDescent="0.4">
      <c r="B33" s="4"/>
      <c r="C33" s="8"/>
      <c r="D33" s="8"/>
      <c r="E33" s="21"/>
      <c r="F33" s="22"/>
    </row>
    <row r="34" spans="2:6" x14ac:dyDescent="0.4">
      <c r="B34" s="4"/>
      <c r="C34" s="8"/>
      <c r="D34" s="8"/>
      <c r="E34" s="41"/>
      <c r="F34" s="22"/>
    </row>
  </sheetData>
  <mergeCells count="1">
    <mergeCell ref="H2:N2"/>
  </mergeCells>
  <phoneticPr fontId="1" type="noConversion"/>
  <pageMargins left="0.7" right="0.7" top="0.75" bottom="0.75" header="0.3" footer="0.3"/>
  <pageSetup paperSize="9" orientation="portrait" verticalDpi="203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S34"/>
  <sheetViews>
    <sheetView workbookViewId="0">
      <selection activeCell="G4" sqref="G4"/>
    </sheetView>
  </sheetViews>
  <sheetFormatPr defaultRowHeight="17.399999999999999" x14ac:dyDescent="0.4"/>
  <cols>
    <col min="1" max="1" width="2.8984375" customWidth="1"/>
    <col min="2" max="2" width="5.8984375" bestFit="1" customWidth="1"/>
    <col min="3" max="3" width="9.8984375" bestFit="1" customWidth="1"/>
    <col min="4" max="4" width="5.8984375" bestFit="1" customWidth="1"/>
    <col min="5" max="6" width="6.8984375" bestFit="1" customWidth="1"/>
    <col min="7" max="7" width="6" bestFit="1" customWidth="1"/>
    <col min="8" max="8" width="3.3984375" customWidth="1"/>
    <col min="9" max="14" width="7.8984375" bestFit="1" customWidth="1"/>
    <col min="15" max="15" width="6.3984375" style="23" bestFit="1" customWidth="1"/>
    <col min="18" max="18" width="9.8984375" bestFit="1" customWidth="1"/>
    <col min="19" max="19" width="10.19921875" bestFit="1" customWidth="1"/>
  </cols>
  <sheetData>
    <row r="2" spans="2:18" x14ac:dyDescent="0.4">
      <c r="B2" s="24" t="s">
        <v>64</v>
      </c>
      <c r="C2" s="24">
        <v>0.09</v>
      </c>
      <c r="D2" s="24"/>
      <c r="E2" s="24" t="s">
        <v>51</v>
      </c>
      <c r="F2" s="24">
        <v>0.4</v>
      </c>
      <c r="G2" s="38"/>
    </row>
    <row r="3" spans="2:18" x14ac:dyDescent="0.4">
      <c r="B3" s="4" t="s">
        <v>21</v>
      </c>
      <c r="C3" s="27" t="s">
        <v>30</v>
      </c>
      <c r="D3" s="27" t="s">
        <v>31</v>
      </c>
      <c r="E3" s="27" t="s">
        <v>65</v>
      </c>
      <c r="F3" s="27" t="s">
        <v>26</v>
      </c>
      <c r="G3" s="27" t="s">
        <v>66</v>
      </c>
      <c r="H3" s="1"/>
      <c r="I3" s="2" t="s">
        <v>52</v>
      </c>
      <c r="J3" s="25" t="s">
        <v>53</v>
      </c>
      <c r="K3" s="25" t="s">
        <v>54</v>
      </c>
      <c r="L3" s="25" t="s">
        <v>55</v>
      </c>
      <c r="M3" s="25" t="s">
        <v>56</v>
      </c>
      <c r="N3" s="25" t="s">
        <v>57</v>
      </c>
      <c r="O3" s="37" t="s">
        <v>58</v>
      </c>
    </row>
    <row r="4" spans="2:18" x14ac:dyDescent="0.4">
      <c r="B4" s="4">
        <v>1</v>
      </c>
      <c r="C4" s="8" t="s">
        <v>0</v>
      </c>
      <c r="D4" s="8">
        <v>10</v>
      </c>
      <c r="E4" s="5">
        <f>표3[[#This Row],[원가]]</f>
        <v>19680</v>
      </c>
      <c r="F4" s="5">
        <v>31990</v>
      </c>
      <c r="G4" s="5">
        <f>IF(표3[[#This Row],[인터넷판매가]] = 0, 0, 표6_2[[#This Row],[신규가]]-표3[[#This Row],[인터넷판매가]])</f>
        <v>1290</v>
      </c>
      <c r="H4" s="1"/>
      <c r="I4" s="22">
        <f>ROUND(표6_2[[#This Row],[신규가]]*$C$2, 0)</f>
        <v>2879</v>
      </c>
      <c r="J4" s="22">
        <v>3500</v>
      </c>
      <c r="K4" s="22">
        <f>ROUND(표6_2[[#This Row],[신규가]]/11-표3[[#This Row],[원가]]/11-표5[[#This Row],[수수료]]/11-표5[[#This Row],[택배비]]/11, 0)</f>
        <v>539</v>
      </c>
      <c r="L4" s="22">
        <f>ROUND(표5[[#This Row],[부가세]]*$F$2, 0)</f>
        <v>216</v>
      </c>
      <c r="M4" s="22">
        <f>표6_2[[#This Row],[신규가]]-표3[[#This Row],[원가]]-표5[[#This Row],[수수료]]-표5[[#This Row],[택배비]]-표5[[#This Row],[부가세]]-표5[[#This Row],[종소세]]</f>
        <v>5176</v>
      </c>
      <c r="N4" s="26">
        <f>IF(표6_2[[#This Row],[신규가]] = 0, 0, 표5[[#This Row],[순수익]]/표6_2[[#This Row],[신규가]])</f>
        <v>0.1618005626758362</v>
      </c>
      <c r="O4" s="4" t="s">
        <v>59</v>
      </c>
    </row>
    <row r="5" spans="2:18" x14ac:dyDescent="0.4">
      <c r="B5" s="4">
        <v>2</v>
      </c>
      <c r="C5" s="8" t="s">
        <v>1</v>
      </c>
      <c r="D5" s="20">
        <v>10</v>
      </c>
      <c r="E5" s="5">
        <f>표3[[#This Row],[원가]]</f>
        <v>19980</v>
      </c>
      <c r="F5" s="5">
        <v>0</v>
      </c>
      <c r="G5" s="5">
        <f>IF(표3[[#This Row],[인터넷판매가]] = 0, 0, 표6_2[[#This Row],[신규가]]-표3[[#This Row],[인터넷판매가]])</f>
        <v>0</v>
      </c>
      <c r="H5" s="1"/>
      <c r="I5" s="22">
        <f>ROUND(표6_2[[#This Row],[신규가]]*$C$2, 0)</f>
        <v>0</v>
      </c>
      <c r="J5" s="22">
        <v>3500</v>
      </c>
      <c r="K5" s="22">
        <f>ROUND(표6_2[[#This Row],[신규가]]/11-표3[[#This Row],[원가]]/11-표5[[#This Row],[수수료]]/11-표5[[#This Row],[택배비]]/11, 0)</f>
        <v>-2135</v>
      </c>
      <c r="L5" s="22">
        <f>ROUND(표5[[#This Row],[부가세]]*$F$2, 0)</f>
        <v>-854</v>
      </c>
      <c r="M5" s="22">
        <f>표6_2[[#This Row],[신규가]]-표3[[#This Row],[원가]]-표5[[#This Row],[수수료]]-표5[[#This Row],[택배비]]-표5[[#This Row],[부가세]]-표5[[#This Row],[종소세]]</f>
        <v>-20491</v>
      </c>
      <c r="N5" s="26">
        <f>IF(표6_2[[#This Row],[신규가]] = 0, 0, 표5[[#This Row],[순수익]]/표6_2[[#This Row],[신규가]])</f>
        <v>0</v>
      </c>
      <c r="O5" s="4" t="s">
        <v>60</v>
      </c>
    </row>
    <row r="6" spans="2:18" x14ac:dyDescent="0.4">
      <c r="B6" s="4">
        <v>3</v>
      </c>
      <c r="C6" s="8" t="s">
        <v>0</v>
      </c>
      <c r="D6" s="8">
        <v>24</v>
      </c>
      <c r="E6" s="5">
        <f>표3[[#This Row],[원가]]</f>
        <v>17046</v>
      </c>
      <c r="F6" s="5">
        <v>28700</v>
      </c>
      <c r="G6" s="5">
        <f>IF(표3[[#This Row],[인터넷판매가]] = 0, 0, 표6_2[[#This Row],[신규가]]-표3[[#This Row],[인터넷판매가]])</f>
        <v>1300</v>
      </c>
      <c r="H6" s="1"/>
      <c r="I6" s="22">
        <f>ROUND(표6_2[[#This Row],[신규가]]*$C$2, 0)</f>
        <v>2583</v>
      </c>
      <c r="J6" s="22">
        <v>3500</v>
      </c>
      <c r="K6" s="22">
        <f>ROUND(표6_2[[#This Row],[신규가]]/11-표3[[#This Row],[원가]]/11-표5[[#This Row],[수수료]]/11-표5[[#This Row],[택배비]]/11, 0)</f>
        <v>506</v>
      </c>
      <c r="L6" s="22">
        <f>ROUND(표5[[#This Row],[부가세]]*$F$2, 0)</f>
        <v>202</v>
      </c>
      <c r="M6" s="22">
        <f>표6_2[[#This Row],[신규가]]-표3[[#This Row],[원가]]-표5[[#This Row],[수수료]]-표5[[#This Row],[택배비]]-표5[[#This Row],[부가세]]-표5[[#This Row],[종소세]]</f>
        <v>4863</v>
      </c>
      <c r="N6" s="26">
        <f>IF(표6_2[[#This Row],[신규가]] = 0, 0, 표5[[#This Row],[순수익]]/표6_2[[#This Row],[신규가]])</f>
        <v>0.16944250871080138</v>
      </c>
      <c r="O6" s="4" t="s">
        <v>59</v>
      </c>
    </row>
    <row r="7" spans="2:18" x14ac:dyDescent="0.4">
      <c r="B7" s="4">
        <v>4</v>
      </c>
      <c r="C7" s="8" t="s">
        <v>2</v>
      </c>
      <c r="D7" s="8">
        <v>30</v>
      </c>
      <c r="E7" s="5">
        <f>표3[[#This Row],[원가]]</f>
        <v>12248</v>
      </c>
      <c r="F7" s="5">
        <v>20320</v>
      </c>
      <c r="G7" s="5">
        <f>IF(표3[[#This Row],[인터넷판매가]] = 0, 0, 표6_2[[#This Row],[신규가]]-표3[[#This Row],[인터넷판매가]])</f>
        <v>-80</v>
      </c>
      <c r="H7" s="1"/>
      <c r="I7" s="22">
        <f>ROUND(표6_2[[#This Row],[신규가]]*$C$2, 0)</f>
        <v>1829</v>
      </c>
      <c r="J7" s="22">
        <v>3000</v>
      </c>
      <c r="K7" s="22">
        <f>ROUND(표6_2[[#This Row],[신규가]]/11-표3[[#This Row],[원가]]/11-표5[[#This Row],[수수료]]/11-표5[[#This Row],[택배비]]/11, 0)</f>
        <v>295</v>
      </c>
      <c r="L7" s="22">
        <f>ROUND(표5[[#This Row],[부가세]]*$F$2, 0)</f>
        <v>118</v>
      </c>
      <c r="M7" s="22">
        <f>표6_2[[#This Row],[신규가]]-표3[[#This Row],[원가]]-표5[[#This Row],[수수료]]-표5[[#This Row],[택배비]]-표5[[#This Row],[부가세]]-표5[[#This Row],[종소세]]</f>
        <v>2830</v>
      </c>
      <c r="N7" s="26">
        <f>IF(표6_2[[#This Row],[신규가]] = 0, 0, 표5[[#This Row],[순수익]]/표6_2[[#This Row],[신규가]])</f>
        <v>0.13927165354330709</v>
      </c>
      <c r="O7" s="4" t="s">
        <v>59</v>
      </c>
      <c r="Q7">
        <f>표5[[#This Row],[순수익]]+표5[[#This Row],[부가세]]+표5[[#This Row],[종소세]]</f>
        <v>3243</v>
      </c>
      <c r="R7">
        <f>Q7/표6_2[[#This Row],[신규가]]</f>
        <v>0.15959645669291339</v>
      </c>
    </row>
    <row r="8" spans="2:18" x14ac:dyDescent="0.4">
      <c r="B8" s="4">
        <v>5</v>
      </c>
      <c r="C8" s="8" t="s">
        <v>3</v>
      </c>
      <c r="D8" s="8">
        <v>30</v>
      </c>
      <c r="E8" s="5">
        <f>표3[[#This Row],[원가]]</f>
        <v>14190</v>
      </c>
      <c r="F8" s="5">
        <v>24640</v>
      </c>
      <c r="G8" s="5">
        <f>IF(표3[[#This Row],[인터넷판매가]] = 0, 0, 표6_2[[#This Row],[신규가]]-표3[[#This Row],[인터넷판매가]])</f>
        <v>-850</v>
      </c>
      <c r="H8" s="1"/>
      <c r="I8" s="22">
        <f>ROUND(표6_2[[#This Row],[신규가]]*$C$2, 0)</f>
        <v>2218</v>
      </c>
      <c r="J8" s="22">
        <v>3500</v>
      </c>
      <c r="K8" s="22">
        <f>ROUND(표6_2[[#This Row],[신규가]]/11-표3[[#This Row],[원가]]/11-표5[[#This Row],[수수료]]/11-표5[[#This Row],[택배비]]/11, 0)</f>
        <v>430</v>
      </c>
      <c r="L8" s="22">
        <f>ROUND(표5[[#This Row],[부가세]]*$F$2, 0)</f>
        <v>172</v>
      </c>
      <c r="M8" s="22">
        <f>표6_2[[#This Row],[신규가]]-표3[[#This Row],[원가]]-표5[[#This Row],[수수료]]-표5[[#This Row],[택배비]]-표5[[#This Row],[부가세]]-표5[[#This Row],[종소세]]</f>
        <v>4130</v>
      </c>
      <c r="N8" s="26">
        <f>IF(표6_2[[#This Row],[신규가]] = 0, 0, 표5[[#This Row],[순수익]]/표6_2[[#This Row],[신규가]])</f>
        <v>0.16761363636363635</v>
      </c>
      <c r="O8" s="4" t="s">
        <v>59</v>
      </c>
    </row>
    <row r="9" spans="2:18" x14ac:dyDescent="0.4">
      <c r="B9" s="4">
        <v>6</v>
      </c>
      <c r="C9" s="8" t="s">
        <v>4</v>
      </c>
      <c r="D9" s="8">
        <v>30</v>
      </c>
      <c r="E9" s="5">
        <f>표3[[#This Row],[원가]]</f>
        <v>14190</v>
      </c>
      <c r="F9" s="5">
        <v>24640</v>
      </c>
      <c r="G9" s="5">
        <f>IF(표3[[#This Row],[인터넷판매가]] = 0, 0, 표6_2[[#This Row],[신규가]]-표3[[#This Row],[인터넷판매가]])</f>
        <v>-850</v>
      </c>
      <c r="H9" s="1"/>
      <c r="I9" s="22">
        <f>ROUND(표6_2[[#This Row],[신규가]]*$C$2, 0)</f>
        <v>2218</v>
      </c>
      <c r="J9" s="22">
        <v>3500</v>
      </c>
      <c r="K9" s="22">
        <f>ROUND(표6_2[[#This Row],[신규가]]/11-표3[[#This Row],[원가]]/11-표5[[#This Row],[수수료]]/11-표5[[#This Row],[택배비]]/11, 0)</f>
        <v>430</v>
      </c>
      <c r="L9" s="22">
        <f>ROUND(표5[[#This Row],[부가세]]*$F$2, 0)</f>
        <v>172</v>
      </c>
      <c r="M9" s="22">
        <f>표6_2[[#This Row],[신규가]]-표3[[#This Row],[원가]]-표5[[#This Row],[수수료]]-표5[[#This Row],[택배비]]-표5[[#This Row],[부가세]]-표5[[#This Row],[종소세]]</f>
        <v>4130</v>
      </c>
      <c r="N9" s="26">
        <f>IF(표6_2[[#This Row],[신규가]] = 0, 0, 표5[[#This Row],[순수익]]/표6_2[[#This Row],[신규가]])</f>
        <v>0.16761363636363635</v>
      </c>
      <c r="O9" s="4" t="s">
        <v>59</v>
      </c>
    </row>
    <row r="10" spans="2:18" x14ac:dyDescent="0.4">
      <c r="B10" s="4">
        <v>7</v>
      </c>
      <c r="C10" s="8" t="s">
        <v>5</v>
      </c>
      <c r="D10" s="8">
        <v>30</v>
      </c>
      <c r="E10" s="5">
        <f>표3[[#This Row],[원가]]</f>
        <v>16044</v>
      </c>
      <c r="F10" s="5">
        <v>27280</v>
      </c>
      <c r="G10" s="5">
        <f>IF(표3[[#This Row],[인터넷판매가]] = 0, 0, 표6_2[[#This Row],[신규가]]-표3[[#This Row],[인터넷판매가]])</f>
        <v>980</v>
      </c>
      <c r="H10" s="1"/>
      <c r="I10" s="22">
        <f>ROUND(표6_2[[#This Row],[신규가]]*$C$2, 0)</f>
        <v>2455</v>
      </c>
      <c r="J10" s="22">
        <v>3500</v>
      </c>
      <c r="K10" s="22">
        <f>ROUND(표6_2[[#This Row],[신규가]]/11-표3[[#This Row],[원가]]/11-표5[[#This Row],[수수료]]/11-표5[[#This Row],[택배비]]/11, 0)</f>
        <v>480</v>
      </c>
      <c r="L10" s="22">
        <f>ROUND(표5[[#This Row],[부가세]]*$F$2, 0)</f>
        <v>192</v>
      </c>
      <c r="M10" s="22">
        <f>표6_2[[#This Row],[신규가]]-표3[[#This Row],[원가]]-표5[[#This Row],[수수료]]-표5[[#This Row],[택배비]]-표5[[#This Row],[부가세]]-표5[[#This Row],[종소세]]</f>
        <v>4609</v>
      </c>
      <c r="N10" s="26">
        <f>IF(표6_2[[#This Row],[신규가]] = 0, 0, 표5[[#This Row],[순수익]]/표6_2[[#This Row],[신규가]])</f>
        <v>0.1689516129032258</v>
      </c>
      <c r="O10" s="4" t="s">
        <v>59</v>
      </c>
    </row>
    <row r="11" spans="2:18" x14ac:dyDescent="0.4">
      <c r="B11" s="4">
        <v>8</v>
      </c>
      <c r="C11" s="8" t="s">
        <v>6</v>
      </c>
      <c r="D11" s="8">
        <v>30</v>
      </c>
      <c r="E11" s="5">
        <f>표3[[#This Row],[원가]]</f>
        <v>16519</v>
      </c>
      <c r="F11" s="5">
        <v>27950</v>
      </c>
      <c r="G11" s="5">
        <f>IF(표3[[#This Row],[인터넷판매가]] = 0, 0, 표6_2[[#This Row],[신규가]]-표3[[#This Row],[인터넷판매가]])</f>
        <v>550</v>
      </c>
      <c r="H11" s="1"/>
      <c r="I11" s="22">
        <f>ROUND(표6_2[[#This Row],[신규가]]*$C$2, 0)</f>
        <v>2516</v>
      </c>
      <c r="J11" s="22">
        <v>3500</v>
      </c>
      <c r="K11" s="22">
        <f>ROUND(표6_2[[#This Row],[신규가]]/11-표3[[#This Row],[원가]]/11-표5[[#This Row],[수수료]]/11-표5[[#This Row],[택배비]]/11, 0)</f>
        <v>492</v>
      </c>
      <c r="L11" s="22">
        <f>ROUND(표5[[#This Row],[부가세]]*$F$2, 0)</f>
        <v>197</v>
      </c>
      <c r="M11" s="22">
        <f>표6_2[[#This Row],[신규가]]-표3[[#This Row],[원가]]-표5[[#This Row],[수수료]]-표5[[#This Row],[택배비]]-표5[[#This Row],[부가세]]-표5[[#This Row],[종소세]]</f>
        <v>4726</v>
      </c>
      <c r="N11" s="26">
        <f>IF(표6_2[[#This Row],[신규가]] = 0, 0, 표5[[#This Row],[순수익]]/표6_2[[#This Row],[신규가]])</f>
        <v>0.16908765652951699</v>
      </c>
      <c r="O11" s="4" t="s">
        <v>59</v>
      </c>
    </row>
    <row r="12" spans="2:18" x14ac:dyDescent="0.4">
      <c r="B12" s="4">
        <v>9</v>
      </c>
      <c r="C12" s="8" t="s">
        <v>7</v>
      </c>
      <c r="D12" s="20">
        <v>30</v>
      </c>
      <c r="E12" s="5">
        <f>표3[[#This Row],[원가]]</f>
        <v>14190</v>
      </c>
      <c r="F12" s="5">
        <v>0</v>
      </c>
      <c r="G12" s="5">
        <f>IF(표3[[#This Row],[인터넷판매가]] = 0, 0, 표6_2[[#This Row],[신규가]]-표3[[#This Row],[인터넷판매가]])</f>
        <v>0</v>
      </c>
      <c r="H12" s="1"/>
      <c r="I12" s="22">
        <f>ROUND(표6_2[[#This Row],[신규가]]*$C$2, 0)</f>
        <v>0</v>
      </c>
      <c r="J12" s="22">
        <v>3500</v>
      </c>
      <c r="K12" s="22">
        <f>ROUND(표6_2[[#This Row],[신규가]]/11-표3[[#This Row],[원가]]/11-표5[[#This Row],[수수료]]/11-표5[[#This Row],[택배비]]/11, 0)</f>
        <v>-1608</v>
      </c>
      <c r="L12" s="22">
        <f>ROUND(표5[[#This Row],[부가세]]*$F$2, 0)</f>
        <v>-643</v>
      </c>
      <c r="M12" s="22">
        <f>표6_2[[#This Row],[신규가]]-표3[[#This Row],[원가]]-표5[[#This Row],[수수료]]-표5[[#This Row],[택배비]]-표5[[#This Row],[부가세]]-표5[[#This Row],[종소세]]</f>
        <v>-15439</v>
      </c>
      <c r="N12" s="26">
        <f>IF(표6_2[[#This Row],[신규가]] = 0, 0, 표5[[#This Row],[순수익]]/표6_2[[#This Row],[신규가]])</f>
        <v>0</v>
      </c>
      <c r="O12" s="4" t="s">
        <v>61</v>
      </c>
    </row>
    <row r="13" spans="2:18" x14ac:dyDescent="0.4">
      <c r="B13" s="4">
        <v>10</v>
      </c>
      <c r="C13" s="8" t="s">
        <v>8</v>
      </c>
      <c r="D13" s="8">
        <v>30</v>
      </c>
      <c r="E13" s="5">
        <f>표3[[#This Row],[원가]]</f>
        <v>16906</v>
      </c>
      <c r="F13" s="5">
        <v>28500</v>
      </c>
      <c r="G13" s="5">
        <f>IF(표3[[#This Row],[인터넷판매가]] = 0, 0, 표6_2[[#This Row],[신규가]]-표3[[#This Row],[인터넷판매가]])</f>
        <v>-100</v>
      </c>
      <c r="H13" s="1"/>
      <c r="I13" s="22">
        <f>ROUND(표6_2[[#This Row],[신규가]]*$C$2, 0)</f>
        <v>2565</v>
      </c>
      <c r="J13" s="22">
        <v>3500</v>
      </c>
      <c r="K13" s="22">
        <f>ROUND(표6_2[[#This Row],[신규가]]/11-표3[[#This Row],[원가]]/11-표5[[#This Row],[수수료]]/11-표5[[#This Row],[택배비]]/11, 0)</f>
        <v>503</v>
      </c>
      <c r="L13" s="22">
        <f>ROUND(표5[[#This Row],[부가세]]*$F$2, 0)</f>
        <v>201</v>
      </c>
      <c r="M13" s="22">
        <f>표6_2[[#This Row],[신규가]]-표3[[#This Row],[원가]]-표5[[#This Row],[수수료]]-표5[[#This Row],[택배비]]-표5[[#This Row],[부가세]]-표5[[#This Row],[종소세]]</f>
        <v>4825</v>
      </c>
      <c r="N13" s="26">
        <f>IF(표6_2[[#This Row],[신규가]] = 0, 0, 표5[[#This Row],[순수익]]/표6_2[[#This Row],[신규가]])</f>
        <v>0.16929824561403509</v>
      </c>
      <c r="O13" s="4" t="s">
        <v>59</v>
      </c>
    </row>
    <row r="14" spans="2:18" x14ac:dyDescent="0.4">
      <c r="B14" s="4">
        <v>11</v>
      </c>
      <c r="C14" s="8" t="s">
        <v>9</v>
      </c>
      <c r="D14" s="8">
        <v>16</v>
      </c>
      <c r="E14" s="5">
        <f>표3[[#This Row],[원가]]</f>
        <v>11983</v>
      </c>
      <c r="F14" s="5">
        <v>20990</v>
      </c>
      <c r="G14" s="5">
        <f>IF(표3[[#This Row],[인터넷판매가]] = 0, 0, 표6_2[[#This Row],[신규가]]-표3[[#This Row],[인터넷판매가]])</f>
        <v>290</v>
      </c>
      <c r="H14" s="1"/>
      <c r="I14" s="22">
        <f>ROUND(표6_2[[#This Row],[신규가]]*$C$2, 0)</f>
        <v>1889</v>
      </c>
      <c r="J14" s="22">
        <v>3000</v>
      </c>
      <c r="K14" s="22">
        <f>ROUND(표6_2[[#This Row],[신규가]]/11-표3[[#This Row],[원가]]/11-표5[[#This Row],[수수료]]/11-표5[[#This Row],[택배비]]/11, 0)</f>
        <v>374</v>
      </c>
      <c r="L14" s="22">
        <f>ROUND(표5[[#This Row],[부가세]]*$F$2, 0)</f>
        <v>150</v>
      </c>
      <c r="M14" s="22">
        <f>표6_2[[#This Row],[신규가]]-표3[[#This Row],[원가]]-표5[[#This Row],[수수료]]-표5[[#This Row],[택배비]]-표5[[#This Row],[부가세]]-표5[[#This Row],[종소세]]</f>
        <v>3594</v>
      </c>
      <c r="N14" s="26">
        <f>IF(표6_2[[#This Row],[신규가]] = 0, 0, 표5[[#This Row],[순수익]]/표6_2[[#This Row],[신규가]])</f>
        <v>0.17122439256788946</v>
      </c>
      <c r="O14" s="4" t="s">
        <v>59</v>
      </c>
      <c r="Q14" s="1">
        <f>표5[[#This Row],[순수익]]+표5[[#This Row],[종소세]]+표5[[#This Row],[부가세]]</f>
        <v>4118</v>
      </c>
    </row>
    <row r="15" spans="2:18" x14ac:dyDescent="0.4">
      <c r="B15" s="4">
        <v>12</v>
      </c>
      <c r="C15" s="8" t="s">
        <v>10</v>
      </c>
      <c r="D15" s="8">
        <v>16</v>
      </c>
      <c r="E15" s="5">
        <f>표3[[#This Row],[원가]]</f>
        <v>13777</v>
      </c>
      <c r="F15" s="5">
        <v>23990</v>
      </c>
      <c r="G15" s="5">
        <f>IF(표3[[#This Row],[인터넷판매가]] = 0, 0, 표6_2[[#This Row],[신규가]]-표3[[#This Row],[인터넷판매가]])</f>
        <v>-500</v>
      </c>
      <c r="H15" s="1"/>
      <c r="I15" s="22">
        <f>ROUND(표6_2[[#This Row],[신규가]]*$C$2, 0)</f>
        <v>2159</v>
      </c>
      <c r="J15" s="22">
        <v>3000</v>
      </c>
      <c r="K15" s="22">
        <f>ROUND(표6_2[[#This Row],[신규가]]/11-표3[[#This Row],[원가]]/11-표5[[#This Row],[수수료]]/11-표5[[#This Row],[택배비]]/11, 0)</f>
        <v>459</v>
      </c>
      <c r="L15" s="22">
        <f>ROUND(표5[[#This Row],[부가세]]*$F$2, 0)</f>
        <v>184</v>
      </c>
      <c r="M15" s="22">
        <f>표6_2[[#This Row],[신규가]]-표3[[#This Row],[원가]]-표5[[#This Row],[수수료]]-표5[[#This Row],[택배비]]-표5[[#This Row],[부가세]]-표5[[#This Row],[종소세]]</f>
        <v>4411</v>
      </c>
      <c r="N15" s="26">
        <f>IF(표6_2[[#This Row],[신규가]] = 0, 0, 표5[[#This Row],[순수익]]/표6_2[[#This Row],[신규가]])</f>
        <v>0.18386827844935391</v>
      </c>
      <c r="O15" s="4" t="s">
        <v>59</v>
      </c>
    </row>
    <row r="16" spans="2:18" x14ac:dyDescent="0.4">
      <c r="B16" s="4">
        <v>13</v>
      </c>
      <c r="C16" s="8" t="s">
        <v>11</v>
      </c>
      <c r="D16" s="8">
        <v>16</v>
      </c>
      <c r="E16" s="5">
        <f>표3[[#This Row],[원가]]</f>
        <v>14963</v>
      </c>
      <c r="F16" s="5">
        <v>25720</v>
      </c>
      <c r="G16" s="5">
        <f>IF(표3[[#This Row],[인터넷판매가]] = 0, 0, 표6_2[[#This Row],[신규가]]-표3[[#This Row],[인터넷판매가]])</f>
        <v>-270</v>
      </c>
      <c r="H16" s="1"/>
      <c r="I16" s="22">
        <f>ROUND(표6_2[[#This Row],[신규가]]*$C$2, 0)</f>
        <v>2315</v>
      </c>
      <c r="J16" s="22">
        <v>3000</v>
      </c>
      <c r="K16" s="22">
        <f>ROUND(표6_2[[#This Row],[신규가]]/11-표3[[#This Row],[원가]]/11-표5[[#This Row],[수수료]]/11-표5[[#This Row],[택배비]]/11, 0)</f>
        <v>495</v>
      </c>
      <c r="L16" s="22">
        <f>ROUND(표5[[#This Row],[부가세]]*$F$2, 0)</f>
        <v>198</v>
      </c>
      <c r="M16" s="22">
        <f>표6_2[[#This Row],[신규가]]-표3[[#This Row],[원가]]-표5[[#This Row],[수수료]]-표5[[#This Row],[택배비]]-표5[[#This Row],[부가세]]-표5[[#This Row],[종소세]]</f>
        <v>4749</v>
      </c>
      <c r="N16" s="26">
        <f>IF(표6_2[[#This Row],[신규가]] = 0, 0, 표5[[#This Row],[순수익]]/표6_2[[#This Row],[신규가]])</f>
        <v>0.18464230171073095</v>
      </c>
      <c r="O16" s="4" t="s">
        <v>59</v>
      </c>
    </row>
    <row r="17" spans="2:19" x14ac:dyDescent="0.4">
      <c r="B17" s="4">
        <v>14</v>
      </c>
      <c r="C17" s="8" t="s">
        <v>12</v>
      </c>
      <c r="D17" s="8">
        <v>16</v>
      </c>
      <c r="E17" s="5">
        <f>표3[[#This Row],[원가]]</f>
        <v>21207</v>
      </c>
      <c r="F17" s="5">
        <v>34780</v>
      </c>
      <c r="G17" s="5">
        <f>IF(표3[[#This Row],[인터넷판매가]] = 0, 0, 표6_2[[#This Row],[신규가]]-표3[[#This Row],[인터넷판매가]])</f>
        <v>-210</v>
      </c>
      <c r="H17" s="1"/>
      <c r="I17" s="22">
        <f>ROUND(표6_2[[#This Row],[신규가]]*$C$2, 0)</f>
        <v>3130</v>
      </c>
      <c r="J17" s="22">
        <v>3000</v>
      </c>
      <c r="K17" s="22">
        <f>ROUND(표6_2[[#This Row],[신규가]]/11-표3[[#This Row],[원가]]/11-표5[[#This Row],[수수료]]/11-표5[[#This Row],[택배비]]/11, 0)</f>
        <v>677</v>
      </c>
      <c r="L17" s="22">
        <f>ROUND(표5[[#This Row],[부가세]]*$F$2, 0)</f>
        <v>271</v>
      </c>
      <c r="M17" s="22">
        <f>표6_2[[#This Row],[신규가]]-표3[[#This Row],[원가]]-표5[[#This Row],[수수료]]-표5[[#This Row],[택배비]]-표5[[#This Row],[부가세]]-표5[[#This Row],[종소세]]</f>
        <v>6495</v>
      </c>
      <c r="N17" s="26">
        <f>IF(표6_2[[#This Row],[신규가]] = 0, 0, 표5[[#This Row],[순수익]]/표6_2[[#This Row],[신규가]])</f>
        <v>0.18674525589419205</v>
      </c>
      <c r="O17" s="4" t="s">
        <v>59</v>
      </c>
    </row>
    <row r="18" spans="2:19" x14ac:dyDescent="0.4">
      <c r="B18" s="4">
        <v>15</v>
      </c>
      <c r="C18" s="8" t="s">
        <v>13</v>
      </c>
      <c r="D18" s="8">
        <v>16</v>
      </c>
      <c r="E18" s="5">
        <f>표3[[#This Row],[원가]]</f>
        <v>12568</v>
      </c>
      <c r="F18" s="5">
        <v>21830</v>
      </c>
      <c r="G18" s="5">
        <f>IF(표3[[#This Row],[인터넷판매가]] = 0, 0, 표6_2[[#This Row],[신규가]]-표3[[#This Row],[인터넷판매가]])</f>
        <v>330</v>
      </c>
      <c r="H18" s="1"/>
      <c r="I18" s="22">
        <f>ROUND(표6_2[[#This Row],[신규가]]*$C$2, 0)</f>
        <v>1965</v>
      </c>
      <c r="J18" s="22">
        <v>3000</v>
      </c>
      <c r="K18" s="22">
        <f>ROUND(표6_2[[#This Row],[신규가]]/11-표3[[#This Row],[원가]]/11-표5[[#This Row],[수수료]]/11-표5[[#This Row],[택배비]]/11, 0)</f>
        <v>391</v>
      </c>
      <c r="L18" s="22">
        <f>ROUND(표5[[#This Row],[부가세]]*$F$2, 0)</f>
        <v>156</v>
      </c>
      <c r="M18" s="22">
        <f>표6_2[[#This Row],[신규가]]-표3[[#This Row],[원가]]-표5[[#This Row],[수수료]]-표5[[#This Row],[택배비]]-표5[[#This Row],[부가세]]-표5[[#This Row],[종소세]]</f>
        <v>3750</v>
      </c>
      <c r="N18" s="26">
        <f>IF(표6_2[[#This Row],[신규가]] = 0, 0, 표5[[#This Row],[순수익]]/표6_2[[#This Row],[신규가]])</f>
        <v>0.1717819514429684</v>
      </c>
      <c r="O18" s="4" t="s">
        <v>59</v>
      </c>
      <c r="Q18" s="47"/>
      <c r="S18" s="40"/>
    </row>
    <row r="19" spans="2:19" x14ac:dyDescent="0.4">
      <c r="B19" s="4">
        <v>16</v>
      </c>
      <c r="C19" s="8" t="s">
        <v>14</v>
      </c>
      <c r="D19" s="8">
        <v>16</v>
      </c>
      <c r="E19" s="5">
        <f>표3[[#This Row],[원가]]</f>
        <v>14459</v>
      </c>
      <c r="F19" s="5">
        <v>24980</v>
      </c>
      <c r="G19" s="5">
        <f>IF(표3[[#This Row],[인터넷판매가]] = 0, 0, 표6_2[[#This Row],[신규가]]-표3[[#This Row],[인터넷판매가]])</f>
        <v>-510</v>
      </c>
      <c r="H19" s="1"/>
      <c r="I19" s="22">
        <f>ROUND(표6_2[[#This Row],[신규가]]*$C$2, 0)</f>
        <v>2248</v>
      </c>
      <c r="J19" s="22">
        <v>3000</v>
      </c>
      <c r="K19" s="22">
        <f>ROUND(표6_2[[#This Row],[신규가]]/11-표3[[#This Row],[원가]]/11-표5[[#This Row],[수수료]]/11-표5[[#This Row],[택배비]]/11, 0)</f>
        <v>479</v>
      </c>
      <c r="L19" s="22">
        <f>ROUND(표5[[#This Row],[부가세]]*$F$2, 0)</f>
        <v>192</v>
      </c>
      <c r="M19" s="22">
        <f>표6_2[[#This Row],[신규가]]-표3[[#This Row],[원가]]-표5[[#This Row],[수수료]]-표5[[#This Row],[택배비]]-표5[[#This Row],[부가세]]-표5[[#This Row],[종소세]]</f>
        <v>4602</v>
      </c>
      <c r="N19" s="26">
        <f>IF(표6_2[[#This Row],[신규가]] = 0, 0, 표5[[#This Row],[순수익]]/표6_2[[#This Row],[신규가]])</f>
        <v>0.18422738190552443</v>
      </c>
      <c r="O19" s="4" t="s">
        <v>59</v>
      </c>
    </row>
    <row r="20" spans="2:19" x14ac:dyDescent="0.4">
      <c r="B20" s="4">
        <v>17</v>
      </c>
      <c r="C20" s="8" t="s">
        <v>15</v>
      </c>
      <c r="D20" s="8">
        <v>16</v>
      </c>
      <c r="E20" s="5">
        <f>표3[[#This Row],[원가]]</f>
        <v>15710</v>
      </c>
      <c r="F20" s="5">
        <v>26800</v>
      </c>
      <c r="G20" s="5">
        <f>IF(표3[[#This Row],[인터넷판매가]] = 0, 0, 표6_2[[#This Row],[신규가]]-표3[[#This Row],[인터넷판매가]])</f>
        <v>-190</v>
      </c>
      <c r="H20" s="1"/>
      <c r="I20" s="22">
        <f>ROUND(표6_2[[#This Row],[신규가]]*$C$2, 0)</f>
        <v>2412</v>
      </c>
      <c r="J20" s="22">
        <v>3000</v>
      </c>
      <c r="K20" s="22">
        <f>ROUND(표6_2[[#This Row],[신규가]]/11-표3[[#This Row],[원가]]/11-표5[[#This Row],[수수료]]/11-표5[[#This Row],[택배비]]/11, 0)</f>
        <v>516</v>
      </c>
      <c r="L20" s="22">
        <f>ROUND(표5[[#This Row],[부가세]]*$F$2, 0)</f>
        <v>206</v>
      </c>
      <c r="M20" s="22">
        <f>표6_2[[#This Row],[신규가]]-표3[[#This Row],[원가]]-표5[[#This Row],[수수료]]-표5[[#This Row],[택배비]]-표5[[#This Row],[부가세]]-표5[[#This Row],[종소세]]</f>
        <v>4956</v>
      </c>
      <c r="N20" s="26">
        <f>IF(표6_2[[#This Row],[신규가]] = 0, 0, 표5[[#This Row],[순수익]]/표6_2[[#This Row],[신규가]])</f>
        <v>0.18492537313432836</v>
      </c>
      <c r="O20" s="4" t="s">
        <v>59</v>
      </c>
    </row>
    <row r="21" spans="2:19" x14ac:dyDescent="0.4">
      <c r="B21" s="4">
        <v>18</v>
      </c>
      <c r="C21" s="8" t="s">
        <v>16</v>
      </c>
      <c r="D21" s="8">
        <v>16</v>
      </c>
      <c r="E21" s="5">
        <f>표3[[#This Row],[원가]]</f>
        <v>21993</v>
      </c>
      <c r="F21" s="5">
        <v>35990</v>
      </c>
      <c r="G21" s="5">
        <f>IF(표3[[#This Row],[인터넷판매가]] = 0, 0, 표6_2[[#This Row],[신규가]]-표3[[#This Row],[인터넷판매가]])</f>
        <v>0</v>
      </c>
      <c r="H21" s="1"/>
      <c r="I21" s="22">
        <f>ROUND(표6_2[[#This Row],[신규가]]*$C$2, 0)</f>
        <v>3239</v>
      </c>
      <c r="J21" s="22">
        <v>3000</v>
      </c>
      <c r="K21" s="22">
        <f>ROUND(표6_2[[#This Row],[신규가]]/11-표3[[#This Row],[원가]]/11-표5[[#This Row],[수수료]]/11-표5[[#This Row],[택배비]]/11, 0)</f>
        <v>705</v>
      </c>
      <c r="L21" s="22">
        <f>ROUND(표5[[#This Row],[부가세]]*$F$2, 0)</f>
        <v>282</v>
      </c>
      <c r="M21" s="22">
        <f>표6_2[[#This Row],[신규가]]-표3[[#This Row],[원가]]-표5[[#This Row],[수수료]]-표5[[#This Row],[택배비]]-표5[[#This Row],[부가세]]-표5[[#This Row],[종소세]]</f>
        <v>6771</v>
      </c>
      <c r="N21" s="26">
        <f>IF(표6_2[[#This Row],[신규가]] = 0, 0, 표5[[#This Row],[순수익]]/표6_2[[#This Row],[신규가]])</f>
        <v>0.18813559322033899</v>
      </c>
      <c r="O21" s="4" t="s">
        <v>68</v>
      </c>
    </row>
    <row r="22" spans="2:19" x14ac:dyDescent="0.4">
      <c r="B22" s="4">
        <v>19</v>
      </c>
      <c r="C22" s="8" t="s">
        <v>17</v>
      </c>
      <c r="D22" s="8">
        <v>10000</v>
      </c>
      <c r="E22" s="5">
        <f>표3[[#This Row],[원가]]</f>
        <v>9000</v>
      </c>
      <c r="F22" s="5">
        <v>16970</v>
      </c>
      <c r="G22" s="5">
        <f>IF(표3[[#This Row],[인터넷판매가]] = 0, 0, 표6_2[[#This Row],[신규가]]-표3[[#This Row],[인터넷판매가]])</f>
        <v>0</v>
      </c>
      <c r="I22" s="22">
        <f>ROUND(표6_2[[#This Row],[신규가]]*$C$2, 0)</f>
        <v>1527</v>
      </c>
      <c r="J22" s="22">
        <v>3000</v>
      </c>
      <c r="K22" s="22">
        <f>ROUND(표6_2[[#This Row],[신규가]]/11-표3[[#This Row],[원가]]/11-표5[[#This Row],[수수료]]/11-표5[[#This Row],[택배비]]/11, 0)</f>
        <v>313</v>
      </c>
      <c r="L22" s="22">
        <f>ROUND(표5[[#This Row],[부가세]]*$F$2, 0)</f>
        <v>125</v>
      </c>
      <c r="M22" s="22">
        <f>표6_2[[#This Row],[신규가]]-표3[[#This Row],[원가]]-표5[[#This Row],[수수료]]-표5[[#This Row],[택배비]]-표5[[#This Row],[부가세]]-표5[[#This Row],[종소세]]</f>
        <v>3005</v>
      </c>
      <c r="N22" s="26">
        <f>IF(표6_2[[#This Row],[신규가]] = 0, 0, 표5[[#This Row],[순수익]]/표6_2[[#This Row],[신규가]])</f>
        <v>0.1770771950500884</v>
      </c>
      <c r="O22" s="4" t="s">
        <v>62</v>
      </c>
    </row>
    <row r="23" spans="2:19" x14ac:dyDescent="0.4">
      <c r="B23" s="4">
        <v>20</v>
      </c>
      <c r="C23" s="8" t="s">
        <v>18</v>
      </c>
      <c r="D23" s="8">
        <v>5000</v>
      </c>
      <c r="E23" s="5">
        <f>표3[[#This Row],[원가]]</f>
        <v>16000</v>
      </c>
      <c r="F23" s="5">
        <v>26990</v>
      </c>
      <c r="G23" s="5">
        <f>IF(표3[[#This Row],[인터넷판매가]] = 0, 0, 표6_2[[#This Row],[신규가]]-표3[[#This Row],[인터넷판매가]])</f>
        <v>0</v>
      </c>
      <c r="I23" s="22">
        <f>ROUND(표6_2[[#This Row],[신규가]]*$C$2, 0)</f>
        <v>2429</v>
      </c>
      <c r="J23" s="22">
        <v>3000</v>
      </c>
      <c r="K23" s="22">
        <f>ROUND(표6_2[[#This Row],[신규가]]/11-표3[[#This Row],[원가]]/11-표5[[#This Row],[수수료]]/11-표5[[#This Row],[택배비]]/11, 0)</f>
        <v>506</v>
      </c>
      <c r="L23" s="22">
        <f>ROUND(표5[[#This Row],[부가세]]*$F$2, 0)</f>
        <v>202</v>
      </c>
      <c r="M23" s="22">
        <f>표6_2[[#This Row],[신규가]]-표3[[#This Row],[원가]]-표5[[#This Row],[수수료]]-표5[[#This Row],[택배비]]-표5[[#This Row],[부가세]]-표5[[#This Row],[종소세]]</f>
        <v>4853</v>
      </c>
      <c r="N23" s="26">
        <f>IF(표6_2[[#This Row],[신규가]] = 0, 0, 표5[[#This Row],[순수익]]/표6_2[[#This Row],[신규가]])</f>
        <v>0.17980733605038904</v>
      </c>
      <c r="O23" s="4" t="s">
        <v>63</v>
      </c>
    </row>
    <row r="24" spans="2:19" x14ac:dyDescent="0.4">
      <c r="B24" s="28">
        <v>21</v>
      </c>
      <c r="C24" s="29" t="s">
        <v>0</v>
      </c>
      <c r="D24" s="30">
        <v>7</v>
      </c>
      <c r="E24" s="31">
        <f>표3[[#This Row],[원가]]</f>
        <v>13776</v>
      </c>
      <c r="F24" s="31">
        <v>23490</v>
      </c>
      <c r="G24" s="31">
        <f>IF(표3[[#This Row],[인터넷판매가]] = 0, 0, 표6_2[[#This Row],[신규가]]-표3[[#This Row],[인터넷판매가]])</f>
        <v>0</v>
      </c>
      <c r="I24" s="34">
        <f>ROUND(표6_2[[#This Row],[신규가]]*$C$2, 0)</f>
        <v>2114</v>
      </c>
      <c r="J24" s="34">
        <v>2750</v>
      </c>
      <c r="K24" s="34">
        <f>ROUND(표6_2[[#This Row],[신규가]]/11-표3[[#This Row],[원가]]/11-표5[[#This Row],[수수료]]/11-표5[[#This Row],[택배비]]/11, 0)</f>
        <v>441</v>
      </c>
      <c r="L24" s="34">
        <f>ROUND(표5[[#This Row],[부가세]]*$F$2, 0)</f>
        <v>176</v>
      </c>
      <c r="M24" s="34">
        <f>표6_2[[#This Row],[신규가]]-표3[[#This Row],[원가]]-표5[[#This Row],[수수료]]-표5[[#This Row],[택배비]]-표5[[#This Row],[부가세]]-표5[[#This Row],[종소세]]</f>
        <v>4233</v>
      </c>
      <c r="N24" s="35">
        <f>IF(표6_2[[#This Row],[신규가]] = 0, 0, 표5[[#This Row],[순수익]]/표6_2[[#This Row],[신규가]])</f>
        <v>0.18020434227330778</v>
      </c>
      <c r="O24" s="36" t="s">
        <v>63</v>
      </c>
      <c r="R24" s="1"/>
    </row>
    <row r="25" spans="2:19" x14ac:dyDescent="0.4">
      <c r="B25" s="28">
        <v>22</v>
      </c>
      <c r="C25" s="32" t="s">
        <v>0</v>
      </c>
      <c r="D25" s="33">
        <v>6</v>
      </c>
      <c r="E25" s="31">
        <f>표3[[#This Row],[원가]]</f>
        <v>11808</v>
      </c>
      <c r="F25" s="31">
        <v>20690</v>
      </c>
      <c r="G25" s="31">
        <f>IF(표3[[#This Row],[인터넷판매가]] = 0, 0, 표6_2[[#This Row],[신규가]]-표3[[#This Row],[인터넷판매가]])</f>
        <v>0</v>
      </c>
      <c r="I25" s="34">
        <f>ROUND(표6_2[[#This Row],[신규가]]*$C$2, 0)</f>
        <v>1862</v>
      </c>
      <c r="J25" s="34">
        <v>2750</v>
      </c>
      <c r="K25" s="34">
        <f>ROUND(표6_2[[#This Row],[신규가]]/11-표3[[#This Row],[원가]]/11-표5[[#This Row],[수수료]]/11-표5[[#This Row],[택배비]]/11, 0)</f>
        <v>388</v>
      </c>
      <c r="L25" s="34">
        <f>ROUND(표5[[#This Row],[부가세]]*$F$2, 0)</f>
        <v>155</v>
      </c>
      <c r="M25" s="34">
        <f>표6_2[[#This Row],[신규가]]-표3[[#This Row],[원가]]-표5[[#This Row],[수수료]]-표5[[#This Row],[택배비]]-표5[[#This Row],[부가세]]-표5[[#This Row],[종소세]]</f>
        <v>3727</v>
      </c>
      <c r="N25" s="35">
        <f>IF(표6_2[[#This Row],[신규가]] = 0, 0, 표5[[#This Row],[순수익]]/표6_2[[#This Row],[신규가]])</f>
        <v>0.18013533107781537</v>
      </c>
      <c r="O25" s="36" t="s">
        <v>63</v>
      </c>
    </row>
    <row r="26" spans="2:19" x14ac:dyDescent="0.4">
      <c r="B26" s="28">
        <v>23</v>
      </c>
      <c r="C26" s="29" t="s">
        <v>0</v>
      </c>
      <c r="D26" s="29">
        <v>5</v>
      </c>
      <c r="E26" s="31">
        <f>표3[[#This Row],[원가]]</f>
        <v>9840</v>
      </c>
      <c r="F26" s="31">
        <v>17890</v>
      </c>
      <c r="G26" s="31">
        <f>IF(표3[[#This Row],[인터넷판매가]] = 0, 0, 표6_2[[#This Row],[신규가]]-표3[[#This Row],[인터넷판매가]])</f>
        <v>0</v>
      </c>
      <c r="I26" s="34">
        <f>ROUND(표6_2[[#This Row],[신규가]]*$C$2, 0)</f>
        <v>1610</v>
      </c>
      <c r="J26" s="34">
        <v>2750</v>
      </c>
      <c r="K26" s="34">
        <f>ROUND(표6_2[[#This Row],[신규가]]/11-표3[[#This Row],[원가]]/11-표5[[#This Row],[수수료]]/11-표5[[#This Row],[택배비]]/11, 0)</f>
        <v>335</v>
      </c>
      <c r="L26" s="34">
        <f>ROUND(표5[[#This Row],[부가세]]*$F$2, 0)</f>
        <v>134</v>
      </c>
      <c r="M26" s="34">
        <f>표6_2[[#This Row],[신규가]]-표3[[#This Row],[원가]]-표5[[#This Row],[수수료]]-표5[[#This Row],[택배비]]-표5[[#This Row],[부가세]]-표5[[#This Row],[종소세]]</f>
        <v>3221</v>
      </c>
      <c r="N26" s="35">
        <f>IF(표6_2[[#This Row],[신규가]] = 0, 0, 표5[[#This Row],[순수익]]/표6_2[[#This Row],[신규가]])</f>
        <v>0.18004471771939631</v>
      </c>
      <c r="O26" s="36" t="s">
        <v>63</v>
      </c>
    </row>
    <row r="27" spans="2:19" x14ac:dyDescent="0.4">
      <c r="B27" s="28">
        <v>24</v>
      </c>
      <c r="C27" s="29" t="s">
        <v>0</v>
      </c>
      <c r="D27" s="29">
        <v>3</v>
      </c>
      <c r="E27" s="31">
        <f>표3[[#This Row],[원가]]</f>
        <v>12785</v>
      </c>
      <c r="F27" s="31">
        <v>22400</v>
      </c>
      <c r="G27" s="31">
        <f>IF(표3[[#This Row],[인터넷판매가]] = 0, 0, 표6_2[[#This Row],[신규가]]-표3[[#This Row],[인터넷판매가]])</f>
        <v>0</v>
      </c>
      <c r="I27" s="34">
        <f>ROUND(표6_2[[#This Row],[신규가]]*$C$2, 0)</f>
        <v>2016</v>
      </c>
      <c r="J27" s="34">
        <v>2750</v>
      </c>
      <c r="K27" s="34">
        <f>ROUND(표6_2[[#This Row],[신규가]]/11-표3[[#This Row],[원가]]/11-표5[[#This Row],[수수료]]/11-표5[[#This Row],[택배비]]/11, 0)</f>
        <v>441</v>
      </c>
      <c r="L27" s="34">
        <f>ROUND(표5[[#This Row],[부가세]]*$F$2, 0)</f>
        <v>176</v>
      </c>
      <c r="M27" s="34">
        <f>표6_2[[#This Row],[신규가]]-표3[[#This Row],[원가]]-표5[[#This Row],[수수료]]-표5[[#This Row],[택배비]]-표5[[#This Row],[부가세]]-표5[[#This Row],[종소세]]</f>
        <v>4232</v>
      </c>
      <c r="N27" s="35">
        <f>IF(표6_2[[#This Row],[신규가]] = 0, 0, 표5[[#This Row],[순수익]]/표6_2[[#This Row],[신규가]])</f>
        <v>0.18892857142857142</v>
      </c>
      <c r="O27" s="36" t="s">
        <v>63</v>
      </c>
    </row>
    <row r="28" spans="2:19" x14ac:dyDescent="0.4">
      <c r="B28" s="28">
        <v>25</v>
      </c>
      <c r="C28" s="29" t="s">
        <v>0</v>
      </c>
      <c r="D28" s="29">
        <v>2</v>
      </c>
      <c r="E28" s="31">
        <f>표3[[#This Row],[원가]]</f>
        <v>8523</v>
      </c>
      <c r="F28" s="31">
        <v>15530</v>
      </c>
      <c r="G28" s="31">
        <f>IF(표3[[#This Row],[인터넷판매가]] = 0, 0, 표6_2[[#This Row],[신규가]]-표3[[#This Row],[인터넷판매가]])</f>
        <v>0</v>
      </c>
      <c r="I28" s="34">
        <f>ROUND(표6_2[[#This Row],[신규가]]*$C$2, 0)</f>
        <v>1398</v>
      </c>
      <c r="J28" s="34">
        <v>2250</v>
      </c>
      <c r="K28" s="34">
        <f>ROUND(표6_2[[#This Row],[신규가]]/11-표3[[#This Row],[원가]]/11-표5[[#This Row],[수수료]]/11-표5[[#This Row],[택배비]]/11, 0)</f>
        <v>305</v>
      </c>
      <c r="L28" s="34">
        <f>ROUND(표5[[#This Row],[부가세]]*$F$2, 0)</f>
        <v>122</v>
      </c>
      <c r="M28" s="34">
        <f>표6_2[[#This Row],[신규가]]-표3[[#This Row],[원가]]-표5[[#This Row],[수수료]]-표5[[#This Row],[택배비]]-표5[[#This Row],[부가세]]-표5[[#This Row],[종소세]]</f>
        <v>2932</v>
      </c>
      <c r="N28" s="35">
        <f>IF(표6_2[[#This Row],[신규가]] = 0, 0, 표5[[#This Row],[순수익]]/표6_2[[#This Row],[신규가]])</f>
        <v>0.18879587894397939</v>
      </c>
      <c r="O28" s="36" t="s">
        <v>63</v>
      </c>
    </row>
    <row r="29" spans="2:19" x14ac:dyDescent="0.4">
      <c r="B29" s="28">
        <v>26</v>
      </c>
      <c r="C29" s="29" t="s">
        <v>6</v>
      </c>
      <c r="D29" s="29">
        <v>2</v>
      </c>
      <c r="E29" s="31">
        <f>표3[[#This Row],[원가]]</f>
        <v>10696</v>
      </c>
      <c r="F29" s="31">
        <v>19800</v>
      </c>
      <c r="G29" s="31">
        <f>IF(표3[[#This Row],[인터넷판매가]] = 0, 0, 표6_2[[#This Row],[신규가]]-표3[[#This Row],[인터넷판매가]])</f>
        <v>0</v>
      </c>
      <c r="I29" s="34">
        <f>ROUND(표6_2[[#This Row],[신규가]]*$C$2, 0)</f>
        <v>1782</v>
      </c>
      <c r="J29" s="34">
        <v>2750</v>
      </c>
      <c r="K29" s="34">
        <f>ROUND(표6_2[[#This Row],[신규가]]/11-표3[[#This Row],[원가]]/11-표5[[#This Row],[수수료]]/11-표5[[#This Row],[택배비]]/11, 0)</f>
        <v>416</v>
      </c>
      <c r="L29" s="34">
        <f>ROUND(표5[[#This Row],[부가세]]*$F$2, 0)</f>
        <v>166</v>
      </c>
      <c r="M29" s="34">
        <f>표6_2[[#This Row],[신규가]]-표3[[#This Row],[원가]]-표5[[#This Row],[수수료]]-표5[[#This Row],[택배비]]-표5[[#This Row],[부가세]]-표5[[#This Row],[종소세]]</f>
        <v>3990</v>
      </c>
      <c r="N29" s="35">
        <f>IF(표6_2[[#This Row],[신규가]] = 0, 0, 표5[[#This Row],[순수익]]/표6_2[[#This Row],[신규가]])</f>
        <v>0.20151515151515151</v>
      </c>
      <c r="O29" s="36" t="s">
        <v>63</v>
      </c>
    </row>
    <row r="30" spans="2:19" x14ac:dyDescent="0.4">
      <c r="B30" s="28">
        <v>27</v>
      </c>
      <c r="C30" s="29" t="s">
        <v>48</v>
      </c>
      <c r="D30" s="29">
        <v>2</v>
      </c>
      <c r="E30" s="31">
        <f>표3[[#This Row],[원가]]</f>
        <v>11013</v>
      </c>
      <c r="F30" s="31">
        <v>20170</v>
      </c>
      <c r="G30" s="31">
        <f>IF(표3[[#This Row],[인터넷판매가]] = 0, 0, 표6_2[[#This Row],[신규가]]-표3[[#This Row],[인터넷판매가]])</f>
        <v>0</v>
      </c>
      <c r="I30" s="34">
        <f>ROUND(표6_2[[#This Row],[신규가]]*$C$2, 0)</f>
        <v>1815</v>
      </c>
      <c r="J30" s="34">
        <v>2750</v>
      </c>
      <c r="K30" s="34">
        <f>ROUND(표6_2[[#This Row],[신규가]]/11-표3[[#This Row],[원가]]/11-표5[[#This Row],[수수료]]/11-표5[[#This Row],[택배비]]/11, 0)</f>
        <v>417</v>
      </c>
      <c r="L30" s="34">
        <f>ROUND(표5[[#This Row],[부가세]]*$F$2, 0)</f>
        <v>167</v>
      </c>
      <c r="M30" s="34">
        <f>표6_2[[#This Row],[신규가]]-표3[[#This Row],[원가]]-표5[[#This Row],[수수료]]-표5[[#This Row],[택배비]]-표5[[#This Row],[부가세]]-표5[[#This Row],[종소세]]</f>
        <v>4008</v>
      </c>
      <c r="N30" s="35">
        <f>IF(표6_2[[#This Row],[신규가]] = 0, 0, 표5[[#This Row],[순수익]]/표6_2[[#This Row],[신규가]])</f>
        <v>0.19871095686663362</v>
      </c>
      <c r="O30" s="36" t="s">
        <v>63</v>
      </c>
    </row>
    <row r="31" spans="2:19" x14ac:dyDescent="0.4">
      <c r="B31" s="28">
        <v>28</v>
      </c>
      <c r="C31" s="29" t="s">
        <v>49</v>
      </c>
      <c r="D31" s="29">
        <v>3</v>
      </c>
      <c r="E31" s="31">
        <f>표3[[#This Row],[원가]]</f>
        <v>11271</v>
      </c>
      <c r="F31" s="31">
        <v>16960</v>
      </c>
      <c r="G31" s="31">
        <f>IF(표3[[#This Row],[인터넷판매가]] = 0, 0, 표6_2[[#This Row],[신규가]]-표3[[#This Row],[인터넷판매가]])</f>
        <v>0</v>
      </c>
      <c r="I31" s="34">
        <f>ROUND(표6_2[[#This Row],[신규가]]*$C$2, 0)</f>
        <v>1526</v>
      </c>
      <c r="J31" s="34">
        <v>2750</v>
      </c>
      <c r="K31" s="34">
        <f>ROUND(표6_2[[#This Row],[신규가]]/11-표3[[#This Row],[원가]]/11-표5[[#This Row],[수수료]]/11-표5[[#This Row],[택배비]]/11, 0)</f>
        <v>128</v>
      </c>
      <c r="L31" s="34">
        <f>ROUND(표5[[#This Row],[부가세]]*$F$2, 0)</f>
        <v>51</v>
      </c>
      <c r="M31" s="34">
        <f>표6_2[[#This Row],[신규가]]-표3[[#This Row],[원가]]-표5[[#This Row],[수수료]]-표5[[#This Row],[택배비]]-표5[[#This Row],[부가세]]-표5[[#This Row],[종소세]]</f>
        <v>1234</v>
      </c>
      <c r="N31" s="35">
        <f>IF(표6_2[[#This Row],[신규가]] = 0, 0, 표5[[#This Row],[순수익]]/표6_2[[#This Row],[신규가]])</f>
        <v>7.2759433962264156E-2</v>
      </c>
      <c r="O31" s="36" t="s">
        <v>63</v>
      </c>
    </row>
    <row r="32" spans="2:19" x14ac:dyDescent="0.4">
      <c r="B32" s="28">
        <v>29</v>
      </c>
      <c r="C32" s="29" t="s">
        <v>50</v>
      </c>
      <c r="D32" s="29">
        <v>3</v>
      </c>
      <c r="E32" s="31">
        <f>표3[[#This Row],[원가]]</f>
        <v>8987</v>
      </c>
      <c r="F32" s="31">
        <v>17590</v>
      </c>
      <c r="G32" s="31">
        <f>IF(표3[[#This Row],[인터넷판매가]] = 0, 0, 표6_2[[#This Row],[신규가]]-표3[[#This Row],[인터넷판매가]])</f>
        <v>0</v>
      </c>
      <c r="I32" s="34">
        <f>ROUND(표6_2[[#This Row],[신규가]]*$C$2, 0)</f>
        <v>1583</v>
      </c>
      <c r="J32" s="34">
        <v>2750</v>
      </c>
      <c r="K32" s="34">
        <f>ROUND(표6_2[[#This Row],[신규가]]/11-표3[[#This Row],[원가]]/11-표5[[#This Row],[수수료]]/11-표5[[#This Row],[택배비]]/11, 0)</f>
        <v>388</v>
      </c>
      <c r="L32" s="34">
        <f>ROUND(표5[[#This Row],[부가세]]*$F$2, 0)</f>
        <v>155</v>
      </c>
      <c r="M32" s="34">
        <f>표6_2[[#This Row],[신규가]]-표3[[#This Row],[원가]]-표5[[#This Row],[수수료]]-표5[[#This Row],[택배비]]-표5[[#This Row],[부가세]]-표5[[#This Row],[종소세]]</f>
        <v>3727</v>
      </c>
      <c r="N32" s="35">
        <f>IF(표6_2[[#This Row],[신규가]] = 0, 0, 표5[[#This Row],[순수익]]/표6_2[[#This Row],[신규가]])</f>
        <v>0.21188175099488346</v>
      </c>
      <c r="O32" s="36" t="s">
        <v>63</v>
      </c>
    </row>
    <row r="33" spans="2:7" x14ac:dyDescent="0.4">
      <c r="B33" s="4"/>
      <c r="C33" s="8"/>
      <c r="D33" s="8"/>
      <c r="E33" s="21"/>
      <c r="F33" s="22"/>
      <c r="G33" s="22"/>
    </row>
    <row r="34" spans="2:7" x14ac:dyDescent="0.4">
      <c r="B34" s="4"/>
      <c r="C34" s="8"/>
      <c r="D34" s="8"/>
      <c r="E34" s="41"/>
      <c r="F34" s="22"/>
    </row>
  </sheetData>
  <phoneticPr fontId="1" type="noConversion"/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I25"/>
  <sheetViews>
    <sheetView topLeftCell="A7" workbookViewId="0">
      <selection activeCell="B21" sqref="B21"/>
    </sheetView>
  </sheetViews>
  <sheetFormatPr defaultColWidth="8.69921875" defaultRowHeight="17.399999999999999" x14ac:dyDescent="0.4"/>
  <cols>
    <col min="1" max="1" width="8.69921875" style="48"/>
    <col min="2" max="2" width="9.59765625" style="48" customWidth="1"/>
    <col min="3" max="16384" width="8.69921875" style="48"/>
  </cols>
  <sheetData>
    <row r="2" spans="2:2" x14ac:dyDescent="0.4">
      <c r="B2" s="48" t="s">
        <v>139</v>
      </c>
    </row>
    <row r="7" spans="2:2" x14ac:dyDescent="0.4">
      <c r="B7" s="48" t="s">
        <v>140</v>
      </c>
    </row>
    <row r="8" spans="2:2" x14ac:dyDescent="0.4">
      <c r="B8" s="48" t="s">
        <v>141</v>
      </c>
    </row>
    <row r="9" spans="2:2" x14ac:dyDescent="0.4">
      <c r="B9" s="48" t="s">
        <v>142</v>
      </c>
    </row>
    <row r="10" spans="2:2" x14ac:dyDescent="0.4">
      <c r="B10" s="48" t="s">
        <v>143</v>
      </c>
    </row>
    <row r="11" spans="2:2" x14ac:dyDescent="0.4">
      <c r="B11" s="48" t="s">
        <v>144</v>
      </c>
    </row>
    <row r="12" spans="2:2" x14ac:dyDescent="0.4">
      <c r="B12" s="48" t="s">
        <v>145</v>
      </c>
    </row>
    <row r="13" spans="2:2" x14ac:dyDescent="0.4">
      <c r="B13" s="48" t="s">
        <v>146</v>
      </c>
    </row>
    <row r="14" spans="2:2" x14ac:dyDescent="0.4">
      <c r="B14" s="48" t="s">
        <v>147</v>
      </c>
    </row>
    <row r="15" spans="2:2" x14ac:dyDescent="0.4">
      <c r="B15" s="48" t="s">
        <v>148</v>
      </c>
    </row>
    <row r="16" spans="2:2" x14ac:dyDescent="0.4">
      <c r="B16" s="48" t="s">
        <v>149</v>
      </c>
    </row>
    <row r="17" spans="2:9" x14ac:dyDescent="0.4">
      <c r="B17" s="48" t="s">
        <v>150</v>
      </c>
    </row>
    <row r="18" spans="2:9" x14ac:dyDescent="0.4">
      <c r="B18" s="48" t="s">
        <v>151</v>
      </c>
    </row>
    <row r="19" spans="2:9" x14ac:dyDescent="0.4">
      <c r="B19" s="48" t="s">
        <v>152</v>
      </c>
    </row>
    <row r="20" spans="2:9" x14ac:dyDescent="0.4">
      <c r="B20" s="48" t="s">
        <v>153</v>
      </c>
    </row>
    <row r="21" spans="2:9" x14ac:dyDescent="0.4">
      <c r="B21" s="48" t="s">
        <v>154</v>
      </c>
    </row>
    <row r="23" spans="2:9" x14ac:dyDescent="0.4">
      <c r="B23" s="48">
        <f>10-11*0.171366-10*0.09-0.4+0.4*0.09</f>
        <v>6.850973999999999</v>
      </c>
      <c r="C23" s="48">
        <f>B23*C25</f>
        <v>219162.65825999997</v>
      </c>
      <c r="E23" s="48">
        <f>10-0.4</f>
        <v>9.6</v>
      </c>
      <c r="F23" s="48">
        <f>B25+E25</f>
        <v>22830</v>
      </c>
      <c r="G23" s="48">
        <f>E23*F23</f>
        <v>219168</v>
      </c>
      <c r="H23" s="48">
        <f>G23/B23</f>
        <v>31990.77970519229</v>
      </c>
    </row>
    <row r="25" spans="2:9" x14ac:dyDescent="0.4">
      <c r="B25" s="48">
        <v>19680</v>
      </c>
      <c r="C25" s="48">
        <v>31990</v>
      </c>
      <c r="D25" s="48">
        <v>2879</v>
      </c>
      <c r="E25" s="48">
        <v>3150</v>
      </c>
      <c r="F25" s="48">
        <v>571</v>
      </c>
      <c r="G25" s="48">
        <v>228</v>
      </c>
      <c r="H25" s="48">
        <v>5482</v>
      </c>
      <c r="I25" s="48">
        <v>0.17136605189121601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S34"/>
  <sheetViews>
    <sheetView topLeftCell="A13" workbookViewId="0">
      <selection activeCell="F18" sqref="F18"/>
    </sheetView>
  </sheetViews>
  <sheetFormatPr defaultRowHeight="17.399999999999999" x14ac:dyDescent="0.4"/>
  <cols>
    <col min="1" max="1" width="2.8984375" customWidth="1"/>
    <col min="2" max="2" width="5.8984375" bestFit="1" customWidth="1"/>
    <col min="3" max="3" width="9.8984375" bestFit="1" customWidth="1"/>
    <col min="4" max="4" width="5.8984375" bestFit="1" customWidth="1"/>
    <col min="5" max="5" width="6.8984375" bestFit="1" customWidth="1"/>
    <col min="6" max="6" width="7.69921875" bestFit="1" customWidth="1"/>
    <col min="7" max="7" width="6" bestFit="1" customWidth="1"/>
    <col min="8" max="8" width="3.3984375" customWidth="1"/>
    <col min="9" max="14" width="7.8984375" bestFit="1" customWidth="1"/>
    <col min="15" max="15" width="6.3984375" style="23" bestFit="1" customWidth="1"/>
    <col min="17" max="17" width="8.69921875" style="42"/>
    <col min="18" max="18" width="9.8984375" bestFit="1" customWidth="1"/>
    <col min="19" max="19" width="10.19921875" bestFit="1" customWidth="1"/>
  </cols>
  <sheetData>
    <row r="2" spans="2:17" x14ac:dyDescent="0.4">
      <c r="B2" s="24" t="s">
        <v>64</v>
      </c>
      <c r="C2" s="24">
        <v>0.1</v>
      </c>
      <c r="D2" s="24"/>
      <c r="E2" s="24" t="s">
        <v>51</v>
      </c>
      <c r="F2" s="24">
        <v>0.4</v>
      </c>
      <c r="G2" s="38"/>
    </row>
    <row r="3" spans="2:17" x14ac:dyDescent="0.4">
      <c r="B3" s="4" t="s">
        <v>21</v>
      </c>
      <c r="C3" s="27" t="s">
        <v>30</v>
      </c>
      <c r="D3" s="27" t="s">
        <v>31</v>
      </c>
      <c r="E3" s="27" t="s">
        <v>65</v>
      </c>
      <c r="F3" s="27" t="s">
        <v>26</v>
      </c>
      <c r="G3" s="27" t="s">
        <v>66</v>
      </c>
      <c r="H3" s="1"/>
      <c r="I3" s="2" t="s">
        <v>52</v>
      </c>
      <c r="J3" s="25" t="s">
        <v>53</v>
      </c>
      <c r="K3" s="25" t="s">
        <v>54</v>
      </c>
      <c r="L3" s="25" t="s">
        <v>55</v>
      </c>
      <c r="M3" s="25" t="s">
        <v>56</v>
      </c>
      <c r="N3" s="25" t="s">
        <v>57</v>
      </c>
      <c r="O3" s="37" t="s">
        <v>58</v>
      </c>
    </row>
    <row r="4" spans="2:17" x14ac:dyDescent="0.4">
      <c r="B4" s="4">
        <v>1</v>
      </c>
      <c r="C4" s="8" t="s">
        <v>0</v>
      </c>
      <c r="D4" s="8">
        <v>10</v>
      </c>
      <c r="E4" s="5">
        <f>표3[[#This Row],[원가]]</f>
        <v>19680</v>
      </c>
      <c r="F4" s="5">
        <v>32450</v>
      </c>
      <c r="G4" s="5">
        <f>IF(표3[[#This Row],[인터넷판매가]] = 0, 0, 표6_210[[#This Row],[신규가]]-표3[[#This Row],[인터넷판매가]])</f>
        <v>1750</v>
      </c>
      <c r="H4" s="1"/>
      <c r="I4" s="22">
        <f>ROUND(표6_210[[#This Row],[신규가]]*$C$2, 0)</f>
        <v>3245</v>
      </c>
      <c r="J4" s="22">
        <v>3150</v>
      </c>
      <c r="K4" s="22">
        <f>ROUND(표6_210[[#This Row],[신규가]]/11-표3[[#This Row],[원가]]/11-표5_11[[#This Row],[수수료]]/11-표5_11[[#This Row],[택배비]]/11, 0)</f>
        <v>580</v>
      </c>
      <c r="L4" s="22">
        <f>ROUND(표5_11[[#This Row],[부가세]]*$F$2, 0)</f>
        <v>232</v>
      </c>
      <c r="M4" s="22">
        <f>표6_210[[#This Row],[신규가]]-표3[[#This Row],[원가]]-표5_11[[#This Row],[수수료]]-표5_11[[#This Row],[택배비]]-표5_11[[#This Row],[부가세]]-표5_11[[#This Row],[종소세]]</f>
        <v>5563</v>
      </c>
      <c r="N4" s="26">
        <f>IF(표6_210[[#This Row],[신규가]] = 0, 0, 표5_11[[#This Row],[순수익]]/표6_210[[#This Row],[신규가]])</f>
        <v>0.17143297380585515</v>
      </c>
      <c r="O4" s="4" t="s">
        <v>59</v>
      </c>
      <c r="Q4" s="42">
        <v>0.17136605189121601</v>
      </c>
    </row>
    <row r="5" spans="2:17" x14ac:dyDescent="0.4">
      <c r="B5" s="4">
        <v>2</v>
      </c>
      <c r="C5" s="8" t="s">
        <v>1</v>
      </c>
      <c r="D5" s="20">
        <v>10</v>
      </c>
      <c r="E5" s="5">
        <f>표3[[#This Row],[원가]]</f>
        <v>19980</v>
      </c>
      <c r="F5" s="5">
        <v>0</v>
      </c>
      <c r="G5" s="5">
        <f>IF(표3[[#This Row],[인터넷판매가]] = 0, 0, 표6_210[[#This Row],[신규가]]-표3[[#This Row],[인터넷판매가]])</f>
        <v>0</v>
      </c>
      <c r="H5" s="1"/>
      <c r="I5" s="22">
        <f>ROUND(표6_210[[#This Row],[신규가]]*$C$2, 0)</f>
        <v>0</v>
      </c>
      <c r="J5" s="22">
        <v>3150</v>
      </c>
      <c r="K5" s="22">
        <f>ROUND(표6_210[[#This Row],[신규가]]/11-표3[[#This Row],[원가]]/11-표5_11[[#This Row],[수수료]]/11-표5_11[[#This Row],[택배비]]/11, 0)</f>
        <v>-2103</v>
      </c>
      <c r="L5" s="22">
        <f>ROUND(표5_11[[#This Row],[부가세]]*$F$2, 0)</f>
        <v>-841</v>
      </c>
      <c r="M5" s="22">
        <f>표6_210[[#This Row],[신규가]]-표3[[#This Row],[원가]]-표5_11[[#This Row],[수수료]]-표5_11[[#This Row],[택배비]]-표5_11[[#This Row],[부가세]]-표5_11[[#This Row],[종소세]]</f>
        <v>-20186</v>
      </c>
      <c r="N5" s="26">
        <f>IF(표6_210[[#This Row],[신규가]] = 0, 0, 표5_11[[#This Row],[순수익]]/표6_210[[#This Row],[신규가]])</f>
        <v>0</v>
      </c>
      <c r="O5" s="4" t="s">
        <v>60</v>
      </c>
      <c r="Q5" s="42">
        <v>0</v>
      </c>
    </row>
    <row r="6" spans="2:17" x14ac:dyDescent="0.4">
      <c r="B6" s="4">
        <v>3</v>
      </c>
      <c r="C6" s="8" t="s">
        <v>0</v>
      </c>
      <c r="D6" s="8">
        <v>24</v>
      </c>
      <c r="E6" s="5">
        <f>표3[[#This Row],[원가]]</f>
        <v>17046</v>
      </c>
      <c r="F6" s="5">
        <v>29120</v>
      </c>
      <c r="G6" s="5">
        <f>IF(표3[[#This Row],[인터넷판매가]] = 0, 0, 표6_210[[#This Row],[신규가]]-표3[[#This Row],[인터넷판매가]])</f>
        <v>1720</v>
      </c>
      <c r="H6" s="1"/>
      <c r="I6" s="22">
        <f>ROUND(표6_210[[#This Row],[신규가]]*$C$2, 0)</f>
        <v>2912</v>
      </c>
      <c r="J6" s="22">
        <v>3150</v>
      </c>
      <c r="K6" s="22">
        <f>ROUND(표6_210[[#This Row],[신규가]]/11-표3[[#This Row],[원가]]/11-표5_11[[#This Row],[수수료]]/11-표5_11[[#This Row],[택배비]]/11, 0)</f>
        <v>547</v>
      </c>
      <c r="L6" s="22">
        <f>ROUND(표5_11[[#This Row],[부가세]]*$F$2, 0)</f>
        <v>219</v>
      </c>
      <c r="M6" s="22">
        <f>표6_210[[#This Row],[신규가]]-표3[[#This Row],[원가]]-표5_11[[#This Row],[수수료]]-표5_11[[#This Row],[택배비]]-표5_11[[#This Row],[부가세]]-표5_11[[#This Row],[종소세]]</f>
        <v>5246</v>
      </c>
      <c r="N6" s="26">
        <f>IF(표6_210[[#This Row],[신규가]] = 0, 0, 표5_11[[#This Row],[순수익]]/표6_210[[#This Row],[신규가]])</f>
        <v>0.1801510989010989</v>
      </c>
      <c r="O6" s="4" t="s">
        <v>59</v>
      </c>
      <c r="Q6" s="42">
        <v>0.18006968641114982</v>
      </c>
    </row>
    <row r="7" spans="2:17" x14ac:dyDescent="0.4">
      <c r="B7" s="4">
        <v>4</v>
      </c>
      <c r="C7" s="8" t="s">
        <v>2</v>
      </c>
      <c r="D7" s="8">
        <v>30</v>
      </c>
      <c r="E7" s="5">
        <f>표3[[#This Row],[원가]]</f>
        <v>12248</v>
      </c>
      <c r="F7" s="5">
        <v>21290</v>
      </c>
      <c r="G7" s="5">
        <f>IF(표3[[#This Row],[인터넷판매가]] = 0, 0, 표6_210[[#This Row],[신규가]]-표3[[#This Row],[인터넷판매가]])</f>
        <v>890</v>
      </c>
      <c r="H7" s="1"/>
      <c r="I7" s="22">
        <f>ROUND(표6_210[[#This Row],[신규가]]*$C$2, 0)</f>
        <v>2129</v>
      </c>
      <c r="J7" s="22">
        <v>2750</v>
      </c>
      <c r="K7" s="22">
        <f>ROUND(표6_210[[#This Row],[신규가]]/11-표3[[#This Row],[원가]]/11-표5_11[[#This Row],[수수료]]/11-표5_11[[#This Row],[택배비]]/11, 0)</f>
        <v>378</v>
      </c>
      <c r="L7" s="22">
        <f>ROUND(표5_11[[#This Row],[부가세]]*$F$2, 0)</f>
        <v>151</v>
      </c>
      <c r="M7" s="22">
        <f>표6_210[[#This Row],[신규가]]-표3[[#This Row],[원가]]-표5_11[[#This Row],[수수료]]-표5_11[[#This Row],[택배비]]-표5_11[[#This Row],[부가세]]-표5_11[[#This Row],[종소세]]</f>
        <v>3634</v>
      </c>
      <c r="N7" s="26">
        <f>IF(표6_210[[#This Row],[신규가]] = 0, 0, 표5_11[[#This Row],[순수익]]/표6_210[[#This Row],[신규가]])</f>
        <v>0.17069046500704557</v>
      </c>
      <c r="O7" s="4" t="s">
        <v>59</v>
      </c>
      <c r="Q7" s="42">
        <v>0.17060505002382087</v>
      </c>
    </row>
    <row r="8" spans="2:17" x14ac:dyDescent="0.4">
      <c r="B8" s="4">
        <v>5</v>
      </c>
      <c r="C8" s="8" t="s">
        <v>3</v>
      </c>
      <c r="D8" s="8">
        <v>30</v>
      </c>
      <c r="E8" s="5">
        <f>표3[[#This Row],[원가]]</f>
        <v>14190</v>
      </c>
      <c r="F8" s="5">
        <v>25000</v>
      </c>
      <c r="G8" s="5">
        <f>IF(표3[[#This Row],[인터넷판매가]] = 0, 0, 표6_210[[#This Row],[신규가]]-표3[[#This Row],[인터넷판매가]])</f>
        <v>-490</v>
      </c>
      <c r="H8" s="1"/>
      <c r="I8" s="22">
        <f>ROUND(표6_210[[#This Row],[신규가]]*$C$2, 0)</f>
        <v>2500</v>
      </c>
      <c r="J8" s="22">
        <v>3150</v>
      </c>
      <c r="K8" s="22">
        <f>ROUND(표6_210[[#This Row],[신규가]]/11-표3[[#This Row],[원가]]/11-표5_11[[#This Row],[수수료]]/11-표5_11[[#This Row],[택배비]]/11, 0)</f>
        <v>469</v>
      </c>
      <c r="L8" s="22">
        <f>ROUND(표5_11[[#This Row],[부가세]]*$F$2, 0)</f>
        <v>188</v>
      </c>
      <c r="M8" s="22">
        <f>표6_210[[#This Row],[신규가]]-표3[[#This Row],[원가]]-표5_11[[#This Row],[수수료]]-표5_11[[#This Row],[택배비]]-표5_11[[#This Row],[부가세]]-표5_11[[#This Row],[종소세]]</f>
        <v>4503</v>
      </c>
      <c r="N8" s="26">
        <f>IF(표6_210[[#This Row],[신규가]] = 0, 0, 표5_11[[#This Row],[순수익]]/표6_210[[#This Row],[신규가]])</f>
        <v>0.18012</v>
      </c>
      <c r="O8" s="4" t="s">
        <v>59</v>
      </c>
      <c r="Q8" s="42">
        <v>0.17999188311688311</v>
      </c>
    </row>
    <row r="9" spans="2:17" x14ac:dyDescent="0.4">
      <c r="B9" s="4">
        <v>6</v>
      </c>
      <c r="C9" s="8" t="s">
        <v>4</v>
      </c>
      <c r="D9" s="8">
        <v>30</v>
      </c>
      <c r="E9" s="5">
        <f>표3[[#This Row],[원가]]</f>
        <v>14190</v>
      </c>
      <c r="F9" s="5">
        <v>25000</v>
      </c>
      <c r="G9" s="5">
        <f>IF(표3[[#This Row],[인터넷판매가]] = 0, 0, 표6_210[[#This Row],[신규가]]-표3[[#This Row],[인터넷판매가]])</f>
        <v>-490</v>
      </c>
      <c r="H9" s="1"/>
      <c r="I9" s="22">
        <f>ROUND(표6_210[[#This Row],[신규가]]*$C$2, 0)</f>
        <v>2500</v>
      </c>
      <c r="J9" s="22">
        <v>3150</v>
      </c>
      <c r="K9" s="22">
        <f>ROUND(표6_210[[#This Row],[신규가]]/11-표3[[#This Row],[원가]]/11-표5_11[[#This Row],[수수료]]/11-표5_11[[#This Row],[택배비]]/11, 0)</f>
        <v>469</v>
      </c>
      <c r="L9" s="22">
        <f>ROUND(표5_11[[#This Row],[부가세]]*$F$2, 0)</f>
        <v>188</v>
      </c>
      <c r="M9" s="22">
        <f>표6_210[[#This Row],[신규가]]-표3[[#This Row],[원가]]-표5_11[[#This Row],[수수료]]-표5_11[[#This Row],[택배비]]-표5_11[[#This Row],[부가세]]-표5_11[[#This Row],[종소세]]</f>
        <v>4503</v>
      </c>
      <c r="N9" s="26">
        <f>IF(표6_210[[#This Row],[신규가]] = 0, 0, 표5_11[[#This Row],[순수익]]/표6_210[[#This Row],[신규가]])</f>
        <v>0.18012</v>
      </c>
      <c r="O9" s="4" t="s">
        <v>59</v>
      </c>
      <c r="Q9" s="42">
        <v>0.17999188311688311</v>
      </c>
    </row>
    <row r="10" spans="2:17" x14ac:dyDescent="0.4">
      <c r="B10" s="4">
        <v>7</v>
      </c>
      <c r="C10" s="8" t="s">
        <v>5</v>
      </c>
      <c r="D10" s="8">
        <v>30</v>
      </c>
      <c r="E10" s="5">
        <f>표3[[#This Row],[원가]]</f>
        <v>16044</v>
      </c>
      <c r="F10" s="5">
        <v>27670</v>
      </c>
      <c r="G10" s="5">
        <f>IF(표3[[#This Row],[인터넷판매가]] = 0, 0, 표6_210[[#This Row],[신규가]]-표3[[#This Row],[인터넷판매가]])</f>
        <v>1370</v>
      </c>
      <c r="H10" s="1"/>
      <c r="I10" s="22">
        <f>ROUND(표6_210[[#This Row],[신규가]]*$C$2, 0)</f>
        <v>2767</v>
      </c>
      <c r="J10" s="22">
        <v>3150</v>
      </c>
      <c r="K10" s="22">
        <f>ROUND(표6_210[[#This Row],[신규가]]/11-표3[[#This Row],[원가]]/11-표5_11[[#This Row],[수수료]]/11-표5_11[[#This Row],[택배비]]/11, 0)</f>
        <v>519</v>
      </c>
      <c r="L10" s="22">
        <f>ROUND(표5_11[[#This Row],[부가세]]*$F$2, 0)</f>
        <v>208</v>
      </c>
      <c r="M10" s="22">
        <f>표6_210[[#This Row],[신규가]]-표3[[#This Row],[원가]]-표5_11[[#This Row],[수수료]]-표5_11[[#This Row],[택배비]]-표5_11[[#This Row],[부가세]]-표5_11[[#This Row],[종소세]]</f>
        <v>4982</v>
      </c>
      <c r="N10" s="26">
        <f>IF(표6_210[[#This Row],[신규가]] = 0, 0, 표5_11[[#This Row],[순수익]]/표6_210[[#This Row],[신규가]])</f>
        <v>0.18005059631369716</v>
      </c>
      <c r="O10" s="4" t="s">
        <v>59</v>
      </c>
      <c r="Q10" s="42">
        <v>0.18013196480938418</v>
      </c>
    </row>
    <row r="11" spans="2:17" x14ac:dyDescent="0.4">
      <c r="B11" s="4">
        <v>8</v>
      </c>
      <c r="C11" s="8" t="s">
        <v>6</v>
      </c>
      <c r="D11" s="8">
        <v>30</v>
      </c>
      <c r="E11" s="5">
        <f>표3[[#This Row],[원가]]</f>
        <v>16519</v>
      </c>
      <c r="F11" s="5">
        <v>28350</v>
      </c>
      <c r="G11" s="5">
        <f>IF(표3[[#This Row],[인터넷판매가]] = 0, 0, 표6_210[[#This Row],[신규가]]-표3[[#This Row],[인터넷판매가]])</f>
        <v>950</v>
      </c>
      <c r="H11" s="1"/>
      <c r="I11" s="22">
        <f>ROUND(표6_210[[#This Row],[신규가]]*$C$2, 0)</f>
        <v>2835</v>
      </c>
      <c r="J11" s="22">
        <v>3150</v>
      </c>
      <c r="K11" s="22">
        <f>ROUND(표6_210[[#This Row],[신규가]]/11-표3[[#This Row],[원가]]/11-표5_11[[#This Row],[수수료]]/11-표5_11[[#This Row],[택배비]]/11, 0)</f>
        <v>531</v>
      </c>
      <c r="L11" s="22">
        <f>ROUND(표5_11[[#This Row],[부가세]]*$F$2, 0)</f>
        <v>212</v>
      </c>
      <c r="M11" s="22">
        <f>표6_210[[#This Row],[신규가]]-표3[[#This Row],[원가]]-표5_11[[#This Row],[수수료]]-표5_11[[#This Row],[택배비]]-표5_11[[#This Row],[부가세]]-표5_11[[#This Row],[종소세]]</f>
        <v>5103</v>
      </c>
      <c r="N11" s="26">
        <f>IF(표6_210[[#This Row],[신규가]] = 0, 0, 표5_11[[#This Row],[순수익]]/표6_210[[#This Row],[신규가]])</f>
        <v>0.18</v>
      </c>
      <c r="O11" s="4" t="s">
        <v>59</v>
      </c>
      <c r="Q11" s="42">
        <v>0.18</v>
      </c>
    </row>
    <row r="12" spans="2:17" x14ac:dyDescent="0.4">
      <c r="B12" s="4">
        <v>9</v>
      </c>
      <c r="C12" s="8" t="s">
        <v>7</v>
      </c>
      <c r="D12" s="20">
        <v>30</v>
      </c>
      <c r="E12" s="5">
        <f>표3[[#This Row],[원가]]</f>
        <v>14190</v>
      </c>
      <c r="F12" s="5">
        <v>0</v>
      </c>
      <c r="G12" s="5">
        <f>IF(표3[[#This Row],[인터넷판매가]] = 0, 0, 표6_210[[#This Row],[신규가]]-표3[[#This Row],[인터넷판매가]])</f>
        <v>0</v>
      </c>
      <c r="H12" s="1"/>
      <c r="I12" s="22">
        <f>ROUND(표6_210[[#This Row],[신규가]]*$C$2, 0)</f>
        <v>0</v>
      </c>
      <c r="J12" s="22">
        <v>3150</v>
      </c>
      <c r="K12" s="22">
        <f>ROUND(표6_210[[#This Row],[신규가]]/11-표3[[#This Row],[원가]]/11-표5_11[[#This Row],[수수료]]/11-표5_11[[#This Row],[택배비]]/11, 0)</f>
        <v>-1576</v>
      </c>
      <c r="L12" s="22">
        <f>ROUND(표5_11[[#This Row],[부가세]]*$F$2, 0)</f>
        <v>-630</v>
      </c>
      <c r="M12" s="22">
        <f>표6_210[[#This Row],[신규가]]-표3[[#This Row],[원가]]-표5_11[[#This Row],[수수료]]-표5_11[[#This Row],[택배비]]-표5_11[[#This Row],[부가세]]-표5_11[[#This Row],[종소세]]</f>
        <v>-15134</v>
      </c>
      <c r="N12" s="26">
        <f>IF(표6_210[[#This Row],[신규가]] = 0, 0, 표5_11[[#This Row],[순수익]]/표6_210[[#This Row],[신규가]])</f>
        <v>0</v>
      </c>
      <c r="O12" s="4" t="s">
        <v>61</v>
      </c>
      <c r="Q12" s="42">
        <v>0</v>
      </c>
    </row>
    <row r="13" spans="2:17" x14ac:dyDescent="0.4">
      <c r="B13" s="4">
        <v>10</v>
      </c>
      <c r="C13" s="8" t="s">
        <v>8</v>
      </c>
      <c r="D13" s="8">
        <v>30</v>
      </c>
      <c r="E13" s="5">
        <f>표3[[#This Row],[원가]]</f>
        <v>16906</v>
      </c>
      <c r="F13" s="5">
        <v>28910</v>
      </c>
      <c r="G13" s="5">
        <f>IF(표3[[#This Row],[인터넷판매가]] = 0, 0, 표6_210[[#This Row],[신규가]]-표3[[#This Row],[인터넷판매가]])</f>
        <v>310</v>
      </c>
      <c r="H13" s="1"/>
      <c r="I13" s="22">
        <f>ROUND(표6_210[[#This Row],[신규가]]*$C$2, 0)</f>
        <v>2891</v>
      </c>
      <c r="J13" s="22">
        <v>3150</v>
      </c>
      <c r="K13" s="22">
        <f>ROUND(표6_210[[#This Row],[신규가]]/11-표3[[#This Row],[원가]]/11-표5_11[[#This Row],[수수료]]/11-표5_11[[#This Row],[택배비]]/11, 0)</f>
        <v>542</v>
      </c>
      <c r="L13" s="22">
        <f>ROUND(표5_11[[#This Row],[부가세]]*$F$2, 0)</f>
        <v>217</v>
      </c>
      <c r="M13" s="22">
        <f>표6_210[[#This Row],[신규가]]-표3[[#This Row],[원가]]-표5_11[[#This Row],[수수료]]-표5_11[[#This Row],[택배비]]-표5_11[[#This Row],[부가세]]-표5_11[[#This Row],[종소세]]</f>
        <v>5204</v>
      </c>
      <c r="N13" s="26">
        <f>IF(표6_210[[#This Row],[신규가]] = 0, 0, 표5_11[[#This Row],[순수익]]/표6_210[[#This Row],[신규가]])</f>
        <v>0.18000691802144586</v>
      </c>
      <c r="O13" s="4" t="s">
        <v>59</v>
      </c>
      <c r="Q13" s="42">
        <v>0.18003508771929824</v>
      </c>
    </row>
    <row r="14" spans="2:17" x14ac:dyDescent="0.4">
      <c r="B14" s="4">
        <v>11</v>
      </c>
      <c r="C14" s="8" t="s">
        <v>9</v>
      </c>
      <c r="D14" s="8">
        <v>16</v>
      </c>
      <c r="E14" s="5">
        <f>표3[[#This Row],[원가]]</f>
        <v>11983</v>
      </c>
      <c r="F14" s="5">
        <v>21300</v>
      </c>
      <c r="G14" s="5">
        <f>IF(표3[[#This Row],[인터넷판매가]] = 0, 0, 표6_210[[#This Row],[신규가]]-표3[[#This Row],[인터넷판매가]])</f>
        <v>600</v>
      </c>
      <c r="H14" s="1"/>
      <c r="I14" s="22">
        <f>ROUND(표6_210[[#This Row],[신규가]]*$C$2, 0)</f>
        <v>2130</v>
      </c>
      <c r="J14" s="22">
        <v>2750</v>
      </c>
      <c r="K14" s="22">
        <f>ROUND(표6_210[[#This Row],[신규가]]/11-표3[[#This Row],[원가]]/11-표5_11[[#This Row],[수수료]]/11-표5_11[[#This Row],[택배비]]/11, 0)</f>
        <v>403</v>
      </c>
      <c r="L14" s="22">
        <f>ROUND(표5_11[[#This Row],[부가세]]*$F$2, 0)</f>
        <v>161</v>
      </c>
      <c r="M14" s="22">
        <f>표6_210[[#This Row],[신규가]]-표3[[#This Row],[원가]]-표5_11[[#This Row],[수수료]]-표5_11[[#This Row],[택배비]]-표5_11[[#This Row],[부가세]]-표5_11[[#This Row],[종소세]]</f>
        <v>3873</v>
      </c>
      <c r="N14" s="26">
        <f>IF(표6_210[[#This Row],[신규가]] = 0, 0, 표5_11[[#This Row],[순수익]]/표6_210[[#This Row],[신규가]])</f>
        <v>0.18183098591549296</v>
      </c>
      <c r="O14" s="4" t="s">
        <v>59</v>
      </c>
      <c r="Q14" s="42">
        <v>0.18507816200852675</v>
      </c>
    </row>
    <row r="15" spans="2:17" x14ac:dyDescent="0.4">
      <c r="B15" s="4">
        <v>12</v>
      </c>
      <c r="C15" s="8" t="s">
        <v>10</v>
      </c>
      <c r="D15" s="8">
        <v>16</v>
      </c>
      <c r="E15" s="5">
        <f>표3[[#This Row],[원가]]</f>
        <v>13777</v>
      </c>
      <c r="F15" s="5">
        <v>24350</v>
      </c>
      <c r="G15" s="5">
        <f>IF(표3[[#This Row],[인터넷판매가]] = 0, 0, 표6_210[[#This Row],[신규가]]-표3[[#This Row],[인터넷판매가]])</f>
        <v>-140</v>
      </c>
      <c r="H15" s="1"/>
      <c r="I15" s="22">
        <f>ROUND(표6_210[[#This Row],[신규가]]*$C$2, 0)</f>
        <v>2435</v>
      </c>
      <c r="J15" s="22">
        <v>2750</v>
      </c>
      <c r="K15" s="22">
        <f>ROUND(표6_210[[#This Row],[신규가]]/11-표3[[#This Row],[원가]]/11-표5_11[[#This Row],[수수료]]/11-표5_11[[#This Row],[택배비]]/11, 0)</f>
        <v>490</v>
      </c>
      <c r="L15" s="22">
        <f>ROUND(표5_11[[#This Row],[부가세]]*$F$2, 0)</f>
        <v>196</v>
      </c>
      <c r="M15" s="22">
        <f>표6_210[[#This Row],[신규가]]-표3[[#This Row],[원가]]-표5_11[[#This Row],[수수료]]-표5_11[[#This Row],[택배비]]-표5_11[[#This Row],[부가세]]-표5_11[[#This Row],[종소세]]</f>
        <v>4702</v>
      </c>
      <c r="N15" s="26">
        <f>IF(표6_210[[#This Row],[신규가]] = 0, 0, 표5_11[[#This Row],[순수익]]/표6_210[[#This Row],[신규가]])</f>
        <v>0.19310061601642711</v>
      </c>
      <c r="O15" s="4" t="s">
        <v>59</v>
      </c>
      <c r="Q15" s="42">
        <v>0.1929553980825344</v>
      </c>
    </row>
    <row r="16" spans="2:17" x14ac:dyDescent="0.4">
      <c r="B16" s="4">
        <v>13</v>
      </c>
      <c r="C16" s="8" t="s">
        <v>11</v>
      </c>
      <c r="D16" s="8">
        <v>16</v>
      </c>
      <c r="E16" s="5">
        <f>표3[[#This Row],[원가]]</f>
        <v>14963</v>
      </c>
      <c r="F16" s="5">
        <v>26100</v>
      </c>
      <c r="G16" s="5">
        <f>IF(표3[[#This Row],[인터넷판매가]] = 0, 0, 표6_210[[#This Row],[신규가]]-표3[[#This Row],[인터넷판매가]])</f>
        <v>110</v>
      </c>
      <c r="H16" s="1"/>
      <c r="I16" s="22">
        <f>ROUND(표6_210[[#This Row],[신규가]]*$C$2, 0)</f>
        <v>2610</v>
      </c>
      <c r="J16" s="22">
        <v>2750</v>
      </c>
      <c r="K16" s="22">
        <f>ROUND(표6_210[[#This Row],[신규가]]/11-표3[[#This Row],[원가]]/11-표5_11[[#This Row],[수수료]]/11-표5_11[[#This Row],[택배비]]/11, 0)</f>
        <v>525</v>
      </c>
      <c r="L16" s="22">
        <f>ROUND(표5_11[[#This Row],[부가세]]*$F$2, 0)</f>
        <v>210</v>
      </c>
      <c r="M16" s="22">
        <f>표6_210[[#This Row],[신규가]]-표3[[#This Row],[원가]]-표5_11[[#This Row],[수수료]]-표5_11[[#This Row],[택배비]]-표5_11[[#This Row],[부가세]]-표5_11[[#This Row],[종소세]]</f>
        <v>5042</v>
      </c>
      <c r="N16" s="26">
        <f>IF(표6_210[[#This Row],[신규가]] = 0, 0, 표5_11[[#This Row],[순수익]]/표6_210[[#This Row],[신규가]])</f>
        <v>0.19318007662835249</v>
      </c>
      <c r="O16" s="4" t="s">
        <v>59</v>
      </c>
      <c r="Q16" s="42">
        <v>0.19315707620528771</v>
      </c>
    </row>
    <row r="17" spans="2:19" x14ac:dyDescent="0.4">
      <c r="B17" s="4">
        <v>14</v>
      </c>
      <c r="C17" s="8" t="s">
        <v>12</v>
      </c>
      <c r="D17" s="8">
        <v>16</v>
      </c>
      <c r="E17" s="5">
        <f>표3[[#This Row],[원가]]</f>
        <v>21207</v>
      </c>
      <c r="F17" s="5">
        <v>35290</v>
      </c>
      <c r="G17" s="5">
        <f>IF(표3[[#This Row],[인터넷판매가]] = 0, 0, 표6_210[[#This Row],[신규가]]-표3[[#This Row],[인터넷판매가]])</f>
        <v>300</v>
      </c>
      <c r="H17" s="1"/>
      <c r="I17" s="22">
        <f>ROUND(표6_210[[#This Row],[신규가]]*$C$2, 0)</f>
        <v>3529</v>
      </c>
      <c r="J17" s="22">
        <v>2750</v>
      </c>
      <c r="K17" s="22">
        <f>ROUND(표6_210[[#This Row],[신규가]]/11-표3[[#This Row],[원가]]/11-표5_11[[#This Row],[수수료]]/11-표5_11[[#This Row],[택배비]]/11, 0)</f>
        <v>709</v>
      </c>
      <c r="L17" s="22">
        <f>ROUND(표5_11[[#This Row],[부가세]]*$F$2, 0)</f>
        <v>284</v>
      </c>
      <c r="M17" s="22">
        <f>표6_210[[#This Row],[신규가]]-표3[[#This Row],[원가]]-표5_11[[#This Row],[수수료]]-표5_11[[#This Row],[택배비]]-표5_11[[#This Row],[부가세]]-표5_11[[#This Row],[종소세]]</f>
        <v>6811</v>
      </c>
      <c r="N17" s="26">
        <f>IF(표6_210[[#This Row],[신규가]] = 0, 0, 표5_11[[#This Row],[순수익]]/표6_210[[#This Row],[신규가]])</f>
        <v>0.19300085009917825</v>
      </c>
      <c r="O17" s="4" t="s">
        <v>59</v>
      </c>
      <c r="Q17" s="42">
        <v>0.19304197814836113</v>
      </c>
    </row>
    <row r="18" spans="2:19" x14ac:dyDescent="0.4">
      <c r="B18" s="4">
        <v>15</v>
      </c>
      <c r="C18" s="8" t="s">
        <v>13</v>
      </c>
      <c r="D18" s="8">
        <v>16</v>
      </c>
      <c r="E18" s="5">
        <f>표3[[#This Row],[원가]]</f>
        <v>12568</v>
      </c>
      <c r="F18" s="5">
        <v>22150</v>
      </c>
      <c r="G18" s="5">
        <f>IF(표3[[#This Row],[인터넷판매가]] = 0, 0, 표6_210[[#This Row],[신규가]]-표3[[#This Row],[인터넷판매가]])</f>
        <v>650</v>
      </c>
      <c r="H18" s="1"/>
      <c r="I18" s="22">
        <f>ROUND(표6_210[[#This Row],[신규가]]*$C$2, 0)</f>
        <v>2215</v>
      </c>
      <c r="J18" s="22">
        <v>2750</v>
      </c>
      <c r="K18" s="22">
        <f>ROUND(표6_210[[#This Row],[신규가]]/11-표3[[#This Row],[원가]]/11-표5_11[[#This Row],[수수료]]/11-표5_11[[#This Row],[택배비]]/11, 0)</f>
        <v>420</v>
      </c>
      <c r="L18" s="22">
        <f>ROUND(표5_11[[#This Row],[부가세]]*$F$2, 0)</f>
        <v>168</v>
      </c>
      <c r="M18" s="22">
        <f>표6_210[[#This Row],[신규가]]-표3[[#This Row],[원가]]-표5_11[[#This Row],[수수료]]-표5_11[[#This Row],[택배비]]-표5_11[[#This Row],[부가세]]-표5_11[[#This Row],[종소세]]</f>
        <v>4029</v>
      </c>
      <c r="N18" s="26">
        <f>IF(표6_210[[#This Row],[신규가]] = 0, 0, 표5_11[[#This Row],[순수익]]/표6_210[[#This Row],[신규가]])</f>
        <v>0.18189616252821669</v>
      </c>
      <c r="O18" s="4" t="s">
        <v>59</v>
      </c>
      <c r="Q18" s="42">
        <v>0.18514806378132118</v>
      </c>
      <c r="S18" s="40"/>
    </row>
    <row r="19" spans="2:19" x14ac:dyDescent="0.4">
      <c r="B19" s="4">
        <v>16</v>
      </c>
      <c r="C19" s="8" t="s">
        <v>14</v>
      </c>
      <c r="D19" s="8">
        <v>16</v>
      </c>
      <c r="E19" s="5">
        <f>표3[[#This Row],[원가]]</f>
        <v>14459</v>
      </c>
      <c r="F19" s="5">
        <v>25350</v>
      </c>
      <c r="G19" s="5">
        <f>IF(표3[[#This Row],[인터넷판매가]] = 0, 0, 표6_210[[#This Row],[신규가]]-표3[[#This Row],[인터넷판매가]])</f>
        <v>-140</v>
      </c>
      <c r="H19" s="1"/>
      <c r="I19" s="22">
        <f>ROUND(표6_210[[#This Row],[신규가]]*$C$2, 0)</f>
        <v>2535</v>
      </c>
      <c r="J19" s="22">
        <v>2750</v>
      </c>
      <c r="K19" s="22">
        <f>ROUND(표6_210[[#This Row],[신규가]]/11-표3[[#This Row],[원가]]/11-표5_11[[#This Row],[수수료]]/11-표5_11[[#This Row],[택배비]]/11, 0)</f>
        <v>510</v>
      </c>
      <c r="L19" s="22">
        <f>ROUND(표5_11[[#This Row],[부가세]]*$F$2, 0)</f>
        <v>204</v>
      </c>
      <c r="M19" s="22">
        <f>표6_210[[#This Row],[신규가]]-표3[[#This Row],[원가]]-표5_11[[#This Row],[수수료]]-표5_11[[#This Row],[택배비]]-표5_11[[#This Row],[부가세]]-표5_11[[#This Row],[종소세]]</f>
        <v>4892</v>
      </c>
      <c r="N19" s="26">
        <f>IF(표6_210[[#This Row],[신규가]] = 0, 0, 표5_11[[#This Row],[순수익]]/표6_210[[#This Row],[신규가]])</f>
        <v>0.19297830374753452</v>
      </c>
      <c r="O19" s="4" t="s">
        <v>59</v>
      </c>
      <c r="Q19" s="42">
        <v>0.19295436349079265</v>
      </c>
    </row>
    <row r="20" spans="2:19" x14ac:dyDescent="0.4">
      <c r="B20" s="4">
        <v>17</v>
      </c>
      <c r="C20" s="8" t="s">
        <v>15</v>
      </c>
      <c r="D20" s="8">
        <v>16</v>
      </c>
      <c r="E20" s="5">
        <f>표3[[#This Row],[원가]]</f>
        <v>15710</v>
      </c>
      <c r="F20" s="5">
        <v>27190</v>
      </c>
      <c r="G20" s="5">
        <f>IF(표3[[#This Row],[인터넷판매가]] = 0, 0, 표6_210[[#This Row],[신규가]]-표3[[#This Row],[인터넷판매가]])</f>
        <v>200</v>
      </c>
      <c r="H20" s="1"/>
      <c r="I20" s="22">
        <f>ROUND(표6_210[[#This Row],[신규가]]*$C$2, 0)</f>
        <v>2719</v>
      </c>
      <c r="J20" s="22">
        <v>2750</v>
      </c>
      <c r="K20" s="22">
        <f>ROUND(표6_210[[#This Row],[신규가]]/11-표3[[#This Row],[원가]]/11-표5_11[[#This Row],[수수료]]/11-표5_11[[#This Row],[택배비]]/11, 0)</f>
        <v>546</v>
      </c>
      <c r="L20" s="22">
        <f>ROUND(표5_11[[#This Row],[부가세]]*$F$2, 0)</f>
        <v>218</v>
      </c>
      <c r="M20" s="22">
        <f>표6_210[[#This Row],[신규가]]-표3[[#This Row],[원가]]-표5_11[[#This Row],[수수료]]-표5_11[[#This Row],[택배비]]-표5_11[[#This Row],[부가세]]-표5_11[[#This Row],[종소세]]</f>
        <v>5247</v>
      </c>
      <c r="N20" s="26">
        <f>IF(표6_210[[#This Row],[신규가]] = 0, 0, 표5_11[[#This Row],[순수익]]/표6_210[[#This Row],[신규가]])</f>
        <v>0.19297535858771608</v>
      </c>
      <c r="O20" s="4" t="s">
        <v>59</v>
      </c>
      <c r="Q20" s="42">
        <v>0.19302238805970148</v>
      </c>
    </row>
    <row r="21" spans="2:19" x14ac:dyDescent="0.4">
      <c r="B21" s="4">
        <v>18</v>
      </c>
      <c r="C21" s="8" t="s">
        <v>16</v>
      </c>
      <c r="D21" s="8">
        <v>16</v>
      </c>
      <c r="E21" s="5">
        <f>표3[[#This Row],[원가]]</f>
        <v>21993</v>
      </c>
      <c r="F21" s="5">
        <v>36530</v>
      </c>
      <c r="G21" s="5">
        <f>IF(표3[[#This Row],[인터넷판매가]] = 0, 0, 표6_210[[#This Row],[신규가]]-표3[[#This Row],[인터넷판매가]])</f>
        <v>540</v>
      </c>
      <c r="H21" s="1"/>
      <c r="I21" s="22">
        <f>ROUND(표6_210[[#This Row],[신규가]]*$C$2, 0)</f>
        <v>3653</v>
      </c>
      <c r="J21" s="22">
        <v>2750</v>
      </c>
      <c r="K21" s="22">
        <f>ROUND(표6_210[[#This Row],[신규가]]/11-표3[[#This Row],[원가]]/11-표5_11[[#This Row],[수수료]]/11-표5_11[[#This Row],[택배비]]/11, 0)</f>
        <v>739</v>
      </c>
      <c r="L21" s="22">
        <f>ROUND(표5_11[[#This Row],[부가세]]*$F$2, 0)</f>
        <v>296</v>
      </c>
      <c r="M21" s="22">
        <f>표6_210[[#This Row],[신규가]]-표3[[#This Row],[원가]]-표5_11[[#This Row],[수수료]]-표5_11[[#This Row],[택배비]]-표5_11[[#This Row],[부가세]]-표5_11[[#This Row],[종소세]]</f>
        <v>7099</v>
      </c>
      <c r="N21" s="26">
        <f>IF(표6_210[[#This Row],[신규가]] = 0, 0, 표5_11[[#This Row],[순수익]]/표6_210[[#This Row],[신규가]])</f>
        <v>0.19433342458253491</v>
      </c>
      <c r="O21" s="4" t="s">
        <v>71</v>
      </c>
      <c r="Q21" s="42">
        <v>0.19419283134203946</v>
      </c>
    </row>
    <row r="22" spans="2:19" x14ac:dyDescent="0.4">
      <c r="B22" s="4">
        <v>19</v>
      </c>
      <c r="C22" s="8" t="s">
        <v>17</v>
      </c>
      <c r="D22" s="8">
        <v>10000</v>
      </c>
      <c r="E22" s="5">
        <f>표3[[#This Row],[원가]]</f>
        <v>9000</v>
      </c>
      <c r="F22" s="5">
        <v>17220</v>
      </c>
      <c r="G22" s="5">
        <f>IF(표3[[#This Row],[인터넷판매가]] = 0, 0, 표6_210[[#This Row],[신규가]]-표3[[#This Row],[인터넷판매가]])</f>
        <v>0</v>
      </c>
      <c r="I22" s="22">
        <f>ROUND(표6_210[[#This Row],[신규가]]*$C$2, 0)</f>
        <v>1722</v>
      </c>
      <c r="J22" s="22">
        <v>2750</v>
      </c>
      <c r="K22" s="22">
        <f>ROUND(표6_210[[#This Row],[신규가]]/11-표3[[#This Row],[원가]]/11-표5_11[[#This Row],[수수료]]/11-표5_11[[#This Row],[택배비]]/11, 0)</f>
        <v>341</v>
      </c>
      <c r="L22" s="22">
        <f>ROUND(표5_11[[#This Row],[부가세]]*$F$2, 0)</f>
        <v>136</v>
      </c>
      <c r="M22" s="22">
        <f>표6_210[[#This Row],[신규가]]-표3[[#This Row],[원가]]-표5_11[[#This Row],[수수료]]-표5_11[[#This Row],[택배비]]-표5_11[[#This Row],[부가세]]-표5_11[[#This Row],[종소세]]</f>
        <v>3271</v>
      </c>
      <c r="N22" s="26">
        <f>IF(표6_210[[#This Row],[신규가]] = 0, 0, 표5_11[[#This Row],[순수익]]/표6_210[[#This Row],[신규가]])</f>
        <v>0.18995354239256679</v>
      </c>
      <c r="O22" s="4" t="s">
        <v>62</v>
      </c>
      <c r="Q22" s="42">
        <v>0.18992339422510313</v>
      </c>
    </row>
    <row r="23" spans="2:19" x14ac:dyDescent="0.4">
      <c r="B23" s="4">
        <v>20</v>
      </c>
      <c r="C23" s="8" t="s">
        <v>18</v>
      </c>
      <c r="D23" s="8">
        <v>5000</v>
      </c>
      <c r="E23" s="5">
        <f>표3[[#This Row],[원가]]</f>
        <v>16000</v>
      </c>
      <c r="F23" s="5">
        <v>27380</v>
      </c>
      <c r="G23" s="5">
        <f>IF(표3[[#This Row],[인터넷판매가]] = 0, 0, 표6_210[[#This Row],[신규가]]-표3[[#This Row],[인터넷판매가]])</f>
        <v>0</v>
      </c>
      <c r="I23" s="22">
        <f>ROUND(표6_210[[#This Row],[신규가]]*$C$2, 0)</f>
        <v>2738</v>
      </c>
      <c r="J23" s="22">
        <v>2750</v>
      </c>
      <c r="K23" s="22">
        <f>ROUND(표6_210[[#This Row],[신규가]]/11-표3[[#This Row],[원가]]/11-표5_11[[#This Row],[수수료]]/11-표5_11[[#This Row],[택배비]]/11, 0)</f>
        <v>536</v>
      </c>
      <c r="L23" s="22">
        <f>ROUND(표5_11[[#This Row],[부가세]]*$F$2, 0)</f>
        <v>214</v>
      </c>
      <c r="M23" s="22">
        <f>표6_210[[#This Row],[신규가]]-표3[[#This Row],[원가]]-표5_11[[#This Row],[수수료]]-표5_11[[#This Row],[택배비]]-표5_11[[#This Row],[부가세]]-표5_11[[#This Row],[종소세]]</f>
        <v>5142</v>
      </c>
      <c r="N23" s="26">
        <f>IF(표6_210[[#This Row],[신규가]] = 0, 0, 표5_11[[#This Row],[순수익]]/표6_210[[#This Row],[신규가]])</f>
        <v>0.18780131482834186</v>
      </c>
      <c r="O23" s="4" t="s">
        <v>63</v>
      </c>
      <c r="Q23" s="42">
        <v>0.18792145238977398</v>
      </c>
    </row>
    <row r="24" spans="2:19" x14ac:dyDescent="0.4">
      <c r="B24" s="28">
        <v>21</v>
      </c>
      <c r="C24" s="29" t="s">
        <v>0</v>
      </c>
      <c r="D24" s="30">
        <v>7</v>
      </c>
      <c r="E24" s="31">
        <f>표3[[#This Row],[원가]]</f>
        <v>13776</v>
      </c>
      <c r="F24" s="31">
        <v>23830</v>
      </c>
      <c r="G24" s="31">
        <f>IF(표3[[#This Row],[인터넷판매가]] = 0, 0, 표6_210[[#This Row],[신규가]]-표3[[#This Row],[인터넷판매가]])</f>
        <v>0</v>
      </c>
      <c r="I24" s="34">
        <f>ROUND(표6_210[[#This Row],[신규가]]*$C$2, 0)</f>
        <v>2383</v>
      </c>
      <c r="J24" s="34">
        <v>2750</v>
      </c>
      <c r="K24" s="34">
        <f>ROUND(표6_210[[#This Row],[신규가]]/11-표3[[#This Row],[원가]]/11-표5_11[[#This Row],[수수료]]/11-표5_11[[#This Row],[택배비]]/11, 0)</f>
        <v>447</v>
      </c>
      <c r="L24" s="34">
        <f>ROUND(표5_11[[#This Row],[부가세]]*$F$2, 0)</f>
        <v>179</v>
      </c>
      <c r="M24" s="34">
        <f>표6_210[[#This Row],[신규가]]-표3[[#This Row],[원가]]-표5_11[[#This Row],[수수료]]-표5_11[[#This Row],[택배비]]-표5_11[[#This Row],[부가세]]-표5_11[[#This Row],[종소세]]</f>
        <v>4295</v>
      </c>
      <c r="N24" s="35">
        <f>IF(표6_210[[#This Row],[신규가]] = 0, 0, 표5_11[[#This Row],[순수익]]/표6_210[[#This Row],[신규가]])</f>
        <v>0.18023499790180444</v>
      </c>
      <c r="O24" s="36" t="s">
        <v>63</v>
      </c>
      <c r="Q24" s="42">
        <v>0.18020434227330778</v>
      </c>
      <c r="R24" s="1"/>
    </row>
    <row r="25" spans="2:19" x14ac:dyDescent="0.4">
      <c r="B25" s="28">
        <v>22</v>
      </c>
      <c r="C25" s="32" t="s">
        <v>0</v>
      </c>
      <c r="D25" s="33">
        <v>6</v>
      </c>
      <c r="E25" s="31">
        <f>표3[[#This Row],[원가]]</f>
        <v>11808</v>
      </c>
      <c r="F25" s="31">
        <v>20990</v>
      </c>
      <c r="G25" s="31">
        <f>IF(표3[[#This Row],[인터넷판매가]] = 0, 0, 표6_210[[#This Row],[신규가]]-표3[[#This Row],[인터넷판매가]])</f>
        <v>0</v>
      </c>
      <c r="I25" s="34">
        <f>ROUND(표6_210[[#This Row],[신규가]]*$C$2, 0)</f>
        <v>2099</v>
      </c>
      <c r="J25" s="34">
        <v>2750</v>
      </c>
      <c r="K25" s="34">
        <f>ROUND(표6_210[[#This Row],[신규가]]/11-표3[[#This Row],[원가]]/11-표5_11[[#This Row],[수수료]]/11-표5_11[[#This Row],[택배비]]/11, 0)</f>
        <v>394</v>
      </c>
      <c r="L25" s="34">
        <f>ROUND(표5_11[[#This Row],[부가세]]*$F$2, 0)</f>
        <v>158</v>
      </c>
      <c r="M25" s="34">
        <f>표6_210[[#This Row],[신규가]]-표3[[#This Row],[원가]]-표5_11[[#This Row],[수수료]]-표5_11[[#This Row],[택배비]]-표5_11[[#This Row],[부가세]]-표5_11[[#This Row],[종소세]]</f>
        <v>3781</v>
      </c>
      <c r="N25" s="35">
        <f>IF(표6_210[[#This Row],[신규가]] = 0, 0, 표5_11[[#This Row],[순수익]]/표6_210[[#This Row],[신규가]])</f>
        <v>0.18013339685564556</v>
      </c>
      <c r="O25" s="36" t="s">
        <v>63</v>
      </c>
      <c r="Q25" s="42">
        <v>0.18013533107781537</v>
      </c>
    </row>
    <row r="26" spans="2:19" x14ac:dyDescent="0.4">
      <c r="B26" s="28">
        <v>23</v>
      </c>
      <c r="C26" s="29" t="s">
        <v>0</v>
      </c>
      <c r="D26" s="29">
        <v>5</v>
      </c>
      <c r="E26" s="31">
        <f>표3[[#This Row],[원가]]</f>
        <v>9840</v>
      </c>
      <c r="F26" s="31">
        <v>18150</v>
      </c>
      <c r="G26" s="31">
        <f>IF(표3[[#This Row],[인터넷판매가]] = 0, 0, 표6_210[[#This Row],[신규가]]-표3[[#This Row],[인터넷판매가]])</f>
        <v>0</v>
      </c>
      <c r="I26" s="34">
        <f>ROUND(표6_210[[#This Row],[신규가]]*$C$2, 0)</f>
        <v>1815</v>
      </c>
      <c r="J26" s="34">
        <v>2750</v>
      </c>
      <c r="K26" s="34">
        <f>ROUND(표6_210[[#This Row],[신규가]]/11-표3[[#This Row],[원가]]/11-표5_11[[#This Row],[수수료]]/11-표5_11[[#This Row],[택배비]]/11, 0)</f>
        <v>340</v>
      </c>
      <c r="L26" s="34">
        <f>ROUND(표5_11[[#This Row],[부가세]]*$F$2, 0)</f>
        <v>136</v>
      </c>
      <c r="M26" s="34">
        <f>표6_210[[#This Row],[신규가]]-표3[[#This Row],[원가]]-표5_11[[#This Row],[수수료]]-표5_11[[#This Row],[택배비]]-표5_11[[#This Row],[부가세]]-표5_11[[#This Row],[종소세]]</f>
        <v>3269</v>
      </c>
      <c r="N26" s="35">
        <f>IF(표6_210[[#This Row],[신규가]] = 0, 0, 표5_11[[#This Row],[순수익]]/표6_210[[#This Row],[신규가]])</f>
        <v>0.18011019283746557</v>
      </c>
      <c r="O26" s="36" t="s">
        <v>63</v>
      </c>
      <c r="Q26" s="42">
        <v>0.18004471771939631</v>
      </c>
    </row>
    <row r="27" spans="2:19" x14ac:dyDescent="0.4">
      <c r="B27" s="28">
        <v>24</v>
      </c>
      <c r="C27" s="29" t="s">
        <v>0</v>
      </c>
      <c r="D27" s="29">
        <v>3</v>
      </c>
      <c r="E27" s="31">
        <f>표3[[#This Row],[원가]]</f>
        <v>12785</v>
      </c>
      <c r="F27" s="31">
        <v>22730</v>
      </c>
      <c r="G27" s="31">
        <f>IF(표3[[#This Row],[인터넷판매가]] = 0, 0, 표6_210[[#This Row],[신규가]]-표3[[#This Row],[인터넷판매가]])</f>
        <v>0</v>
      </c>
      <c r="I27" s="34">
        <f>ROUND(표6_210[[#This Row],[신규가]]*$C$2, 0)</f>
        <v>2273</v>
      </c>
      <c r="J27" s="34">
        <v>2750</v>
      </c>
      <c r="K27" s="34">
        <f>ROUND(표6_210[[#This Row],[신규가]]/11-표3[[#This Row],[원가]]/11-표5_11[[#This Row],[수수료]]/11-표5_11[[#This Row],[택배비]]/11, 0)</f>
        <v>447</v>
      </c>
      <c r="L27" s="34">
        <f>ROUND(표5_11[[#This Row],[부가세]]*$F$2, 0)</f>
        <v>179</v>
      </c>
      <c r="M27" s="34">
        <f>표6_210[[#This Row],[신규가]]-표3[[#This Row],[원가]]-표5_11[[#This Row],[수수료]]-표5_11[[#This Row],[택배비]]-표5_11[[#This Row],[부가세]]-표5_11[[#This Row],[종소세]]</f>
        <v>4296</v>
      </c>
      <c r="N27" s="35">
        <f>IF(표6_210[[#This Row],[신규가]] = 0, 0, 표5_11[[#This Row],[순수익]]/표6_210[[#This Row],[신규가]])</f>
        <v>0.189001319841619</v>
      </c>
      <c r="O27" s="36" t="s">
        <v>63</v>
      </c>
      <c r="Q27" s="42">
        <v>0.18892857142857142</v>
      </c>
    </row>
    <row r="28" spans="2:19" x14ac:dyDescent="0.4">
      <c r="B28" s="28">
        <v>25</v>
      </c>
      <c r="C28" s="29" t="s">
        <v>0</v>
      </c>
      <c r="D28" s="29">
        <v>2</v>
      </c>
      <c r="E28" s="31">
        <f>표3[[#This Row],[원가]]</f>
        <v>8523</v>
      </c>
      <c r="F28" s="31">
        <v>15760</v>
      </c>
      <c r="G28" s="31">
        <f>IF(표3[[#This Row],[인터넷판매가]] = 0, 0, 표6_210[[#This Row],[신규가]]-표3[[#This Row],[인터넷판매가]])</f>
        <v>0</v>
      </c>
      <c r="I28" s="34">
        <f>ROUND(표6_210[[#This Row],[신규가]]*$C$2, 0)</f>
        <v>1576</v>
      </c>
      <c r="J28" s="34">
        <v>2250</v>
      </c>
      <c r="K28" s="34">
        <f>ROUND(표6_210[[#This Row],[신규가]]/11-표3[[#This Row],[원가]]/11-표5_11[[#This Row],[수수료]]/11-표5_11[[#This Row],[택배비]]/11, 0)</f>
        <v>310</v>
      </c>
      <c r="L28" s="34">
        <f>ROUND(표5_11[[#This Row],[부가세]]*$F$2, 0)</f>
        <v>124</v>
      </c>
      <c r="M28" s="34">
        <f>표6_210[[#This Row],[신규가]]-표3[[#This Row],[원가]]-표5_11[[#This Row],[수수료]]-표5_11[[#This Row],[택배비]]-표5_11[[#This Row],[부가세]]-표5_11[[#This Row],[종소세]]</f>
        <v>2977</v>
      </c>
      <c r="N28" s="35">
        <f>IF(표6_210[[#This Row],[신규가]] = 0, 0, 표5_11[[#This Row],[순수익]]/표6_210[[#This Row],[신규가]])</f>
        <v>0.18889593908629443</v>
      </c>
      <c r="O28" s="36" t="s">
        <v>63</v>
      </c>
      <c r="Q28" s="42">
        <v>0.18879587894397939</v>
      </c>
    </row>
    <row r="29" spans="2:19" x14ac:dyDescent="0.4">
      <c r="B29" s="28">
        <v>26</v>
      </c>
      <c r="C29" s="29" t="s">
        <v>6</v>
      </c>
      <c r="D29" s="29">
        <v>2</v>
      </c>
      <c r="E29" s="31">
        <f>표3[[#This Row],[원가]]</f>
        <v>10696</v>
      </c>
      <c r="F29" s="31">
        <v>20090</v>
      </c>
      <c r="G29" s="31">
        <f>IF(표3[[#This Row],[인터넷판매가]] = 0, 0, 표6_210[[#This Row],[신규가]]-표3[[#This Row],[인터넷판매가]])</f>
        <v>0</v>
      </c>
      <c r="I29" s="34">
        <f>ROUND(표6_210[[#This Row],[신규가]]*$C$2, 0)</f>
        <v>2009</v>
      </c>
      <c r="J29" s="34">
        <v>2750</v>
      </c>
      <c r="K29" s="34">
        <f>ROUND(표6_210[[#This Row],[신규가]]/11-표3[[#This Row],[원가]]/11-표5_11[[#This Row],[수수료]]/11-표5_11[[#This Row],[택배비]]/11, 0)</f>
        <v>421</v>
      </c>
      <c r="L29" s="34">
        <f>ROUND(표5_11[[#This Row],[부가세]]*$F$2, 0)</f>
        <v>168</v>
      </c>
      <c r="M29" s="34">
        <f>표6_210[[#This Row],[신규가]]-표3[[#This Row],[원가]]-표5_11[[#This Row],[수수료]]-표5_11[[#This Row],[택배비]]-표5_11[[#This Row],[부가세]]-표5_11[[#This Row],[종소세]]</f>
        <v>4046</v>
      </c>
      <c r="N29" s="35">
        <f>IF(표6_210[[#This Row],[신규가]] = 0, 0, 표5_11[[#This Row],[순수익]]/표6_210[[#This Row],[신규가]])</f>
        <v>0.2013937282229965</v>
      </c>
      <c r="O29" s="36" t="s">
        <v>63</v>
      </c>
      <c r="Q29" s="42">
        <v>0.18752525252525251</v>
      </c>
    </row>
    <row r="30" spans="2:19" x14ac:dyDescent="0.4">
      <c r="B30" s="28">
        <v>27</v>
      </c>
      <c r="C30" s="29" t="s">
        <v>48</v>
      </c>
      <c r="D30" s="29">
        <v>2</v>
      </c>
      <c r="E30" s="31">
        <f>표3[[#This Row],[원가]]</f>
        <v>11013</v>
      </c>
      <c r="F30" s="31">
        <v>20460</v>
      </c>
      <c r="G30" s="31">
        <f>IF(표3[[#This Row],[인터넷판매가]] = 0, 0, 표6_210[[#This Row],[신규가]]-표3[[#This Row],[인터넷판매가]])</f>
        <v>0</v>
      </c>
      <c r="I30" s="34">
        <f>ROUND(표6_210[[#This Row],[신규가]]*$C$2, 0)</f>
        <v>2046</v>
      </c>
      <c r="J30" s="34">
        <v>2750</v>
      </c>
      <c r="K30" s="34">
        <f>ROUND(표6_210[[#This Row],[신규가]]/11-표3[[#This Row],[원가]]/11-표5_11[[#This Row],[수수료]]/11-표5_11[[#This Row],[택배비]]/11, 0)</f>
        <v>423</v>
      </c>
      <c r="L30" s="34">
        <f>ROUND(표5_11[[#This Row],[부가세]]*$F$2, 0)</f>
        <v>169</v>
      </c>
      <c r="M30" s="34">
        <f>표6_210[[#This Row],[신규가]]-표3[[#This Row],[원가]]-표5_11[[#This Row],[수수료]]-표5_11[[#This Row],[택배비]]-표5_11[[#This Row],[부가세]]-표5_11[[#This Row],[종소세]]</f>
        <v>4059</v>
      </c>
      <c r="N30" s="35">
        <f>IF(표6_210[[#This Row],[신규가]] = 0, 0, 표5_11[[#This Row],[순수익]]/표6_210[[#This Row],[신규가]])</f>
        <v>0.19838709677419356</v>
      </c>
      <c r="O30" s="36" t="s">
        <v>63</v>
      </c>
      <c r="Q30" s="42">
        <v>0.18750619732275656</v>
      </c>
    </row>
    <row r="31" spans="2:19" x14ac:dyDescent="0.4">
      <c r="B31" s="28">
        <v>28</v>
      </c>
      <c r="C31" s="29" t="s">
        <v>49</v>
      </c>
      <c r="D31" s="29">
        <v>3</v>
      </c>
      <c r="E31" s="31">
        <f>표3[[#This Row],[원가]]</f>
        <v>11271</v>
      </c>
      <c r="F31" s="31">
        <v>17210</v>
      </c>
      <c r="G31" s="31">
        <f>IF(표3[[#This Row],[인터넷판매가]] = 0, 0, 표6_210[[#This Row],[신규가]]-표3[[#This Row],[인터넷판매가]])</f>
        <v>0</v>
      </c>
      <c r="I31" s="34">
        <f>ROUND(표6_210[[#This Row],[신규가]]*$C$2, 0)</f>
        <v>1721</v>
      </c>
      <c r="J31" s="34">
        <v>2750</v>
      </c>
      <c r="K31" s="34">
        <f>ROUND(표6_210[[#This Row],[신규가]]/11-표3[[#This Row],[원가]]/11-표5_11[[#This Row],[수수료]]/11-표5_11[[#This Row],[택배비]]/11, 0)</f>
        <v>133</v>
      </c>
      <c r="L31" s="34">
        <f>ROUND(표5_11[[#This Row],[부가세]]*$F$2, 0)</f>
        <v>53</v>
      </c>
      <c r="M31" s="34">
        <f>표6_210[[#This Row],[신규가]]-표3[[#This Row],[원가]]-표5_11[[#This Row],[수수료]]-표5_11[[#This Row],[택배비]]-표5_11[[#This Row],[부가세]]-표5_11[[#This Row],[종소세]]</f>
        <v>1282</v>
      </c>
      <c r="N31" s="35">
        <f>IF(표6_210[[#This Row],[신규가]] = 0, 0, 표5_11[[#This Row],[순수익]]/표6_210[[#This Row],[신규가]])</f>
        <v>7.449157466589193E-2</v>
      </c>
      <c r="O31" s="36" t="s">
        <v>63</v>
      </c>
      <c r="Q31" s="42">
        <v>0.19027122641509434</v>
      </c>
    </row>
    <row r="32" spans="2:19" x14ac:dyDescent="0.4">
      <c r="B32" s="28">
        <v>29</v>
      </c>
      <c r="C32" s="29" t="s">
        <v>50</v>
      </c>
      <c r="D32" s="29">
        <v>3</v>
      </c>
      <c r="E32" s="31">
        <f>표3[[#This Row],[원가]]</f>
        <v>8987</v>
      </c>
      <c r="F32" s="31">
        <v>17850</v>
      </c>
      <c r="G32" s="31">
        <f>IF(표3[[#This Row],[인터넷판매가]] = 0, 0, 표6_210[[#This Row],[신규가]]-표3[[#This Row],[인터넷판매가]])</f>
        <v>0</v>
      </c>
      <c r="I32" s="34">
        <f>ROUND(표6_210[[#This Row],[신규가]]*$C$2, 0)</f>
        <v>1785</v>
      </c>
      <c r="J32" s="34">
        <v>2750</v>
      </c>
      <c r="K32" s="34">
        <f>ROUND(표6_210[[#This Row],[신규가]]/11-표3[[#This Row],[원가]]/11-표5_11[[#This Row],[수수료]]/11-표5_11[[#This Row],[택배비]]/11, 0)</f>
        <v>393</v>
      </c>
      <c r="L32" s="34">
        <f>ROUND(표5_11[[#This Row],[부가세]]*$F$2, 0)</f>
        <v>157</v>
      </c>
      <c r="M32" s="34">
        <f>표6_210[[#This Row],[신규가]]-표3[[#This Row],[원가]]-표5_11[[#This Row],[수수료]]-표5_11[[#This Row],[택배비]]-표5_11[[#This Row],[부가세]]-표5_11[[#This Row],[종소세]]</f>
        <v>3778</v>
      </c>
      <c r="N32" s="35">
        <f>IF(표6_210[[#This Row],[신규가]] = 0, 0, 표5_11[[#This Row],[순수익]]/표6_210[[#This Row],[신규가]])</f>
        <v>0.21165266106442576</v>
      </c>
      <c r="O32" s="36" t="s">
        <v>63</v>
      </c>
      <c r="Q32" s="42">
        <v>0.19010801591813531</v>
      </c>
    </row>
    <row r="33" spans="2:7" x14ac:dyDescent="0.4">
      <c r="B33" s="4"/>
      <c r="C33" s="8"/>
      <c r="D33" s="8"/>
      <c r="E33" s="21"/>
      <c r="F33" s="22"/>
      <c r="G33" s="22"/>
    </row>
    <row r="34" spans="2:7" x14ac:dyDescent="0.4">
      <c r="B34" s="4"/>
      <c r="C34" s="8"/>
      <c r="D34" s="8"/>
      <c r="E34" s="41"/>
      <c r="F34" s="22"/>
    </row>
  </sheetData>
  <phoneticPr fontId="1" type="noConversion"/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S34"/>
  <sheetViews>
    <sheetView topLeftCell="A4" workbookViewId="0">
      <selection activeCell="F4" sqref="F4:F32"/>
    </sheetView>
  </sheetViews>
  <sheetFormatPr defaultRowHeight="17.399999999999999" x14ac:dyDescent="0.4"/>
  <cols>
    <col min="1" max="1" width="2.8984375" customWidth="1"/>
    <col min="2" max="2" width="5.8984375" bestFit="1" customWidth="1"/>
    <col min="3" max="3" width="9.8984375" bestFit="1" customWidth="1"/>
    <col min="4" max="4" width="5.8984375" bestFit="1" customWidth="1"/>
    <col min="5" max="5" width="6.8984375" bestFit="1" customWidth="1"/>
    <col min="6" max="6" width="7.69921875" bestFit="1" customWidth="1"/>
    <col min="7" max="7" width="6" bestFit="1" customWidth="1"/>
    <col min="8" max="8" width="3.3984375" customWidth="1"/>
    <col min="9" max="14" width="7.8984375" bestFit="1" customWidth="1"/>
    <col min="15" max="15" width="6.3984375" style="23" bestFit="1" customWidth="1"/>
    <col min="17" max="17" width="8.69921875" style="42"/>
    <col min="18" max="18" width="9.8984375" bestFit="1" customWidth="1"/>
    <col min="19" max="19" width="10.19921875" bestFit="1" customWidth="1"/>
  </cols>
  <sheetData>
    <row r="2" spans="2:17" x14ac:dyDescent="0.4">
      <c r="B2" s="24" t="s">
        <v>64</v>
      </c>
      <c r="C2" s="24">
        <v>0.11</v>
      </c>
      <c r="D2" s="24"/>
      <c r="E2" s="24" t="s">
        <v>51</v>
      </c>
      <c r="F2" s="24">
        <v>0.4</v>
      </c>
      <c r="G2" s="38"/>
    </row>
    <row r="3" spans="2:17" x14ac:dyDescent="0.4">
      <c r="B3" s="4" t="s">
        <v>21</v>
      </c>
      <c r="C3" s="27" t="s">
        <v>30</v>
      </c>
      <c r="D3" s="27" t="s">
        <v>31</v>
      </c>
      <c r="E3" s="27" t="s">
        <v>65</v>
      </c>
      <c r="F3" s="27" t="s">
        <v>26</v>
      </c>
      <c r="G3" s="27" t="s">
        <v>66</v>
      </c>
      <c r="H3" s="1"/>
      <c r="I3" s="2" t="s">
        <v>52</v>
      </c>
      <c r="J3" s="25" t="s">
        <v>53</v>
      </c>
      <c r="K3" s="25" t="s">
        <v>54</v>
      </c>
      <c r="L3" s="25" t="s">
        <v>55</v>
      </c>
      <c r="M3" s="25" t="s">
        <v>56</v>
      </c>
      <c r="N3" s="25" t="s">
        <v>57</v>
      </c>
      <c r="O3" s="37" t="s">
        <v>58</v>
      </c>
    </row>
    <row r="4" spans="2:17" x14ac:dyDescent="0.4">
      <c r="B4" s="4">
        <v>1</v>
      </c>
      <c r="C4" s="8" t="s">
        <v>0</v>
      </c>
      <c r="D4" s="8">
        <v>10</v>
      </c>
      <c r="E4" s="5">
        <f>표3[[#This Row],[원가]]</f>
        <v>19680</v>
      </c>
      <c r="F4" s="5">
        <v>32920</v>
      </c>
      <c r="G4" s="5">
        <f>IF(표3[[#This Row],[인터넷판매가]] = 0, 0, 표6_21012[[#This Row],[신규가]]-표3[[#This Row],[인터넷판매가]])</f>
        <v>2220</v>
      </c>
      <c r="H4" s="1"/>
      <c r="I4" s="22">
        <f>ROUND(표6_21012[[#This Row],[신규가]]*$C$2, 0)</f>
        <v>3621</v>
      </c>
      <c r="J4" s="22">
        <v>3150</v>
      </c>
      <c r="K4" s="22">
        <f>ROUND(표6_21012[[#This Row],[신규가]]/11-표3[[#This Row],[원가]]/11-표5_1113[[#This Row],[수수료]]/11-표5_1113[[#This Row],[택배비]]/11, 0)</f>
        <v>588</v>
      </c>
      <c r="L4" s="22">
        <f>ROUND(표5_1113[[#This Row],[부가세]]*$F$2, 0)</f>
        <v>235</v>
      </c>
      <c r="M4" s="22">
        <f>표6_21012[[#This Row],[신규가]]-표3[[#This Row],[원가]]-표5_1113[[#This Row],[수수료]]-표5_1113[[#This Row],[택배비]]-표5_1113[[#This Row],[부가세]]-표5_1113[[#This Row],[종소세]]</f>
        <v>5646</v>
      </c>
      <c r="N4" s="26">
        <f>IF(표6_21012[[#This Row],[신규가]] = 0, 0, 표5_1113[[#This Row],[순수익]]/표6_21012[[#This Row],[신규가]])</f>
        <v>0.17150668286755771</v>
      </c>
      <c r="O4" s="4" t="s">
        <v>59</v>
      </c>
      <c r="Q4" s="42">
        <v>0.17136605189121601</v>
      </c>
    </row>
    <row r="5" spans="2:17" x14ac:dyDescent="0.4">
      <c r="B5" s="4">
        <v>2</v>
      </c>
      <c r="C5" s="8" t="s">
        <v>1</v>
      </c>
      <c r="D5" s="20">
        <v>10</v>
      </c>
      <c r="E5" s="5">
        <f>표3[[#This Row],[원가]]</f>
        <v>19980</v>
      </c>
      <c r="F5" s="5">
        <v>0</v>
      </c>
      <c r="G5" s="5">
        <f>IF(표3[[#This Row],[인터넷판매가]] = 0, 0, 표6_21012[[#This Row],[신규가]]-표3[[#This Row],[인터넷판매가]])</f>
        <v>0</v>
      </c>
      <c r="H5" s="1"/>
      <c r="I5" s="22">
        <f>ROUND(표6_21012[[#This Row],[신규가]]*$C$2, 0)</f>
        <v>0</v>
      </c>
      <c r="J5" s="22">
        <v>3150</v>
      </c>
      <c r="K5" s="22">
        <f>ROUND(표6_21012[[#This Row],[신규가]]/11-표3[[#This Row],[원가]]/11-표5_1113[[#This Row],[수수료]]/11-표5_1113[[#This Row],[택배비]]/11, 0)</f>
        <v>-2103</v>
      </c>
      <c r="L5" s="22">
        <f>ROUND(표5_1113[[#This Row],[부가세]]*$F$2, 0)</f>
        <v>-841</v>
      </c>
      <c r="M5" s="22">
        <f>표6_21012[[#This Row],[신규가]]-표3[[#This Row],[원가]]-표5_1113[[#This Row],[수수료]]-표5_1113[[#This Row],[택배비]]-표5_1113[[#This Row],[부가세]]-표5_1113[[#This Row],[종소세]]</f>
        <v>-20186</v>
      </c>
      <c r="N5" s="26">
        <f>IF(표6_21012[[#This Row],[신규가]] = 0, 0, 표5_1113[[#This Row],[순수익]]/표6_21012[[#This Row],[신규가]])</f>
        <v>0</v>
      </c>
      <c r="O5" s="4" t="s">
        <v>60</v>
      </c>
      <c r="Q5" s="42">
        <v>0</v>
      </c>
    </row>
    <row r="6" spans="2:17" x14ac:dyDescent="0.4">
      <c r="B6" s="4">
        <v>3</v>
      </c>
      <c r="C6" s="8" t="s">
        <v>0</v>
      </c>
      <c r="D6" s="8">
        <v>24</v>
      </c>
      <c r="E6" s="5">
        <f>표3[[#This Row],[원가]]</f>
        <v>17046</v>
      </c>
      <c r="F6" s="5">
        <v>29540</v>
      </c>
      <c r="G6" s="5">
        <f>IF(표3[[#This Row],[인터넷판매가]] = 0, 0, 표6_21012[[#This Row],[신규가]]-표3[[#This Row],[인터넷판매가]])</f>
        <v>2140</v>
      </c>
      <c r="H6" s="1"/>
      <c r="I6" s="22">
        <f>ROUND(표6_21012[[#This Row],[신규가]]*$C$2, 0)</f>
        <v>3249</v>
      </c>
      <c r="J6" s="22">
        <v>3150</v>
      </c>
      <c r="K6" s="22">
        <f>ROUND(표6_21012[[#This Row],[신규가]]/11-표3[[#This Row],[원가]]/11-표5_1113[[#This Row],[수수료]]/11-표5_1113[[#This Row],[택배비]]/11, 0)</f>
        <v>554</v>
      </c>
      <c r="L6" s="22">
        <f>ROUND(표5_1113[[#This Row],[부가세]]*$F$2, 0)</f>
        <v>222</v>
      </c>
      <c r="M6" s="22">
        <f>표6_21012[[#This Row],[신규가]]-표3[[#This Row],[원가]]-표5_1113[[#This Row],[수수료]]-표5_1113[[#This Row],[택배비]]-표5_1113[[#This Row],[부가세]]-표5_1113[[#This Row],[종소세]]</f>
        <v>5319</v>
      </c>
      <c r="N6" s="26">
        <f>IF(표6_21012[[#This Row],[신규가]] = 0, 0, 표5_1113[[#This Row],[순수익]]/표6_21012[[#This Row],[신규가]])</f>
        <v>0.18006093432633716</v>
      </c>
      <c r="O6" s="4" t="s">
        <v>59</v>
      </c>
      <c r="Q6" s="42">
        <v>0.18006968641114982</v>
      </c>
    </row>
    <row r="7" spans="2:17" x14ac:dyDescent="0.4">
      <c r="B7" s="4">
        <v>4</v>
      </c>
      <c r="C7" s="8" t="s">
        <v>2</v>
      </c>
      <c r="D7" s="8">
        <v>30</v>
      </c>
      <c r="E7" s="5">
        <f>표3[[#This Row],[원가]]</f>
        <v>12248</v>
      </c>
      <c r="F7" s="5">
        <v>21590</v>
      </c>
      <c r="G7" s="5">
        <f>IF(표3[[#This Row],[인터넷판매가]] = 0, 0, 표6_21012[[#This Row],[신규가]]-표3[[#This Row],[인터넷판매가]])</f>
        <v>1190</v>
      </c>
      <c r="H7" s="1"/>
      <c r="I7" s="22">
        <f>ROUND(표6_21012[[#This Row],[신규가]]*$C$2, 0)</f>
        <v>2375</v>
      </c>
      <c r="J7" s="22">
        <v>2750</v>
      </c>
      <c r="K7" s="22">
        <f>ROUND(표6_21012[[#This Row],[신규가]]/11-표3[[#This Row],[원가]]/11-표5_1113[[#This Row],[수수료]]/11-표5_1113[[#This Row],[택배비]]/11, 0)</f>
        <v>383</v>
      </c>
      <c r="L7" s="22">
        <f>ROUND(표5_1113[[#This Row],[부가세]]*$F$2, 0)</f>
        <v>153</v>
      </c>
      <c r="M7" s="22">
        <f>표6_21012[[#This Row],[신규가]]-표3[[#This Row],[원가]]-표5_1113[[#This Row],[수수료]]-표5_1113[[#This Row],[택배비]]-표5_1113[[#This Row],[부가세]]-표5_1113[[#This Row],[종소세]]</f>
        <v>3681</v>
      </c>
      <c r="N7" s="26">
        <f>IF(표6_21012[[#This Row],[신규가]] = 0, 0, 표5_1113[[#This Row],[순수익]]/표6_21012[[#This Row],[신규가]])</f>
        <v>0.17049559981472903</v>
      </c>
      <c r="O7" s="4" t="s">
        <v>59</v>
      </c>
      <c r="Q7" s="42">
        <v>0.17060505002382087</v>
      </c>
    </row>
    <row r="8" spans="2:17" x14ac:dyDescent="0.4">
      <c r="B8" s="4">
        <v>5</v>
      </c>
      <c r="C8" s="8" t="s">
        <v>3</v>
      </c>
      <c r="D8" s="8">
        <v>30</v>
      </c>
      <c r="E8" s="5">
        <f>표3[[#This Row],[원가]]</f>
        <v>14190</v>
      </c>
      <c r="F8" s="5">
        <v>25360</v>
      </c>
      <c r="G8" s="5">
        <f>IF(표3[[#This Row],[인터넷판매가]] = 0, 0, 표6_21012[[#This Row],[신규가]]-표3[[#This Row],[인터넷판매가]])</f>
        <v>-130</v>
      </c>
      <c r="H8" s="1"/>
      <c r="I8" s="22">
        <f>ROUND(표6_21012[[#This Row],[신규가]]*$C$2, 0)</f>
        <v>2790</v>
      </c>
      <c r="J8" s="22">
        <v>3150</v>
      </c>
      <c r="K8" s="22">
        <f>ROUND(표6_21012[[#This Row],[신규가]]/11-표3[[#This Row],[원가]]/11-표5_1113[[#This Row],[수수료]]/11-표5_1113[[#This Row],[택배비]]/11, 0)</f>
        <v>475</v>
      </c>
      <c r="L8" s="22">
        <f>ROUND(표5_1113[[#This Row],[부가세]]*$F$2, 0)</f>
        <v>190</v>
      </c>
      <c r="M8" s="22">
        <f>표6_21012[[#This Row],[신규가]]-표3[[#This Row],[원가]]-표5_1113[[#This Row],[수수료]]-표5_1113[[#This Row],[택배비]]-표5_1113[[#This Row],[부가세]]-표5_1113[[#This Row],[종소세]]</f>
        <v>4565</v>
      </c>
      <c r="N8" s="26">
        <f>IF(표6_21012[[#This Row],[신규가]] = 0, 0, 표5_1113[[#This Row],[순수익]]/표6_21012[[#This Row],[신규가]])</f>
        <v>0.18000788643533122</v>
      </c>
      <c r="O8" s="4" t="s">
        <v>59</v>
      </c>
      <c r="Q8" s="42">
        <v>0.17999188311688311</v>
      </c>
    </row>
    <row r="9" spans="2:17" x14ac:dyDescent="0.4">
      <c r="B9" s="4">
        <v>6</v>
      </c>
      <c r="C9" s="8" t="s">
        <v>4</v>
      </c>
      <c r="D9" s="8">
        <v>30</v>
      </c>
      <c r="E9" s="5">
        <f>표3[[#This Row],[원가]]</f>
        <v>14190</v>
      </c>
      <c r="F9" s="5">
        <v>25360</v>
      </c>
      <c r="G9" s="5">
        <f>IF(표3[[#This Row],[인터넷판매가]] = 0, 0, 표6_21012[[#This Row],[신규가]]-표3[[#This Row],[인터넷판매가]])</f>
        <v>-130</v>
      </c>
      <c r="H9" s="1"/>
      <c r="I9" s="22">
        <f>ROUND(표6_21012[[#This Row],[신규가]]*$C$2, 0)</f>
        <v>2790</v>
      </c>
      <c r="J9" s="22">
        <v>3150</v>
      </c>
      <c r="K9" s="22">
        <f>ROUND(표6_21012[[#This Row],[신규가]]/11-표3[[#This Row],[원가]]/11-표5_1113[[#This Row],[수수료]]/11-표5_1113[[#This Row],[택배비]]/11, 0)</f>
        <v>475</v>
      </c>
      <c r="L9" s="22">
        <f>ROUND(표5_1113[[#This Row],[부가세]]*$F$2, 0)</f>
        <v>190</v>
      </c>
      <c r="M9" s="22">
        <f>표6_21012[[#This Row],[신규가]]-표3[[#This Row],[원가]]-표5_1113[[#This Row],[수수료]]-표5_1113[[#This Row],[택배비]]-표5_1113[[#This Row],[부가세]]-표5_1113[[#This Row],[종소세]]</f>
        <v>4565</v>
      </c>
      <c r="N9" s="26">
        <f>IF(표6_21012[[#This Row],[신규가]] = 0, 0, 표5_1113[[#This Row],[순수익]]/표6_21012[[#This Row],[신규가]])</f>
        <v>0.18000788643533122</v>
      </c>
      <c r="O9" s="4" t="s">
        <v>59</v>
      </c>
      <c r="Q9" s="42">
        <v>0.17999188311688311</v>
      </c>
    </row>
    <row r="10" spans="2:17" x14ac:dyDescent="0.4">
      <c r="B10" s="4">
        <v>7</v>
      </c>
      <c r="C10" s="8" t="s">
        <v>5</v>
      </c>
      <c r="D10" s="8">
        <v>30</v>
      </c>
      <c r="E10" s="5">
        <f>표3[[#This Row],[원가]]</f>
        <v>16044</v>
      </c>
      <c r="F10" s="5">
        <v>28080</v>
      </c>
      <c r="G10" s="5">
        <f>IF(표3[[#This Row],[인터넷판매가]] = 0, 0, 표6_21012[[#This Row],[신규가]]-표3[[#This Row],[인터넷판매가]])</f>
        <v>1780</v>
      </c>
      <c r="H10" s="1"/>
      <c r="I10" s="22">
        <f>ROUND(표6_21012[[#This Row],[신규가]]*$C$2, 0)</f>
        <v>3089</v>
      </c>
      <c r="J10" s="22">
        <v>3150</v>
      </c>
      <c r="K10" s="22">
        <f>ROUND(표6_21012[[#This Row],[신규가]]/11-표3[[#This Row],[원가]]/11-표5_1113[[#This Row],[수수료]]/11-표5_1113[[#This Row],[택배비]]/11, 0)</f>
        <v>527</v>
      </c>
      <c r="L10" s="22">
        <f>ROUND(표5_1113[[#This Row],[부가세]]*$F$2, 0)</f>
        <v>211</v>
      </c>
      <c r="M10" s="22">
        <f>표6_21012[[#This Row],[신규가]]-표3[[#This Row],[원가]]-표5_1113[[#This Row],[수수료]]-표5_1113[[#This Row],[택배비]]-표5_1113[[#This Row],[부가세]]-표5_1113[[#This Row],[종소세]]</f>
        <v>5059</v>
      </c>
      <c r="N10" s="26">
        <f>IF(표6_21012[[#This Row],[신규가]] = 0, 0, 표5_1113[[#This Row],[순수익]]/표6_21012[[#This Row],[신규가]])</f>
        <v>0.18016381766381767</v>
      </c>
      <c r="O10" s="4" t="s">
        <v>59</v>
      </c>
      <c r="Q10" s="42">
        <v>0.18013196480938418</v>
      </c>
    </row>
    <row r="11" spans="2:17" x14ac:dyDescent="0.4">
      <c r="B11" s="4">
        <v>8</v>
      </c>
      <c r="C11" s="8" t="s">
        <v>6</v>
      </c>
      <c r="D11" s="8">
        <v>30</v>
      </c>
      <c r="E11" s="5">
        <f>표3[[#This Row],[원가]]</f>
        <v>16519</v>
      </c>
      <c r="F11" s="5">
        <v>28770</v>
      </c>
      <c r="G11" s="5">
        <f>IF(표3[[#This Row],[인터넷판매가]] = 0, 0, 표6_21012[[#This Row],[신규가]]-표3[[#This Row],[인터넷판매가]])</f>
        <v>1370</v>
      </c>
      <c r="H11" s="1"/>
      <c r="I11" s="22">
        <f>ROUND(표6_21012[[#This Row],[신규가]]*$C$2, 0)</f>
        <v>3165</v>
      </c>
      <c r="J11" s="22">
        <v>3150</v>
      </c>
      <c r="K11" s="22">
        <f>ROUND(표6_21012[[#This Row],[신규가]]/11-표3[[#This Row],[원가]]/11-표5_1113[[#This Row],[수수료]]/11-표5_1113[[#This Row],[택배비]]/11, 0)</f>
        <v>540</v>
      </c>
      <c r="L11" s="22">
        <f>ROUND(표5_1113[[#This Row],[부가세]]*$F$2, 0)</f>
        <v>216</v>
      </c>
      <c r="M11" s="22">
        <f>표6_21012[[#This Row],[신규가]]-표3[[#This Row],[원가]]-표5_1113[[#This Row],[수수료]]-표5_1113[[#This Row],[택배비]]-표5_1113[[#This Row],[부가세]]-표5_1113[[#This Row],[종소세]]</f>
        <v>5180</v>
      </c>
      <c r="N11" s="26">
        <f>IF(표6_21012[[#This Row],[신규가]] = 0, 0, 표5_1113[[#This Row],[순수익]]/표6_21012[[#This Row],[신규가]])</f>
        <v>0.18004866180048662</v>
      </c>
      <c r="O11" s="4" t="s">
        <v>59</v>
      </c>
      <c r="Q11" s="42">
        <v>0.18</v>
      </c>
    </row>
    <row r="12" spans="2:17" x14ac:dyDescent="0.4">
      <c r="B12" s="4">
        <v>9</v>
      </c>
      <c r="C12" s="8" t="s">
        <v>7</v>
      </c>
      <c r="D12" s="20">
        <v>30</v>
      </c>
      <c r="E12" s="5">
        <f>표3[[#This Row],[원가]]</f>
        <v>14190</v>
      </c>
      <c r="F12" s="5">
        <v>0</v>
      </c>
      <c r="G12" s="5">
        <f>IF(표3[[#This Row],[인터넷판매가]] = 0, 0, 표6_21012[[#This Row],[신규가]]-표3[[#This Row],[인터넷판매가]])</f>
        <v>0</v>
      </c>
      <c r="H12" s="1"/>
      <c r="I12" s="22">
        <f>ROUND(표6_21012[[#This Row],[신규가]]*$C$2, 0)</f>
        <v>0</v>
      </c>
      <c r="J12" s="22">
        <v>3150</v>
      </c>
      <c r="K12" s="22">
        <f>ROUND(표6_21012[[#This Row],[신규가]]/11-표3[[#This Row],[원가]]/11-표5_1113[[#This Row],[수수료]]/11-표5_1113[[#This Row],[택배비]]/11, 0)</f>
        <v>-1576</v>
      </c>
      <c r="L12" s="22">
        <f>ROUND(표5_1113[[#This Row],[부가세]]*$F$2, 0)</f>
        <v>-630</v>
      </c>
      <c r="M12" s="22">
        <f>표6_21012[[#This Row],[신규가]]-표3[[#This Row],[원가]]-표5_1113[[#This Row],[수수료]]-표5_1113[[#This Row],[택배비]]-표5_1113[[#This Row],[부가세]]-표5_1113[[#This Row],[종소세]]</f>
        <v>-15134</v>
      </c>
      <c r="N12" s="26">
        <f>IF(표6_21012[[#This Row],[신규가]] = 0, 0, 표5_1113[[#This Row],[순수익]]/표6_21012[[#This Row],[신규가]])</f>
        <v>0</v>
      </c>
      <c r="O12" s="4" t="s">
        <v>61</v>
      </c>
      <c r="Q12" s="42">
        <v>0</v>
      </c>
    </row>
    <row r="13" spans="2:17" x14ac:dyDescent="0.4">
      <c r="B13" s="4">
        <v>10</v>
      </c>
      <c r="C13" s="8" t="s">
        <v>8</v>
      </c>
      <c r="D13" s="8">
        <v>30</v>
      </c>
      <c r="E13" s="5">
        <f>표3[[#This Row],[원가]]</f>
        <v>16906</v>
      </c>
      <c r="F13" s="5">
        <v>29330</v>
      </c>
      <c r="G13" s="5">
        <f>IF(표3[[#This Row],[인터넷판매가]] = 0, 0, 표6_21012[[#This Row],[신규가]]-표3[[#This Row],[인터넷판매가]])</f>
        <v>730</v>
      </c>
      <c r="H13" s="1"/>
      <c r="I13" s="22">
        <f>ROUND(표6_21012[[#This Row],[신규가]]*$C$2, 0)</f>
        <v>3226</v>
      </c>
      <c r="J13" s="22">
        <v>3150</v>
      </c>
      <c r="K13" s="22">
        <f>ROUND(표6_21012[[#This Row],[신규가]]/11-표3[[#This Row],[원가]]/11-표5_1113[[#This Row],[수수료]]/11-표5_1113[[#This Row],[택배비]]/11, 0)</f>
        <v>550</v>
      </c>
      <c r="L13" s="22">
        <f>ROUND(표5_1113[[#This Row],[부가세]]*$F$2, 0)</f>
        <v>220</v>
      </c>
      <c r="M13" s="22">
        <f>표6_21012[[#This Row],[신규가]]-표3[[#This Row],[원가]]-표5_1113[[#This Row],[수수료]]-표5_1113[[#This Row],[택배비]]-표5_1113[[#This Row],[부가세]]-표5_1113[[#This Row],[종소세]]</f>
        <v>5278</v>
      </c>
      <c r="N13" s="26">
        <f>IF(표6_21012[[#This Row],[신규가]] = 0, 0, 표5_1113[[#This Row],[순수익]]/표6_21012[[#This Row],[신규가]])</f>
        <v>0.17995226730310263</v>
      </c>
      <c r="O13" s="4" t="s">
        <v>59</v>
      </c>
      <c r="Q13" s="42">
        <v>0.18003508771929824</v>
      </c>
    </row>
    <row r="14" spans="2:17" x14ac:dyDescent="0.4">
      <c r="B14" s="4">
        <v>11</v>
      </c>
      <c r="C14" s="8" t="s">
        <v>9</v>
      </c>
      <c r="D14" s="8">
        <v>16</v>
      </c>
      <c r="E14" s="5">
        <f>표3[[#This Row],[원가]]</f>
        <v>11983</v>
      </c>
      <c r="F14" s="5">
        <v>21610</v>
      </c>
      <c r="G14" s="5">
        <f>IF(표3[[#This Row],[인터넷판매가]] = 0, 0, 표6_21012[[#This Row],[신규가]]-표3[[#This Row],[인터넷판매가]])</f>
        <v>910</v>
      </c>
      <c r="H14" s="1"/>
      <c r="I14" s="22">
        <f>ROUND(표6_21012[[#This Row],[신규가]]*$C$2, 0)</f>
        <v>2377</v>
      </c>
      <c r="J14" s="22">
        <v>2750</v>
      </c>
      <c r="K14" s="22">
        <f>ROUND(표6_21012[[#This Row],[신규가]]/11-표3[[#This Row],[원가]]/11-표5_1113[[#This Row],[수수료]]/11-표5_1113[[#This Row],[택배비]]/11, 0)</f>
        <v>409</v>
      </c>
      <c r="L14" s="22">
        <f>ROUND(표5_1113[[#This Row],[부가세]]*$F$2, 0)</f>
        <v>164</v>
      </c>
      <c r="M14" s="22">
        <f>표6_21012[[#This Row],[신규가]]-표3[[#This Row],[원가]]-표5_1113[[#This Row],[수수료]]-표5_1113[[#This Row],[택배비]]-표5_1113[[#This Row],[부가세]]-표5_1113[[#This Row],[종소세]]</f>
        <v>3927</v>
      </c>
      <c r="N14" s="26">
        <f>IF(표6_21012[[#This Row],[신규가]] = 0, 0, 표5_1113[[#This Row],[순수익]]/표6_21012[[#This Row],[신규가]])</f>
        <v>0.18172142526608051</v>
      </c>
      <c r="O14" s="4" t="s">
        <v>59</v>
      </c>
      <c r="Q14" s="42">
        <v>0.18507816200852675</v>
      </c>
    </row>
    <row r="15" spans="2:17" x14ac:dyDescent="0.4">
      <c r="B15" s="4">
        <v>12</v>
      </c>
      <c r="C15" s="8" t="s">
        <v>10</v>
      </c>
      <c r="D15" s="8">
        <v>16</v>
      </c>
      <c r="E15" s="5">
        <f>표3[[#This Row],[원가]]</f>
        <v>13777</v>
      </c>
      <c r="F15" s="5">
        <v>24710</v>
      </c>
      <c r="G15" s="5">
        <f>IF(표3[[#This Row],[인터넷판매가]] = 0, 0, 표6_21012[[#This Row],[신규가]]-표3[[#This Row],[인터넷판매가]])</f>
        <v>220</v>
      </c>
      <c r="H15" s="1"/>
      <c r="I15" s="22">
        <f>ROUND(표6_21012[[#This Row],[신규가]]*$C$2, 0)</f>
        <v>2718</v>
      </c>
      <c r="J15" s="22">
        <v>2750</v>
      </c>
      <c r="K15" s="22">
        <f>ROUND(표6_21012[[#This Row],[신규가]]/11-표3[[#This Row],[원가]]/11-표5_1113[[#This Row],[수수료]]/11-표5_1113[[#This Row],[택배비]]/11, 0)</f>
        <v>497</v>
      </c>
      <c r="L15" s="22">
        <f>ROUND(표5_1113[[#This Row],[부가세]]*$F$2, 0)</f>
        <v>199</v>
      </c>
      <c r="M15" s="22">
        <f>표6_21012[[#This Row],[신규가]]-표3[[#This Row],[원가]]-표5_1113[[#This Row],[수수료]]-표5_1113[[#This Row],[택배비]]-표5_1113[[#This Row],[부가세]]-표5_1113[[#This Row],[종소세]]</f>
        <v>4769</v>
      </c>
      <c r="N15" s="26">
        <f>IF(표6_21012[[#This Row],[신규가]] = 0, 0, 표5_1113[[#This Row],[순수익]]/표6_21012[[#This Row],[신규가]])</f>
        <v>0.19299878591663294</v>
      </c>
      <c r="O15" s="4" t="s">
        <v>59</v>
      </c>
      <c r="Q15" s="42">
        <v>0.1929553980825344</v>
      </c>
    </row>
    <row r="16" spans="2:17" x14ac:dyDescent="0.4">
      <c r="B16" s="4">
        <v>13</v>
      </c>
      <c r="C16" s="8" t="s">
        <v>11</v>
      </c>
      <c r="D16" s="8">
        <v>16</v>
      </c>
      <c r="E16" s="5">
        <f>표3[[#This Row],[원가]]</f>
        <v>14963</v>
      </c>
      <c r="F16" s="5">
        <v>26490</v>
      </c>
      <c r="G16" s="5">
        <f>IF(표3[[#This Row],[인터넷판매가]] = 0, 0, 표6_21012[[#This Row],[신규가]]-표3[[#This Row],[인터넷판매가]])</f>
        <v>500</v>
      </c>
      <c r="H16" s="1"/>
      <c r="I16" s="22">
        <f>ROUND(표6_21012[[#This Row],[신규가]]*$C$2, 0)</f>
        <v>2914</v>
      </c>
      <c r="J16" s="22">
        <v>2750</v>
      </c>
      <c r="K16" s="22">
        <f>ROUND(표6_21012[[#This Row],[신규가]]/11-표3[[#This Row],[원가]]/11-표5_1113[[#This Row],[수수료]]/11-표5_1113[[#This Row],[택배비]]/11, 0)</f>
        <v>533</v>
      </c>
      <c r="L16" s="22">
        <f>ROUND(표5_1113[[#This Row],[부가세]]*$F$2, 0)</f>
        <v>213</v>
      </c>
      <c r="M16" s="22">
        <f>표6_21012[[#This Row],[신규가]]-표3[[#This Row],[원가]]-표5_1113[[#This Row],[수수료]]-표5_1113[[#This Row],[택배비]]-표5_1113[[#This Row],[부가세]]-표5_1113[[#This Row],[종소세]]</f>
        <v>5117</v>
      </c>
      <c r="N16" s="26">
        <f>IF(표6_21012[[#This Row],[신규가]] = 0, 0, 표5_1113[[#This Row],[순수익]]/표6_21012[[#This Row],[신규가]])</f>
        <v>0.1931672329180823</v>
      </c>
      <c r="O16" s="4" t="s">
        <v>59</v>
      </c>
      <c r="Q16" s="42">
        <v>0.19315707620528771</v>
      </c>
    </row>
    <row r="17" spans="2:19" x14ac:dyDescent="0.4">
      <c r="B17" s="4">
        <v>14</v>
      </c>
      <c r="C17" s="8" t="s">
        <v>12</v>
      </c>
      <c r="D17" s="8">
        <v>16</v>
      </c>
      <c r="E17" s="5">
        <f>표3[[#This Row],[원가]]</f>
        <v>21207</v>
      </c>
      <c r="F17" s="5">
        <v>35820</v>
      </c>
      <c r="G17" s="5">
        <f>IF(표3[[#This Row],[인터넷판매가]] = 0, 0, 표6_21012[[#This Row],[신규가]]-표3[[#This Row],[인터넷판매가]])</f>
        <v>830</v>
      </c>
      <c r="H17" s="1"/>
      <c r="I17" s="22">
        <f>ROUND(표6_21012[[#This Row],[신규가]]*$C$2, 0)</f>
        <v>3940</v>
      </c>
      <c r="J17" s="22">
        <v>2750</v>
      </c>
      <c r="K17" s="22">
        <f>ROUND(표6_21012[[#This Row],[신규가]]/11-표3[[#This Row],[원가]]/11-표5_1113[[#This Row],[수수료]]/11-표5_1113[[#This Row],[택배비]]/11, 0)</f>
        <v>720</v>
      </c>
      <c r="L17" s="22">
        <f>ROUND(표5_1113[[#This Row],[부가세]]*$F$2, 0)</f>
        <v>288</v>
      </c>
      <c r="M17" s="22">
        <f>표6_21012[[#This Row],[신규가]]-표3[[#This Row],[원가]]-표5_1113[[#This Row],[수수료]]-표5_1113[[#This Row],[택배비]]-표5_1113[[#This Row],[부가세]]-표5_1113[[#This Row],[종소세]]</f>
        <v>6915</v>
      </c>
      <c r="N17" s="26">
        <f>IF(표6_21012[[#This Row],[신규가]] = 0, 0, 표5_1113[[#This Row],[순수익]]/표6_21012[[#This Row],[신규가]])</f>
        <v>0.19304857621440535</v>
      </c>
      <c r="O17" s="4" t="s">
        <v>59</v>
      </c>
      <c r="Q17" s="42">
        <v>0.19304197814836113</v>
      </c>
    </row>
    <row r="18" spans="2:19" x14ac:dyDescent="0.4">
      <c r="B18" s="4">
        <v>15</v>
      </c>
      <c r="C18" s="8" t="s">
        <v>13</v>
      </c>
      <c r="D18" s="8">
        <v>16</v>
      </c>
      <c r="E18" s="5">
        <f>표3[[#This Row],[원가]]</f>
        <v>12568</v>
      </c>
      <c r="F18" s="5">
        <v>22470</v>
      </c>
      <c r="G18" s="5">
        <f>IF(표3[[#This Row],[인터넷판매가]] = 0, 0, 표6_21012[[#This Row],[신규가]]-표3[[#This Row],[인터넷판매가]])</f>
        <v>970</v>
      </c>
      <c r="H18" s="1"/>
      <c r="I18" s="22">
        <f>ROUND(표6_21012[[#This Row],[신규가]]*$C$2, 0)</f>
        <v>2472</v>
      </c>
      <c r="J18" s="22">
        <v>2750</v>
      </c>
      <c r="K18" s="22">
        <f>ROUND(표6_21012[[#This Row],[신규가]]/11-표3[[#This Row],[원가]]/11-표5_1113[[#This Row],[수수료]]/11-표5_1113[[#This Row],[택배비]]/11, 0)</f>
        <v>425</v>
      </c>
      <c r="L18" s="22">
        <f>ROUND(표5_1113[[#This Row],[부가세]]*$F$2, 0)</f>
        <v>170</v>
      </c>
      <c r="M18" s="22">
        <f>표6_21012[[#This Row],[신규가]]-표3[[#This Row],[원가]]-표5_1113[[#This Row],[수수료]]-표5_1113[[#This Row],[택배비]]-표5_1113[[#This Row],[부가세]]-표5_1113[[#This Row],[종소세]]</f>
        <v>4085</v>
      </c>
      <c r="N18" s="26">
        <f>IF(표6_21012[[#This Row],[신규가]] = 0, 0, 표5_1113[[#This Row],[순수익]]/표6_21012[[#This Row],[신규가]])</f>
        <v>0.18179795282599021</v>
      </c>
      <c r="O18" s="4" t="s">
        <v>59</v>
      </c>
      <c r="Q18" s="42">
        <v>0.18514806378132118</v>
      </c>
      <c r="S18" s="40"/>
    </row>
    <row r="19" spans="2:19" x14ac:dyDescent="0.4">
      <c r="B19" s="4">
        <v>16</v>
      </c>
      <c r="C19" s="8" t="s">
        <v>14</v>
      </c>
      <c r="D19" s="8">
        <v>16</v>
      </c>
      <c r="E19" s="5">
        <f>표3[[#This Row],[원가]]</f>
        <v>14459</v>
      </c>
      <c r="F19" s="5">
        <v>25730</v>
      </c>
      <c r="G19" s="5">
        <f>IF(표3[[#This Row],[인터넷판매가]] = 0, 0, 표6_21012[[#This Row],[신규가]]-표3[[#This Row],[인터넷판매가]])</f>
        <v>240</v>
      </c>
      <c r="H19" s="1"/>
      <c r="I19" s="22">
        <f>ROUND(표6_21012[[#This Row],[신규가]]*$C$2, 0)</f>
        <v>2830</v>
      </c>
      <c r="J19" s="22">
        <v>2750</v>
      </c>
      <c r="K19" s="22">
        <f>ROUND(표6_21012[[#This Row],[신규가]]/11-표3[[#This Row],[원가]]/11-표5_1113[[#This Row],[수수료]]/11-표5_1113[[#This Row],[택배비]]/11, 0)</f>
        <v>517</v>
      </c>
      <c r="L19" s="22">
        <f>ROUND(표5_1113[[#This Row],[부가세]]*$F$2, 0)</f>
        <v>207</v>
      </c>
      <c r="M19" s="22">
        <f>표6_21012[[#This Row],[신규가]]-표3[[#This Row],[원가]]-표5_1113[[#This Row],[수수료]]-표5_1113[[#This Row],[택배비]]-표5_1113[[#This Row],[부가세]]-표5_1113[[#This Row],[종소세]]</f>
        <v>4967</v>
      </c>
      <c r="N19" s="26">
        <f>IF(표6_21012[[#This Row],[신규가]] = 0, 0, 표5_1113[[#This Row],[순수익]]/표6_21012[[#This Row],[신규가]])</f>
        <v>0.19304314030314806</v>
      </c>
      <c r="O19" s="4" t="s">
        <v>59</v>
      </c>
      <c r="Q19" s="42">
        <v>0.19295436349079265</v>
      </c>
    </row>
    <row r="20" spans="2:19" x14ac:dyDescent="0.4">
      <c r="B20" s="4">
        <v>17</v>
      </c>
      <c r="C20" s="8" t="s">
        <v>15</v>
      </c>
      <c r="D20" s="8">
        <v>16</v>
      </c>
      <c r="E20" s="5">
        <f>표3[[#This Row],[원가]]</f>
        <v>15710</v>
      </c>
      <c r="F20" s="5">
        <v>27600</v>
      </c>
      <c r="G20" s="5">
        <f>IF(표3[[#This Row],[인터넷판매가]] = 0, 0, 표6_21012[[#This Row],[신규가]]-표3[[#This Row],[인터넷판매가]])</f>
        <v>610</v>
      </c>
      <c r="H20" s="1"/>
      <c r="I20" s="22">
        <f>ROUND(표6_21012[[#This Row],[신규가]]*$C$2, 0)</f>
        <v>3036</v>
      </c>
      <c r="J20" s="22">
        <v>2750</v>
      </c>
      <c r="K20" s="22">
        <f>ROUND(표6_21012[[#This Row],[신규가]]/11-표3[[#This Row],[원가]]/11-표5_1113[[#This Row],[수수료]]/11-표5_1113[[#This Row],[택배비]]/11, 0)</f>
        <v>555</v>
      </c>
      <c r="L20" s="22">
        <f>ROUND(표5_1113[[#This Row],[부가세]]*$F$2, 0)</f>
        <v>222</v>
      </c>
      <c r="M20" s="22">
        <f>표6_21012[[#This Row],[신규가]]-표3[[#This Row],[원가]]-표5_1113[[#This Row],[수수료]]-표5_1113[[#This Row],[택배비]]-표5_1113[[#This Row],[부가세]]-표5_1113[[#This Row],[종소세]]</f>
        <v>5327</v>
      </c>
      <c r="N20" s="26">
        <f>IF(표6_21012[[#This Row],[신규가]] = 0, 0, 표5_1113[[#This Row],[순수익]]/표6_21012[[#This Row],[신규가]])</f>
        <v>0.1930072463768116</v>
      </c>
      <c r="O20" s="4" t="s">
        <v>59</v>
      </c>
      <c r="Q20" s="42">
        <v>0.19302238805970148</v>
      </c>
    </row>
    <row r="21" spans="2:19" x14ac:dyDescent="0.4">
      <c r="B21" s="4">
        <v>18</v>
      </c>
      <c r="C21" s="8" t="s">
        <v>16</v>
      </c>
      <c r="D21" s="8">
        <v>16</v>
      </c>
      <c r="E21" s="5">
        <f>표3[[#This Row],[원가]]</f>
        <v>21993</v>
      </c>
      <c r="F21" s="5">
        <v>36990</v>
      </c>
      <c r="G21" s="5">
        <f>IF(표3[[#This Row],[인터넷판매가]] = 0, 0, 표6_21012[[#This Row],[신규가]]-표3[[#This Row],[인터넷판매가]])</f>
        <v>1000</v>
      </c>
      <c r="H21" s="1"/>
      <c r="I21" s="22">
        <f>ROUND(표6_21012[[#This Row],[신규가]]*$C$2, 0)</f>
        <v>4069</v>
      </c>
      <c r="J21" s="22">
        <v>2750</v>
      </c>
      <c r="K21" s="22">
        <f>ROUND(표6_21012[[#This Row],[신규가]]/11-표3[[#This Row],[원가]]/11-표5_1113[[#This Row],[수수료]]/11-표5_1113[[#This Row],[택배비]]/11, 0)</f>
        <v>743</v>
      </c>
      <c r="L21" s="22">
        <f>ROUND(표5_1113[[#This Row],[부가세]]*$F$2, 0)</f>
        <v>297</v>
      </c>
      <c r="M21" s="22">
        <f>표6_21012[[#This Row],[신규가]]-표3[[#This Row],[원가]]-표5_1113[[#This Row],[수수료]]-표5_1113[[#This Row],[택배비]]-표5_1113[[#This Row],[부가세]]-표5_1113[[#This Row],[종소세]]</f>
        <v>7138</v>
      </c>
      <c r="N21" s="26">
        <f>IF(표6_21012[[#This Row],[신규가]] = 0, 0, 표5_1113[[#This Row],[순수익]]/표6_21012[[#This Row],[신규가]])</f>
        <v>0.19297107326304408</v>
      </c>
      <c r="O21" s="4" t="s">
        <v>70</v>
      </c>
      <c r="Q21" s="42">
        <v>0.19419283134203946</v>
      </c>
    </row>
    <row r="22" spans="2:19" x14ac:dyDescent="0.4">
      <c r="B22" s="4">
        <v>19</v>
      </c>
      <c r="C22" s="8" t="s">
        <v>17</v>
      </c>
      <c r="D22" s="8">
        <v>10000</v>
      </c>
      <c r="E22" s="5">
        <f>표3[[#This Row],[원가]]</f>
        <v>9000</v>
      </c>
      <c r="F22" s="5">
        <v>17480</v>
      </c>
      <c r="G22" s="5">
        <f>IF(표3[[#This Row],[인터넷판매가]] = 0, 0, 표6_21012[[#This Row],[신규가]]-표3[[#This Row],[인터넷판매가]])</f>
        <v>0</v>
      </c>
      <c r="I22" s="22">
        <f>ROUND(표6_21012[[#This Row],[신규가]]*$C$2, 0)</f>
        <v>1923</v>
      </c>
      <c r="J22" s="22">
        <v>2750</v>
      </c>
      <c r="K22" s="22">
        <f>ROUND(표6_21012[[#This Row],[신규가]]/11-표3[[#This Row],[원가]]/11-표5_1113[[#This Row],[수수료]]/11-표5_1113[[#This Row],[택배비]]/11, 0)</f>
        <v>346</v>
      </c>
      <c r="L22" s="22">
        <f>ROUND(표5_1113[[#This Row],[부가세]]*$F$2, 0)</f>
        <v>138</v>
      </c>
      <c r="M22" s="22">
        <f>표6_21012[[#This Row],[신규가]]-표3[[#This Row],[원가]]-표5_1113[[#This Row],[수수료]]-표5_1113[[#This Row],[택배비]]-표5_1113[[#This Row],[부가세]]-표5_1113[[#This Row],[종소세]]</f>
        <v>3323</v>
      </c>
      <c r="N22" s="26">
        <f>IF(표6_21012[[#This Row],[신규가]] = 0, 0, 표5_1113[[#This Row],[순수익]]/표6_21012[[#This Row],[신규가]])</f>
        <v>0.19010297482837529</v>
      </c>
      <c r="O22" s="4" t="s">
        <v>62</v>
      </c>
      <c r="Q22" s="42">
        <v>0.18992339422510313</v>
      </c>
    </row>
    <row r="23" spans="2:19" x14ac:dyDescent="0.4">
      <c r="B23" s="4">
        <v>20</v>
      </c>
      <c r="C23" s="8" t="s">
        <v>18</v>
      </c>
      <c r="D23" s="8">
        <v>5000</v>
      </c>
      <c r="E23" s="5">
        <f>표3[[#This Row],[원가]]</f>
        <v>16000</v>
      </c>
      <c r="F23" s="5">
        <v>27790</v>
      </c>
      <c r="G23" s="5">
        <f>IF(표3[[#This Row],[인터넷판매가]] = 0, 0, 표6_21012[[#This Row],[신규가]]-표3[[#This Row],[인터넷판매가]])</f>
        <v>0</v>
      </c>
      <c r="I23" s="22">
        <f>ROUND(표6_21012[[#This Row],[신규가]]*$C$2, 0)</f>
        <v>3057</v>
      </c>
      <c r="J23" s="22">
        <v>2750</v>
      </c>
      <c r="K23" s="22">
        <f>ROUND(표6_21012[[#This Row],[신규가]]/11-표3[[#This Row],[원가]]/11-표5_1113[[#This Row],[수수료]]/11-표5_1113[[#This Row],[택배비]]/11, 0)</f>
        <v>544</v>
      </c>
      <c r="L23" s="22">
        <f>ROUND(표5_1113[[#This Row],[부가세]]*$F$2, 0)</f>
        <v>218</v>
      </c>
      <c r="M23" s="22">
        <f>표6_21012[[#This Row],[신규가]]-표3[[#This Row],[원가]]-표5_1113[[#This Row],[수수료]]-표5_1113[[#This Row],[택배비]]-표5_1113[[#This Row],[부가세]]-표5_1113[[#This Row],[종소세]]</f>
        <v>5221</v>
      </c>
      <c r="N23" s="26">
        <f>IF(표6_21012[[#This Row],[신규가]] = 0, 0, 표5_1113[[#This Row],[순수익]]/표6_21012[[#This Row],[신규가]])</f>
        <v>0.1878733357322778</v>
      </c>
      <c r="O23" s="4" t="s">
        <v>63</v>
      </c>
      <c r="Q23" s="42">
        <v>0.18792145238977398</v>
      </c>
    </row>
    <row r="24" spans="2:19" x14ac:dyDescent="0.4">
      <c r="B24" s="28">
        <v>21</v>
      </c>
      <c r="C24" s="29" t="s">
        <v>0</v>
      </c>
      <c r="D24" s="30">
        <v>7</v>
      </c>
      <c r="E24" s="31">
        <f>표3[[#This Row],[원가]]</f>
        <v>13776</v>
      </c>
      <c r="F24" s="31">
        <v>24180</v>
      </c>
      <c r="G24" s="31">
        <f>IF(표3[[#This Row],[인터넷판매가]] = 0, 0, 표6_21012[[#This Row],[신규가]]-표3[[#This Row],[인터넷판매가]])</f>
        <v>0</v>
      </c>
      <c r="I24" s="34">
        <f>ROUND(표6_21012[[#This Row],[신규가]]*$C$2, 0)</f>
        <v>2660</v>
      </c>
      <c r="J24" s="34">
        <v>2750</v>
      </c>
      <c r="K24" s="34">
        <f>ROUND(표6_21012[[#This Row],[신규가]]/11-표3[[#This Row],[원가]]/11-표5_1113[[#This Row],[수수료]]/11-표5_1113[[#This Row],[택배비]]/11, 0)</f>
        <v>454</v>
      </c>
      <c r="L24" s="34">
        <f>ROUND(표5_1113[[#This Row],[부가세]]*$F$2, 0)</f>
        <v>182</v>
      </c>
      <c r="M24" s="34">
        <f>표6_21012[[#This Row],[신규가]]-표3[[#This Row],[원가]]-표5_1113[[#This Row],[수수료]]-표5_1113[[#This Row],[택배비]]-표5_1113[[#This Row],[부가세]]-표5_1113[[#This Row],[종소세]]</f>
        <v>4358</v>
      </c>
      <c r="N24" s="35">
        <f>IF(표6_21012[[#This Row],[신규가]] = 0, 0, 표5_1113[[#This Row],[순수익]]/표6_21012[[#This Row],[신규가]])</f>
        <v>0.18023159636062863</v>
      </c>
      <c r="O24" s="36" t="s">
        <v>63</v>
      </c>
      <c r="Q24" s="42">
        <v>0.18020434227330778</v>
      </c>
      <c r="R24" s="1"/>
    </row>
    <row r="25" spans="2:19" x14ac:dyDescent="0.4">
      <c r="B25" s="28">
        <v>22</v>
      </c>
      <c r="C25" s="32" t="s">
        <v>0</v>
      </c>
      <c r="D25" s="33">
        <v>6</v>
      </c>
      <c r="E25" s="31">
        <f>표3[[#This Row],[원가]]</f>
        <v>11808</v>
      </c>
      <c r="F25" s="31">
        <v>21300</v>
      </c>
      <c r="G25" s="31">
        <f>IF(표3[[#This Row],[인터넷판매가]] = 0, 0, 표6_21012[[#This Row],[신규가]]-표3[[#This Row],[인터넷판매가]])</f>
        <v>0</v>
      </c>
      <c r="I25" s="34">
        <f>ROUND(표6_21012[[#This Row],[신규가]]*$C$2, 0)</f>
        <v>2343</v>
      </c>
      <c r="J25" s="34">
        <v>2750</v>
      </c>
      <c r="K25" s="34">
        <f>ROUND(표6_21012[[#This Row],[신규가]]/11-표3[[#This Row],[원가]]/11-표5_1113[[#This Row],[수수료]]/11-표5_1113[[#This Row],[택배비]]/11, 0)</f>
        <v>400</v>
      </c>
      <c r="L25" s="34">
        <f>ROUND(표5_1113[[#This Row],[부가세]]*$F$2, 0)</f>
        <v>160</v>
      </c>
      <c r="M25" s="34">
        <f>표6_21012[[#This Row],[신규가]]-표3[[#This Row],[원가]]-표5_1113[[#This Row],[수수료]]-표5_1113[[#This Row],[택배비]]-표5_1113[[#This Row],[부가세]]-표5_1113[[#This Row],[종소세]]</f>
        <v>3839</v>
      </c>
      <c r="N25" s="35">
        <f>IF(표6_21012[[#This Row],[신규가]] = 0, 0, 표5_1113[[#This Row],[순수익]]/표6_21012[[#This Row],[신규가]])</f>
        <v>0.18023474178403756</v>
      </c>
      <c r="O25" s="36" t="s">
        <v>63</v>
      </c>
      <c r="Q25" s="42">
        <v>0.18013533107781537</v>
      </c>
    </row>
    <row r="26" spans="2:19" x14ac:dyDescent="0.4">
      <c r="B26" s="28">
        <v>23</v>
      </c>
      <c r="C26" s="29" t="s">
        <v>0</v>
      </c>
      <c r="D26" s="29">
        <v>5</v>
      </c>
      <c r="E26" s="31">
        <f>표3[[#This Row],[원가]]</f>
        <v>9840</v>
      </c>
      <c r="F26" s="31">
        <v>18420</v>
      </c>
      <c r="G26" s="31">
        <f>IF(표3[[#This Row],[인터넷판매가]] = 0, 0, 표6_21012[[#This Row],[신규가]]-표3[[#This Row],[인터넷판매가]])</f>
        <v>0</v>
      </c>
      <c r="I26" s="34">
        <f>ROUND(표6_21012[[#This Row],[신규가]]*$C$2, 0)</f>
        <v>2026</v>
      </c>
      <c r="J26" s="34">
        <v>2750</v>
      </c>
      <c r="K26" s="34">
        <f>ROUND(표6_21012[[#This Row],[신규가]]/11-표3[[#This Row],[원가]]/11-표5_1113[[#This Row],[수수료]]/11-표5_1113[[#This Row],[택배비]]/11, 0)</f>
        <v>346</v>
      </c>
      <c r="L26" s="34">
        <f>ROUND(표5_1113[[#This Row],[부가세]]*$F$2, 0)</f>
        <v>138</v>
      </c>
      <c r="M26" s="34">
        <f>표6_21012[[#This Row],[신규가]]-표3[[#This Row],[원가]]-표5_1113[[#This Row],[수수료]]-표5_1113[[#This Row],[택배비]]-표5_1113[[#This Row],[부가세]]-표5_1113[[#This Row],[종소세]]</f>
        <v>3320</v>
      </c>
      <c r="N26" s="35">
        <f>IF(표6_21012[[#This Row],[신규가]] = 0, 0, 표5_1113[[#This Row],[순수익]]/표6_21012[[#This Row],[신규가]])</f>
        <v>0.18023887079261672</v>
      </c>
      <c r="O26" s="36" t="s">
        <v>63</v>
      </c>
      <c r="Q26" s="42">
        <v>0.18004471771939631</v>
      </c>
    </row>
    <row r="27" spans="2:19" x14ac:dyDescent="0.4">
      <c r="B27" s="28">
        <v>24</v>
      </c>
      <c r="C27" s="29" t="s">
        <v>0</v>
      </c>
      <c r="D27" s="29">
        <v>3</v>
      </c>
      <c r="E27" s="31">
        <f>표3[[#This Row],[원가]]</f>
        <v>12785</v>
      </c>
      <c r="F27" s="31">
        <v>23070</v>
      </c>
      <c r="G27" s="31">
        <f>IF(표3[[#This Row],[인터넷판매가]] = 0, 0, 표6_21012[[#This Row],[신규가]]-표3[[#This Row],[인터넷판매가]])</f>
        <v>0</v>
      </c>
      <c r="I27" s="34">
        <f>ROUND(표6_21012[[#This Row],[신규가]]*$C$2, 0)</f>
        <v>2538</v>
      </c>
      <c r="J27" s="34">
        <v>2750</v>
      </c>
      <c r="K27" s="34">
        <f>ROUND(표6_21012[[#This Row],[신규가]]/11-표3[[#This Row],[원가]]/11-표5_1113[[#This Row],[수수료]]/11-표5_1113[[#This Row],[택배비]]/11, 0)</f>
        <v>454</v>
      </c>
      <c r="L27" s="34">
        <f>ROUND(표5_1113[[#This Row],[부가세]]*$F$2, 0)</f>
        <v>182</v>
      </c>
      <c r="M27" s="34">
        <f>표6_21012[[#This Row],[신규가]]-표3[[#This Row],[원가]]-표5_1113[[#This Row],[수수료]]-표5_1113[[#This Row],[택배비]]-표5_1113[[#This Row],[부가세]]-표5_1113[[#This Row],[종소세]]</f>
        <v>4361</v>
      </c>
      <c r="N27" s="35">
        <f>IF(표6_21012[[#This Row],[신규가]] = 0, 0, 표5_1113[[#This Row],[순수익]]/표6_21012[[#This Row],[신규가]])</f>
        <v>0.18903337667967057</v>
      </c>
      <c r="O27" s="36" t="s">
        <v>63</v>
      </c>
      <c r="Q27" s="42">
        <v>0.18892857142857142</v>
      </c>
    </row>
    <row r="28" spans="2:19" x14ac:dyDescent="0.4">
      <c r="B28" s="28">
        <v>25</v>
      </c>
      <c r="C28" s="29" t="s">
        <v>0</v>
      </c>
      <c r="D28" s="29">
        <v>2</v>
      </c>
      <c r="E28" s="31">
        <f>표3[[#This Row],[원가]]</f>
        <v>8523</v>
      </c>
      <c r="F28" s="31">
        <v>15990</v>
      </c>
      <c r="G28" s="31">
        <f>IF(표3[[#This Row],[인터넷판매가]] = 0, 0, 표6_21012[[#This Row],[신규가]]-표3[[#This Row],[인터넷판매가]])</f>
        <v>0</v>
      </c>
      <c r="I28" s="34">
        <f>ROUND(표6_21012[[#This Row],[신규가]]*$C$2, 0)</f>
        <v>1759</v>
      </c>
      <c r="J28" s="34">
        <v>2250</v>
      </c>
      <c r="K28" s="34">
        <f>ROUND(표6_21012[[#This Row],[신규가]]/11-표3[[#This Row],[원가]]/11-표5_1113[[#This Row],[수수료]]/11-표5_1113[[#This Row],[택배비]]/11, 0)</f>
        <v>314</v>
      </c>
      <c r="L28" s="34">
        <f>ROUND(표5_1113[[#This Row],[부가세]]*$F$2, 0)</f>
        <v>126</v>
      </c>
      <c r="M28" s="34">
        <f>표6_21012[[#This Row],[신규가]]-표3[[#This Row],[원가]]-표5_1113[[#This Row],[수수료]]-표5_1113[[#This Row],[택배비]]-표5_1113[[#This Row],[부가세]]-표5_1113[[#This Row],[종소세]]</f>
        <v>3018</v>
      </c>
      <c r="N28" s="35">
        <f>IF(표6_21012[[#This Row],[신규가]] = 0, 0, 표5_1113[[#This Row],[순수익]]/표6_21012[[#This Row],[신규가]])</f>
        <v>0.18874296435272045</v>
      </c>
      <c r="O28" s="36" t="s">
        <v>63</v>
      </c>
      <c r="Q28" s="42">
        <v>0.18879587894397939</v>
      </c>
    </row>
    <row r="29" spans="2:19" x14ac:dyDescent="0.4">
      <c r="B29" s="28">
        <v>26</v>
      </c>
      <c r="C29" s="29" t="s">
        <v>6</v>
      </c>
      <c r="D29" s="29">
        <v>2</v>
      </c>
      <c r="E29" s="31">
        <f>표3[[#This Row],[원가]]</f>
        <v>10696</v>
      </c>
      <c r="F29" s="31">
        <v>20400</v>
      </c>
      <c r="G29" s="31">
        <f>IF(표3[[#This Row],[인터넷판매가]] = 0, 0, 표6_21012[[#This Row],[신규가]]-표3[[#This Row],[인터넷판매가]])</f>
        <v>0</v>
      </c>
      <c r="I29" s="34">
        <f>ROUND(표6_21012[[#This Row],[신규가]]*$C$2, 0)</f>
        <v>2244</v>
      </c>
      <c r="J29" s="34">
        <v>2750</v>
      </c>
      <c r="K29" s="34">
        <f>ROUND(표6_21012[[#This Row],[신규가]]/11-표3[[#This Row],[원가]]/11-표5_1113[[#This Row],[수수료]]/11-표5_1113[[#This Row],[택배비]]/11, 0)</f>
        <v>428</v>
      </c>
      <c r="L29" s="34">
        <f>ROUND(표5_1113[[#This Row],[부가세]]*$F$2, 0)</f>
        <v>171</v>
      </c>
      <c r="M29" s="34">
        <f>표6_21012[[#This Row],[신규가]]-표3[[#This Row],[원가]]-표5_1113[[#This Row],[수수료]]-표5_1113[[#This Row],[택배비]]-표5_1113[[#This Row],[부가세]]-표5_1113[[#This Row],[종소세]]</f>
        <v>4111</v>
      </c>
      <c r="N29" s="35">
        <f>IF(표6_21012[[#This Row],[신규가]] = 0, 0, 표5_1113[[#This Row],[순수익]]/표6_21012[[#This Row],[신규가]])</f>
        <v>0.20151960784313724</v>
      </c>
      <c r="O29" s="36" t="s">
        <v>63</v>
      </c>
      <c r="Q29" s="42">
        <v>0.18752525252525251</v>
      </c>
    </row>
    <row r="30" spans="2:19" x14ac:dyDescent="0.4">
      <c r="B30" s="28">
        <v>27</v>
      </c>
      <c r="C30" s="29" t="s">
        <v>48</v>
      </c>
      <c r="D30" s="29">
        <v>2</v>
      </c>
      <c r="E30" s="31">
        <f>표3[[#This Row],[원가]]</f>
        <v>11013</v>
      </c>
      <c r="F30" s="31">
        <v>20770</v>
      </c>
      <c r="G30" s="31">
        <f>IF(표3[[#This Row],[인터넷판매가]] = 0, 0, 표6_21012[[#This Row],[신규가]]-표3[[#This Row],[인터넷판매가]])</f>
        <v>0</v>
      </c>
      <c r="I30" s="34">
        <f>ROUND(표6_21012[[#This Row],[신규가]]*$C$2, 0)</f>
        <v>2285</v>
      </c>
      <c r="J30" s="34">
        <v>2750</v>
      </c>
      <c r="K30" s="34">
        <f>ROUND(표6_21012[[#This Row],[신규가]]/11-표3[[#This Row],[원가]]/11-표5_1113[[#This Row],[수수료]]/11-표5_1113[[#This Row],[택배비]]/11, 0)</f>
        <v>429</v>
      </c>
      <c r="L30" s="34">
        <f>ROUND(표5_1113[[#This Row],[부가세]]*$F$2, 0)</f>
        <v>172</v>
      </c>
      <c r="M30" s="34">
        <f>표6_21012[[#This Row],[신규가]]-표3[[#This Row],[원가]]-표5_1113[[#This Row],[수수료]]-표5_1113[[#This Row],[택배비]]-표5_1113[[#This Row],[부가세]]-표5_1113[[#This Row],[종소세]]</f>
        <v>4121</v>
      </c>
      <c r="N30" s="35">
        <f>IF(표6_21012[[#This Row],[신규가]] = 0, 0, 표5_1113[[#This Row],[순수익]]/표6_21012[[#This Row],[신규가]])</f>
        <v>0.19841116995666827</v>
      </c>
      <c r="O30" s="36" t="s">
        <v>63</v>
      </c>
      <c r="Q30" s="42">
        <v>0.18750619732275656</v>
      </c>
    </row>
    <row r="31" spans="2:19" x14ac:dyDescent="0.4">
      <c r="B31" s="28">
        <v>28</v>
      </c>
      <c r="C31" s="29" t="s">
        <v>49</v>
      </c>
      <c r="D31" s="29">
        <v>3</v>
      </c>
      <c r="E31" s="31">
        <f>표3[[#This Row],[원가]]</f>
        <v>11271</v>
      </c>
      <c r="F31" s="31">
        <v>17470</v>
      </c>
      <c r="G31" s="31">
        <f>IF(표3[[#This Row],[인터넷판매가]] = 0, 0, 표6_21012[[#This Row],[신규가]]-표3[[#This Row],[인터넷판매가]])</f>
        <v>0</v>
      </c>
      <c r="I31" s="34">
        <f>ROUND(표6_21012[[#This Row],[신규가]]*$C$2, 0)</f>
        <v>1922</v>
      </c>
      <c r="J31" s="34">
        <v>2750</v>
      </c>
      <c r="K31" s="34">
        <f>ROUND(표6_21012[[#This Row],[신규가]]/11-표3[[#This Row],[원가]]/11-표5_1113[[#This Row],[수수료]]/11-표5_1113[[#This Row],[택배비]]/11, 0)</f>
        <v>139</v>
      </c>
      <c r="L31" s="34">
        <f>ROUND(표5_1113[[#This Row],[부가세]]*$F$2, 0)</f>
        <v>56</v>
      </c>
      <c r="M31" s="34">
        <f>표6_21012[[#This Row],[신규가]]-표3[[#This Row],[원가]]-표5_1113[[#This Row],[수수료]]-표5_1113[[#This Row],[택배비]]-표5_1113[[#This Row],[부가세]]-표5_1113[[#This Row],[종소세]]</f>
        <v>1332</v>
      </c>
      <c r="N31" s="35">
        <f>IF(표6_21012[[#This Row],[신규가]] = 0, 0, 표5_1113[[#This Row],[순수익]]/표6_21012[[#This Row],[신규가]])</f>
        <v>7.6244991413852312E-2</v>
      </c>
      <c r="O31" s="36" t="s">
        <v>63</v>
      </c>
      <c r="Q31" s="42">
        <v>0.19027122641509434</v>
      </c>
    </row>
    <row r="32" spans="2:19" x14ac:dyDescent="0.4">
      <c r="B32" s="28">
        <v>29</v>
      </c>
      <c r="C32" s="29" t="s">
        <v>50</v>
      </c>
      <c r="D32" s="29">
        <v>3</v>
      </c>
      <c r="E32" s="31">
        <f>표3[[#This Row],[원가]]</f>
        <v>8987</v>
      </c>
      <c r="F32" s="31">
        <v>18120</v>
      </c>
      <c r="G32" s="31">
        <f>IF(표3[[#This Row],[인터넷판매가]] = 0, 0, 표6_21012[[#This Row],[신규가]]-표3[[#This Row],[인터넷판매가]])</f>
        <v>0</v>
      </c>
      <c r="I32" s="34">
        <f>ROUND(표6_21012[[#This Row],[신규가]]*$C$2, 0)</f>
        <v>1993</v>
      </c>
      <c r="J32" s="34">
        <v>2750</v>
      </c>
      <c r="K32" s="34">
        <f>ROUND(표6_21012[[#This Row],[신규가]]/11-표3[[#This Row],[원가]]/11-표5_1113[[#This Row],[수수료]]/11-표5_1113[[#This Row],[택배비]]/11, 0)</f>
        <v>399</v>
      </c>
      <c r="L32" s="34">
        <f>ROUND(표5_1113[[#This Row],[부가세]]*$F$2, 0)</f>
        <v>160</v>
      </c>
      <c r="M32" s="34">
        <f>표6_21012[[#This Row],[신규가]]-표3[[#This Row],[원가]]-표5_1113[[#This Row],[수수료]]-표5_1113[[#This Row],[택배비]]-표5_1113[[#This Row],[부가세]]-표5_1113[[#This Row],[종소세]]</f>
        <v>3831</v>
      </c>
      <c r="N32" s="35">
        <f>IF(표6_21012[[#This Row],[신규가]] = 0, 0, 표5_1113[[#This Row],[순수익]]/표6_21012[[#This Row],[신규가]])</f>
        <v>0.21142384105960266</v>
      </c>
      <c r="O32" s="36" t="s">
        <v>63</v>
      </c>
      <c r="Q32" s="42">
        <v>0.19010801591813531</v>
      </c>
    </row>
    <row r="33" spans="2:7" x14ac:dyDescent="0.4">
      <c r="B33" s="4"/>
      <c r="C33" s="8"/>
      <c r="D33" s="8"/>
      <c r="E33" s="21"/>
      <c r="F33" s="22"/>
      <c r="G33" s="22"/>
    </row>
    <row r="34" spans="2:7" x14ac:dyDescent="0.4">
      <c r="B34" s="4"/>
      <c r="C34" s="8"/>
      <c r="D34" s="8"/>
      <c r="E34" s="41"/>
      <c r="F34" s="22"/>
    </row>
  </sheetData>
  <phoneticPr fontId="1" type="noConversion"/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오프_판매가</vt:lpstr>
      <vt:lpstr>온_9%(테스트)</vt:lpstr>
      <vt:lpstr>수수료별_판매가</vt:lpstr>
      <vt:lpstr>11번가</vt:lpstr>
      <vt:lpstr>온_4%</vt:lpstr>
      <vt:lpstr>온_9%</vt:lpstr>
      <vt:lpstr>Sheet1</vt:lpstr>
      <vt:lpstr>온_10%</vt:lpstr>
      <vt:lpstr>온_11%</vt:lpstr>
      <vt:lpstr>온_12%</vt:lpstr>
      <vt:lpstr>옵션셋팅</vt:lpstr>
      <vt:lpstr>11번가 셋팅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aodrl</cp:lastModifiedBy>
  <dcterms:created xsi:type="dcterms:W3CDTF">2020-04-15T12:53:14Z</dcterms:created>
  <dcterms:modified xsi:type="dcterms:W3CDTF">2021-01-11T13:40:46Z</dcterms:modified>
</cp:coreProperties>
</file>