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g\Desktop\"/>
    </mc:Choice>
  </mc:AlternateContent>
  <bookViews>
    <workbookView xWindow="0" yWindow="0" windowWidth="28800" windowHeight="12390" activeTab="3"/>
  </bookViews>
  <sheets>
    <sheet name="용어정리" sheetId="1" r:id="rId1"/>
    <sheet name="비용" sheetId="2" r:id="rId2"/>
    <sheet name="한계이익" sheetId="3" r:id="rId3"/>
    <sheet name="가격조정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L11" i="3"/>
  <c r="Q7" i="4" l="1"/>
  <c r="Q8" i="4"/>
  <c r="Q12" i="4"/>
  <c r="Q23" i="4"/>
  <c r="Q5" i="4"/>
  <c r="O6" i="4"/>
  <c r="O7" i="4"/>
  <c r="P7" i="4"/>
  <c r="O8" i="4"/>
  <c r="P8" i="4"/>
  <c r="O9" i="4"/>
  <c r="O10" i="4"/>
  <c r="O11" i="4"/>
  <c r="O12" i="4"/>
  <c r="P12" i="4"/>
  <c r="O13" i="4"/>
  <c r="O14" i="4"/>
  <c r="O15" i="4"/>
  <c r="O16" i="4"/>
  <c r="P17" i="4"/>
  <c r="O19" i="4"/>
  <c r="P19" i="4"/>
  <c r="Q19" i="4" s="1"/>
  <c r="O20" i="4"/>
  <c r="P20" i="4"/>
  <c r="O21" i="4"/>
  <c r="P22" i="4"/>
  <c r="O23" i="4"/>
  <c r="P23" i="4"/>
  <c r="O24" i="4"/>
  <c r="P5" i="4"/>
  <c r="O5" i="4"/>
  <c r="N6" i="4"/>
  <c r="P6" i="4" s="1"/>
  <c r="Q6" i="4" s="1"/>
  <c r="N7" i="4"/>
  <c r="N8" i="4"/>
  <c r="N9" i="4"/>
  <c r="P9" i="4" s="1"/>
  <c r="Q9" i="4" s="1"/>
  <c r="N10" i="4"/>
  <c r="P10" i="4" s="1"/>
  <c r="Q10" i="4" s="1"/>
  <c r="N11" i="4"/>
  <c r="P11" i="4" s="1"/>
  <c r="Q11" i="4" s="1"/>
  <c r="N12" i="4"/>
  <c r="N13" i="4"/>
  <c r="P13" i="4" s="1"/>
  <c r="Q13" i="4" s="1"/>
  <c r="N14" i="4"/>
  <c r="P14" i="4" s="1"/>
  <c r="Q14" i="4" s="1"/>
  <c r="N15" i="4"/>
  <c r="P15" i="4" s="1"/>
  <c r="Q15" i="4" s="1"/>
  <c r="N16" i="4"/>
  <c r="P16" i="4" s="1"/>
  <c r="Q16" i="4" s="1"/>
  <c r="N17" i="4"/>
  <c r="N18" i="4"/>
  <c r="P18" i="4" s="1"/>
  <c r="N19" i="4"/>
  <c r="N20" i="4"/>
  <c r="N21" i="4"/>
  <c r="P21" i="4" s="1"/>
  <c r="Q21" i="4" s="1"/>
  <c r="N22" i="4"/>
  <c r="N23" i="4"/>
  <c r="N24" i="4"/>
  <c r="P24" i="4" s="1"/>
  <c r="Q24" i="4" s="1"/>
  <c r="N5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O17" i="4" s="1"/>
  <c r="Q17" i="4" s="1"/>
  <c r="M18" i="4"/>
  <c r="O18" i="4" s="1"/>
  <c r="M19" i="4"/>
  <c r="M20" i="4"/>
  <c r="M21" i="4"/>
  <c r="M22" i="4"/>
  <c r="O22" i="4" s="1"/>
  <c r="M23" i="4"/>
  <c r="M24" i="4"/>
  <c r="V4" i="4"/>
  <c r="U4" i="4"/>
  <c r="F7" i="4"/>
  <c r="G7" i="4"/>
  <c r="H7" i="4"/>
  <c r="I7" i="4"/>
  <c r="J7" i="4"/>
  <c r="K7" i="4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F13" i="4"/>
  <c r="G13" i="4"/>
  <c r="H13" i="4"/>
  <c r="I13" i="4"/>
  <c r="J13" i="4"/>
  <c r="K13" i="4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E7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5" i="4"/>
  <c r="F5" i="4"/>
  <c r="G5" i="4"/>
  <c r="H5" i="4"/>
  <c r="I5" i="4"/>
  <c r="J5" i="4"/>
  <c r="K5" i="4"/>
  <c r="C8" i="4"/>
  <c r="F8" i="4" s="1"/>
  <c r="C6" i="4"/>
  <c r="F6" i="4" s="1"/>
  <c r="Q22" i="4" l="1"/>
  <c r="Q20" i="4"/>
  <c r="Q18" i="4"/>
  <c r="K6" i="4"/>
  <c r="K8" i="4"/>
  <c r="G8" i="4"/>
  <c r="E8" i="4"/>
  <c r="I8" i="4"/>
  <c r="I6" i="4"/>
  <c r="H8" i="4"/>
  <c r="H6" i="4"/>
  <c r="G6" i="4"/>
  <c r="E6" i="4"/>
  <c r="J8" i="4"/>
  <c r="J6" i="4"/>
  <c r="J26" i="3" l="1"/>
  <c r="K26" i="3"/>
  <c r="F26" i="3"/>
  <c r="G26" i="3"/>
  <c r="H26" i="3"/>
  <c r="I26" i="3"/>
  <c r="E26" i="3"/>
  <c r="D26" i="3"/>
  <c r="V10" i="2" l="1"/>
  <c r="V8" i="2"/>
  <c r="V9" i="2"/>
  <c r="V7" i="2"/>
  <c r="U10" i="2"/>
  <c r="T10" i="2"/>
  <c r="S8" i="2"/>
  <c r="S9" i="2"/>
  <c r="S7" i="2"/>
  <c r="S10" i="2" s="1"/>
  <c r="M16" i="2"/>
  <c r="M26" i="2"/>
  <c r="M27" i="2"/>
  <c r="N16" i="2"/>
  <c r="C24" i="3" l="1"/>
  <c r="C18" i="3"/>
  <c r="C19" i="3"/>
  <c r="C20" i="3"/>
  <c r="C21" i="3"/>
  <c r="C22" i="3"/>
  <c r="C23" i="3"/>
  <c r="C5" i="3"/>
  <c r="C25" i="3" l="1"/>
  <c r="R10" i="2"/>
  <c r="C4" i="3" s="1"/>
  <c r="N8" i="2"/>
  <c r="N9" i="2"/>
  <c r="N10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O27" i="2" s="1"/>
  <c r="N7" i="2"/>
  <c r="O26" i="2"/>
  <c r="H20" i="2"/>
  <c r="M20" i="2" s="1"/>
  <c r="H21" i="2"/>
  <c r="H22" i="2"/>
  <c r="H23" i="2"/>
  <c r="M23" i="2" s="1"/>
  <c r="H24" i="2"/>
  <c r="M24" i="2" s="1"/>
  <c r="H25" i="2"/>
  <c r="H19" i="2"/>
  <c r="M19" i="2" s="1"/>
  <c r="H18" i="2"/>
  <c r="H8" i="2"/>
  <c r="M8" i="2" s="1"/>
  <c r="H9" i="2"/>
  <c r="H10" i="2"/>
  <c r="M10" i="2" s="1"/>
  <c r="H11" i="2"/>
  <c r="M11" i="2" s="1"/>
  <c r="H12" i="2"/>
  <c r="M12" i="2" s="1"/>
  <c r="H13" i="2"/>
  <c r="H14" i="2"/>
  <c r="M14" i="2" s="1"/>
  <c r="H15" i="2"/>
  <c r="M15" i="2" s="1"/>
  <c r="H17" i="2"/>
  <c r="M17" i="2" s="1"/>
  <c r="H7" i="2"/>
  <c r="M7" i="2" s="1"/>
  <c r="O13" i="2" l="1"/>
  <c r="M13" i="2"/>
  <c r="O9" i="2"/>
  <c r="M9" i="2"/>
  <c r="O25" i="2"/>
  <c r="M25" i="2"/>
  <c r="O21" i="2"/>
  <c r="M21" i="2"/>
  <c r="C12" i="3"/>
  <c r="O18" i="2"/>
  <c r="M18" i="2"/>
  <c r="O22" i="2"/>
  <c r="M22" i="2"/>
  <c r="O17" i="2"/>
  <c r="O12" i="2"/>
  <c r="O8" i="2"/>
  <c r="O24" i="2"/>
  <c r="O20" i="2"/>
  <c r="O7" i="2"/>
  <c r="O15" i="2"/>
  <c r="O11" i="2"/>
  <c r="O23" i="2"/>
  <c r="O19" i="2"/>
  <c r="O14" i="2"/>
  <c r="O10" i="2"/>
  <c r="M28" i="2" l="1"/>
  <c r="D17" i="2" s="1"/>
  <c r="O28" i="2"/>
  <c r="D18" i="2" l="1"/>
  <c r="C6" i="3"/>
  <c r="C7" i="3" s="1"/>
  <c r="C11" i="3" s="1"/>
  <c r="C13" i="3" s="1"/>
  <c r="C26" i="3" s="1"/>
</calcChain>
</file>

<file path=xl/sharedStrings.xml><?xml version="1.0" encoding="utf-8"?>
<sst xmlns="http://schemas.openxmlformats.org/spreadsheetml/2006/main" count="158" uniqueCount="152">
  <si>
    <t>장사는 돈관리다</t>
    <phoneticPr fontId="1" type="noConversion"/>
  </si>
  <si>
    <t>*비용 : 가게를 운영하는데 드는 모든 돈, 크게 고정비와 변동비로 나뉜다.</t>
    <phoneticPr fontId="1" type="noConversion"/>
  </si>
  <si>
    <t>ex. 월세, 전기세, 인건비 등</t>
    <phoneticPr fontId="1" type="noConversion"/>
  </si>
  <si>
    <t>ex.  꽃집의 경우 꽃, 포장비, 배송료,,,, 치킨집의 경우 닭, 기름, 무, 배달비,,,,</t>
    <phoneticPr fontId="1" type="noConversion"/>
  </si>
  <si>
    <t>2. 마지막에 주머니에 남는 돈, '순 이익'</t>
    <phoneticPr fontId="1" type="noConversion"/>
  </si>
  <si>
    <t>4. 상품별 수익이 얼마인지 알려주는 거울, '한계이익률'</t>
    <phoneticPr fontId="1" type="noConversion"/>
  </si>
  <si>
    <t>손익분기점 매출액 = 고정비 / 한계이익률</t>
    <phoneticPr fontId="1" type="noConversion"/>
  </si>
  <si>
    <t>4. 매달 판매비 및 일관관리비 예측</t>
    <phoneticPr fontId="1" type="noConversion"/>
  </si>
  <si>
    <t>9. 직원을 고용하는 것이 유리한지 알고 싶을 때 한계이익 계산</t>
    <phoneticPr fontId="1" type="noConversion"/>
  </si>
  <si>
    <t>10. 원하는 매출과 이익 계획을 세울 때 알아야 할 공식</t>
    <phoneticPr fontId="1" type="noConversion"/>
  </si>
  <si>
    <t>3. 얼마를 팔아야 돈을 벌 수 있는지 알려주는 자료, '한계이익'</t>
    <phoneticPr fontId="1" type="noConversion"/>
  </si>
  <si>
    <t>5. 적자와 흑자의 갈림길, '손익분기점 매출액'</t>
    <phoneticPr fontId="1" type="noConversion"/>
  </si>
  <si>
    <t>7. 앞으로의 매출 흐름을 읽고 싶다면 '예측 자금 조달표' 만들기</t>
    <phoneticPr fontId="1" type="noConversion"/>
  </si>
  <si>
    <t>8. 광고를 할 때는 한계이익률이 더 높은지 확인 필수!</t>
    <phoneticPr fontId="1" type="noConversion"/>
  </si>
  <si>
    <t>11. 흑자를 향해 잘 달려가고 있는지 알고 싶을 때</t>
    <phoneticPr fontId="1" type="noConversion"/>
  </si>
  <si>
    <t>한계이익 = 매출액 - 변동비</t>
    <phoneticPr fontId="1" type="noConversion"/>
  </si>
  <si>
    <t>한계이익률(%) = 한계이익금 / 매출액(판매가격) x 100</t>
    <phoneticPr fontId="1" type="noConversion"/>
  </si>
  <si>
    <t>* 고정비, 한계이익률 등 조건에 따라 달라짐. 만약 판매가를 내려서 매출을 올리면
 한계이익률도 같이 내려가므로 손익분기점 매출은 올라감. 단, 한계이익률을 높이면
 손익분기점 매출액이 내려가므로, 같은 매출액이라도 적자에서 흑자로 전환이 가능함.</t>
    <phoneticPr fontId="1" type="noConversion"/>
  </si>
  <si>
    <t>1. 한계이익률이 20% 이하인 상품(또는 현재 자기 가게의 평균 한계이익률보다 낮은 상품)</t>
    <phoneticPr fontId="1" type="noConversion"/>
  </si>
  <si>
    <t>2. 그 상품이 전혀 팔리지 않아도 타격이 없는 상품</t>
    <phoneticPr fontId="1" type="noConversion"/>
  </si>
  <si>
    <t>3. 회사 이미지를 좌우하지 않는 상품</t>
    <phoneticPr fontId="1" type="noConversion"/>
  </si>
  <si>
    <t>* 한계이익률이 낮아도 회사 이미지에 관여하고 있다면 가격 인상 재고려</t>
    <phoneticPr fontId="1" type="noConversion"/>
  </si>
  <si>
    <t>1. 현재잔액</t>
    <phoneticPr fontId="1" type="noConversion"/>
  </si>
  <si>
    <t>2. 매달 입금될 매출 예측</t>
    <phoneticPr fontId="1" type="noConversion"/>
  </si>
  <si>
    <t>3. 매달 출금될 구입비 예측</t>
    <phoneticPr fontId="1" type="noConversion"/>
  </si>
  <si>
    <t>* 지난해 매출 기준으로 예측 값 설정, 어느 달에 돈이 부족하고 이익이 많이 나는지 한눈에 보임</t>
    <phoneticPr fontId="1" type="noConversion"/>
  </si>
  <si>
    <t>한계이익 &gt; 광고비</t>
    <phoneticPr fontId="1" type="noConversion"/>
  </si>
  <si>
    <t>직원 1명당 한계이익 = 연간 한계이익 / 사장을 포함한 모든 직원 수</t>
    <phoneticPr fontId="1" type="noConversion"/>
  </si>
  <si>
    <t>한계이익 &gt; 고용할 사람의 인건비</t>
    <phoneticPr fontId="1" type="noConversion"/>
  </si>
  <si>
    <t>이익 달성에 필요한 매출 = (원하는 이익 + 월간 고정비) / 평균 한계이익률</t>
    <phoneticPr fontId="1" type="noConversion"/>
  </si>
  <si>
    <t>오늘까지의 이익 목표 달성정도 = (오늘까지의 매출합계 x 평균 한계이익률) - (이번달 고정비 + 목표 이익)</t>
    <phoneticPr fontId="1" type="noConversion"/>
  </si>
  <si>
    <t>* 합계가 (-)면 아직 달성해야 하는 것이고 (+)면 원하는 이익 목표 달성!</t>
    <phoneticPr fontId="1" type="noConversion"/>
  </si>
  <si>
    <t>*가게마다 변동비 항목이 다르므로 자기 가게의 손익계산서에서 변동비
 항목을 구분해 모두 더한 값으로 계산할 것.</t>
    <phoneticPr fontId="1" type="noConversion"/>
  </si>
  <si>
    <t>* 최소 25%를 유지해야 함. 가격을 인상하거나 인하할 때 고려해야 할 핵심 요소.
  가격을 인상해서 한계이익률을 개선하면, 기존보다 적게 팔아도 이익 유지.
  단, 제품 가치 고려해야 함. 가격을 인하해서 한계이익률이 떨어지면 아무리 많이
  팔아도 적자일 수 있음.</t>
    <phoneticPr fontId="1" type="noConversion"/>
  </si>
  <si>
    <t>6. 가격을 올리지 말지 고민될 때 고려해야 할 3가지</t>
    <phoneticPr fontId="1" type="noConversion"/>
  </si>
  <si>
    <r>
      <t xml:space="preserve">*고정비 : 물건이 잘 팔리든 팔리지 않든 </t>
    </r>
    <r>
      <rPr>
        <b/>
        <sz val="11"/>
        <color rgb="FFFF0000"/>
        <rFont val="맑은 고딕"/>
        <family val="3"/>
        <charset val="129"/>
        <scheme val="minor"/>
      </rPr>
      <t>무조건 드는 비용</t>
    </r>
    <phoneticPr fontId="1" type="noConversion"/>
  </si>
  <si>
    <r>
      <t xml:space="preserve">*변동비 : 물건이 팔리면 </t>
    </r>
    <r>
      <rPr>
        <b/>
        <sz val="11"/>
        <color rgb="FFFF0000"/>
        <rFont val="맑은 고딕"/>
        <family val="3"/>
        <charset val="129"/>
        <scheme val="minor"/>
      </rPr>
      <t>팔릴수록 늘어나는 비용</t>
    </r>
    <phoneticPr fontId="1" type="noConversion"/>
  </si>
  <si>
    <t>판매비 및 일반관리비 명세</t>
    <phoneticPr fontId="1" type="noConversion"/>
  </si>
  <si>
    <t>C.M.W</t>
    <phoneticPr fontId="1" type="noConversion"/>
  </si>
  <si>
    <t>과목</t>
    <phoneticPr fontId="1" type="noConversion"/>
  </si>
  <si>
    <t>금액</t>
    <phoneticPr fontId="1" type="noConversion"/>
  </si>
  <si>
    <t>여비 교통비</t>
    <phoneticPr fontId="1" type="noConversion"/>
  </si>
  <si>
    <t>급여</t>
    <phoneticPr fontId="1" type="noConversion"/>
  </si>
  <si>
    <t>임대료</t>
    <phoneticPr fontId="1" type="noConversion"/>
  </si>
  <si>
    <t>전기세</t>
    <phoneticPr fontId="1" type="noConversion"/>
  </si>
  <si>
    <t>보안임차료</t>
    <phoneticPr fontId="1" type="noConversion"/>
  </si>
  <si>
    <t>통신비</t>
    <phoneticPr fontId="1" type="noConversion"/>
  </si>
  <si>
    <t>보험료</t>
    <phoneticPr fontId="1" type="noConversion"/>
  </si>
  <si>
    <t>판매비 및 일반관리비</t>
    <phoneticPr fontId="1" type="noConversion"/>
  </si>
  <si>
    <t>(단위 : 만원)</t>
    <phoneticPr fontId="1" type="noConversion"/>
  </si>
  <si>
    <t>이자료</t>
    <phoneticPr fontId="1" type="noConversion"/>
  </si>
  <si>
    <t>(2020년 1월 1일 ~ 2020년 3월 10일)</t>
    <phoneticPr fontId="1" type="noConversion"/>
  </si>
  <si>
    <t>매출원가</t>
    <phoneticPr fontId="1" type="noConversion"/>
  </si>
  <si>
    <t>새피아(10롤)</t>
    <phoneticPr fontId="1" type="noConversion"/>
  </si>
  <si>
    <t>새피아(24롤)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</si>
  <si>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</si>
  <si>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</si>
  <si>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</si>
  <si>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꽃지꿈집</t>
    <phoneticPr fontId="1" type="noConversion"/>
  </si>
  <si>
    <t>황토</t>
    <phoneticPr fontId="1" type="noConversion"/>
  </si>
  <si>
    <t>데코꿈집</t>
    <phoneticPr fontId="1" type="noConversion"/>
  </si>
  <si>
    <t>고급(150M)</t>
    <phoneticPr fontId="1" type="noConversion"/>
  </si>
  <si>
    <t>고급(180M)</t>
    <phoneticPr fontId="1" type="noConversion"/>
  </si>
  <si>
    <t>고급(200M)</t>
    <phoneticPr fontId="1" type="noConversion"/>
  </si>
  <si>
    <t>고급(300M)</t>
    <phoneticPr fontId="1" type="noConversion"/>
  </si>
  <si>
    <t>꽃지(150M)</t>
    <phoneticPr fontId="1" type="noConversion"/>
  </si>
  <si>
    <t>꽃지(180M)</t>
    <phoneticPr fontId="1" type="noConversion"/>
  </si>
  <si>
    <t>꽃지(200M)</t>
    <phoneticPr fontId="1" type="noConversion"/>
  </si>
  <si>
    <t>꽃지(300M)</t>
    <phoneticPr fontId="1" type="noConversion"/>
  </si>
  <si>
    <t>땡큐(10롤)</t>
    <phoneticPr fontId="1" type="noConversion"/>
  </si>
  <si>
    <t>땡큐(30롤)</t>
    <phoneticPr fontId="1" type="noConversion"/>
  </si>
  <si>
    <t>네프킨</t>
    <phoneticPr fontId="1" type="noConversion"/>
  </si>
  <si>
    <t>핸드타월</t>
    <phoneticPr fontId="1" type="noConversion"/>
  </si>
  <si>
    <t>상품명</t>
    <phoneticPr fontId="1" type="noConversion"/>
  </si>
  <si>
    <t>원가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</si>
  <si>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</si>
  <si>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</si>
  <si>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</si>
  <si>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판매합계</t>
    <phoneticPr fontId="1" type="noConversion"/>
  </si>
  <si>
    <t>총 매출원가</t>
    <phoneticPr fontId="1" type="noConversion"/>
  </si>
  <si>
    <t>매출원가</t>
    <phoneticPr fontId="1" type="noConversion"/>
  </si>
  <si>
    <t>광고 선전비</t>
    <phoneticPr fontId="1" type="noConversion"/>
  </si>
  <si>
    <t>고정비</t>
    <phoneticPr fontId="1" type="noConversion"/>
  </si>
  <si>
    <t>고정비</t>
    <phoneticPr fontId="1" type="noConversion"/>
  </si>
  <si>
    <t>고정비</t>
    <phoneticPr fontId="1" type="noConversion"/>
  </si>
  <si>
    <t>고정비</t>
    <phoneticPr fontId="1" type="noConversion"/>
  </si>
  <si>
    <t>변동비</t>
    <phoneticPr fontId="1" type="noConversion"/>
  </si>
  <si>
    <t>변동비</t>
    <phoneticPr fontId="1" type="noConversion"/>
  </si>
  <si>
    <t>원가매출 계산</t>
    <phoneticPr fontId="1" type="noConversion"/>
  </si>
  <si>
    <t>판매매출 계산</t>
    <phoneticPr fontId="1" type="noConversion"/>
  </si>
  <si>
    <t>월</t>
    <phoneticPr fontId="1" type="noConversion"/>
  </si>
  <si>
    <t>금액</t>
    <phoneticPr fontId="1" type="noConversion"/>
  </si>
  <si>
    <t>합계</t>
    <phoneticPr fontId="1" type="noConversion"/>
  </si>
  <si>
    <r>
      <rPr>
        <sz val="11"/>
        <rFont val="맑은 고딕"/>
        <family val="3"/>
        <charset val="129"/>
        <scheme val="minor"/>
      </rPr>
      <t>1. 계산 전 개념 정리 '</t>
    </r>
    <r>
      <rPr>
        <b/>
        <sz val="11"/>
        <color rgb="FFFF0000"/>
        <rFont val="맑은 고딕"/>
        <family val="3"/>
        <charset val="129"/>
        <scheme val="minor"/>
      </rPr>
      <t>비용과 고정비, 변동비</t>
    </r>
    <r>
      <rPr>
        <sz val="11"/>
        <rFont val="맑은 고딕"/>
        <family val="3"/>
        <charset val="129"/>
        <scheme val="minor"/>
      </rPr>
      <t>'</t>
    </r>
    <phoneticPr fontId="1" type="noConversion"/>
  </si>
  <si>
    <t>한계이익 = 매출액 -  변동비</t>
    <phoneticPr fontId="1" type="noConversion"/>
  </si>
  <si>
    <t>지정기간 매출액</t>
    <phoneticPr fontId="1" type="noConversion"/>
  </si>
  <si>
    <t>변동비(교통비)</t>
    <phoneticPr fontId="1" type="noConversion"/>
  </si>
  <si>
    <t>변동비(매출원가)</t>
    <phoneticPr fontId="1" type="noConversion"/>
  </si>
  <si>
    <t>한계이익</t>
    <phoneticPr fontId="1" type="noConversion"/>
  </si>
  <si>
    <t>한계이익률 = 한계이익금 / 매출액(판매가격) x 100</t>
    <phoneticPr fontId="1" type="noConversion"/>
  </si>
  <si>
    <t>한계이익금</t>
    <phoneticPr fontId="1" type="noConversion"/>
  </si>
  <si>
    <t>매출액(판매가격)</t>
    <phoneticPr fontId="1" type="noConversion"/>
  </si>
  <si>
    <t>한계이익률</t>
    <phoneticPr fontId="1" type="noConversion"/>
  </si>
  <si>
    <t>손익분기점 매출액</t>
    <phoneticPr fontId="1" type="noConversion"/>
  </si>
  <si>
    <t>손익분기점 매출액 = 고정비 / 한계이익률</t>
    <phoneticPr fontId="1" type="noConversion"/>
  </si>
  <si>
    <t>고정비1</t>
    <phoneticPr fontId="1" type="noConversion"/>
  </si>
  <si>
    <t>고정비2</t>
  </si>
  <si>
    <t>고정비3</t>
  </si>
  <si>
    <t>고정비4</t>
  </si>
  <si>
    <t>고정비5</t>
  </si>
  <si>
    <t>고정비6</t>
  </si>
  <si>
    <t>고정비7</t>
  </si>
  <si>
    <t>고정비8</t>
  </si>
  <si>
    <t>고정비합계</t>
    <phoneticPr fontId="1" type="noConversion"/>
  </si>
  <si>
    <t>3개월</t>
    <phoneticPr fontId="1" type="noConversion"/>
  </si>
  <si>
    <t>충무황토</t>
    <phoneticPr fontId="1" type="noConversion"/>
  </si>
  <si>
    <t>매출원가</t>
    <phoneticPr fontId="1" type="noConversion"/>
  </si>
  <si>
    <t>오프라인</t>
    <phoneticPr fontId="1" type="noConversion"/>
  </si>
  <si>
    <t>인터넷OFF</t>
    <phoneticPr fontId="1" type="noConversion"/>
  </si>
  <si>
    <t>인터넷매출</t>
    <phoneticPr fontId="1" type="noConversion"/>
  </si>
  <si>
    <t>인터넷 +a</t>
    <phoneticPr fontId="1" type="noConversion"/>
  </si>
  <si>
    <t>인터넷매출 * 6.2%</t>
    <phoneticPr fontId="1" type="noConversion"/>
  </si>
  <si>
    <t>순이익 = 매출 - 세금과 기타비용 - 도매원가 - 판매비 및 일반관리비</t>
    <phoneticPr fontId="1" type="noConversion"/>
  </si>
  <si>
    <t>상품명</t>
  </si>
  <si>
    <t>원가</t>
  </si>
  <si>
    <t>새피아</t>
  </si>
  <si>
    <t>새피아</t>
    <phoneticPr fontId="1" type="noConversion"/>
  </si>
  <si>
    <t>땡큐</t>
  </si>
  <si>
    <t>땡큐,
순수</t>
  </si>
  <si>
    <t>자연,
꿈집</t>
  </si>
  <si>
    <t>꽃지
꿈집</t>
  </si>
  <si>
    <t>황토</t>
  </si>
  <si>
    <t>데코
꿈집</t>
  </si>
  <si>
    <t>네프킨</t>
  </si>
  <si>
    <t>핸드
타월</t>
  </si>
  <si>
    <t>공장 판매가</t>
    <phoneticPr fontId="1" type="noConversion"/>
  </si>
  <si>
    <t>마진별 판매가</t>
    <phoneticPr fontId="1" type="noConversion"/>
  </si>
  <si>
    <t>공급가액</t>
    <phoneticPr fontId="1" type="noConversion"/>
  </si>
  <si>
    <t>부가세</t>
    <phoneticPr fontId="1" type="noConversion"/>
  </si>
  <si>
    <t>공급대가</t>
    <phoneticPr fontId="1" type="noConversion"/>
  </si>
  <si>
    <t>공급대가/11 * 10</t>
    <phoneticPr fontId="1" type="noConversion"/>
  </si>
  <si>
    <t>공급대가 / 11</t>
    <phoneticPr fontId="1" type="noConversion"/>
  </si>
  <si>
    <t>부가세
(기존)</t>
    <phoneticPr fontId="1" type="noConversion"/>
  </si>
  <si>
    <t>부가세
(신규)</t>
    <phoneticPr fontId="1" type="noConversion"/>
  </si>
  <si>
    <t>순수익
(기존)</t>
    <phoneticPr fontId="1" type="noConversion"/>
  </si>
  <si>
    <t>순수익
(신규)</t>
    <phoneticPr fontId="1" type="noConversion"/>
  </si>
  <si>
    <t>판매가</t>
    <phoneticPr fontId="1" type="noConversion"/>
  </si>
  <si>
    <t>기존</t>
    <phoneticPr fontId="1" type="noConversion"/>
  </si>
  <si>
    <t>판매가</t>
    <phoneticPr fontId="1" type="noConversion"/>
  </si>
  <si>
    <t>신규</t>
    <phoneticPr fontId="1" type="noConversion"/>
  </si>
  <si>
    <t>순수익</t>
    <phoneticPr fontId="1" type="noConversion"/>
  </si>
  <si>
    <t>차액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</si>
</sst>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"/>
    <numFmt numFmtId="177" formatCode="#,##0_);[Red]\(#,##0\)"/>
    <numFmt numFmtId="178" formatCode="#,##0.0_);[Red]\(#,##0.0\)"/>
    <numFmt numFmtId="179" formatCode="#,##0.00_ "/>
    <numFmt numFmtId="180" formatCode="0.0_);[Red]\(0.0\)"/>
    <numFmt numFmtId="181" formatCode="0.00_);[Red]\(0.0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3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7" borderId="0" xfId="0" applyFill="1">
      <alignment vertical="center"/>
    </xf>
    <xf numFmtId="0" fontId="0" fillId="7" borderId="0" xfId="0" applyFill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78" fontId="0" fillId="2" borderId="0" xfId="0" applyNumberFormat="1" applyFill="1" applyAlignment="1">
      <alignment horizontal="right" vertical="center"/>
    </xf>
    <xf numFmtId="179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right"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3" fillId="8" borderId="7" xfId="0" applyFont="1" applyFill="1" applyBorder="1">
      <alignment vertical="center"/>
    </xf>
    <xf numFmtId="180" fontId="13" fillId="8" borderId="8" xfId="0" applyNumberFormat="1" applyFont="1" applyFill="1" applyBorder="1">
      <alignment vertical="center"/>
    </xf>
    <xf numFmtId="180" fontId="13" fillId="8" borderId="9" xfId="0" applyNumberFormat="1" applyFont="1" applyFill="1" applyBorder="1">
      <alignment vertical="center"/>
    </xf>
    <xf numFmtId="180" fontId="11" fillId="8" borderId="1" xfId="0" applyNumberFormat="1" applyFont="1" applyFill="1" applyBorder="1" applyAlignment="1">
      <alignment horizontal="center" vertical="center"/>
    </xf>
    <xf numFmtId="181" fontId="0" fillId="8" borderId="0" xfId="0" applyNumberFormat="1" applyFill="1">
      <alignment vertical="center"/>
    </xf>
    <xf numFmtId="181" fontId="11" fillId="8" borderId="1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177" fontId="13" fillId="8" borderId="8" xfId="0" applyNumberFormat="1" applyFont="1" applyFill="1" applyBorder="1">
      <alignment vertical="center"/>
    </xf>
    <xf numFmtId="177" fontId="13" fillId="9" borderId="8" xfId="0" applyNumberFormat="1" applyFont="1" applyFill="1" applyBorder="1">
      <alignment vertical="center"/>
    </xf>
    <xf numFmtId="176" fontId="13" fillId="9" borderId="5" xfId="0" applyNumberFormat="1" applyFont="1" applyFill="1" applyBorder="1">
      <alignment vertical="center"/>
    </xf>
    <xf numFmtId="176" fontId="13" fillId="9" borderId="0" xfId="0" applyNumberFormat="1" applyFont="1" applyFill="1" applyBorder="1">
      <alignment vertical="center"/>
    </xf>
    <xf numFmtId="176" fontId="13" fillId="9" borderId="6" xfId="0" applyNumberFormat="1" applyFont="1" applyFill="1" applyBorder="1">
      <alignment vertical="center"/>
    </xf>
    <xf numFmtId="176" fontId="13" fillId="9" borderId="11" xfId="0" applyNumberFormat="1" applyFont="1" applyFill="1" applyBorder="1">
      <alignment vertical="center"/>
    </xf>
    <xf numFmtId="176" fontId="13" fillId="9" borderId="13" xfId="0" applyNumberFormat="1" applyFont="1" applyFill="1" applyBorder="1">
      <alignment vertical="center"/>
    </xf>
    <xf numFmtId="176" fontId="13" fillId="9" borderId="15" xfId="0" applyNumberFormat="1" applyFont="1" applyFill="1" applyBorder="1">
      <alignment vertical="center"/>
    </xf>
    <xf numFmtId="176" fontId="14" fillId="8" borderId="10" xfId="0" applyNumberFormat="1" applyFont="1" applyFill="1" applyBorder="1" applyAlignment="1">
      <alignment horizontal="center" vertical="center"/>
    </xf>
    <xf numFmtId="176" fontId="15" fillId="8" borderId="12" xfId="0" applyNumberFormat="1" applyFont="1" applyFill="1" applyBorder="1" applyAlignment="1">
      <alignment horizontal="center" vertical="center"/>
    </xf>
    <xf numFmtId="176" fontId="15" fillId="8" borderId="14" xfId="0" applyNumberFormat="1" applyFont="1" applyFill="1" applyBorder="1" applyAlignment="1">
      <alignment horizontal="center" vertical="center"/>
    </xf>
    <xf numFmtId="180" fontId="11" fillId="8" borderId="7" xfId="0" applyNumberFormat="1" applyFont="1" applyFill="1" applyBorder="1" applyAlignment="1">
      <alignment horizontal="center" vertical="center"/>
    </xf>
    <xf numFmtId="181" fontId="11" fillId="8" borderId="14" xfId="0" applyNumberFormat="1" applyFont="1" applyFill="1" applyBorder="1" applyAlignment="1">
      <alignment horizontal="center" vertical="center"/>
    </xf>
    <xf numFmtId="181" fontId="11" fillId="8" borderId="4" xfId="0" applyNumberFormat="1" applyFont="1" applyFill="1" applyBorder="1" applyAlignment="1">
      <alignment horizontal="center" vertical="center"/>
    </xf>
    <xf numFmtId="181" fontId="11" fillId="8" borderId="1" xfId="0" applyNumberFormat="1" applyFont="1" applyFill="1" applyBorder="1" applyAlignment="1">
      <alignment horizontal="center" vertical="center" wrapText="1"/>
    </xf>
    <xf numFmtId="0" fontId="8" fillId="7" borderId="0" xfId="1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4" fillId="7" borderId="0" xfId="1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2" borderId="5" xfId="0" applyNumberFormat="1" applyFill="1" applyBorder="1" applyAlignment="1">
      <alignment horizontal="right" vertical="center" indent="1"/>
    </xf>
    <xf numFmtId="178" fontId="0" fillId="2" borderId="6" xfId="0" applyNumberFormat="1" applyFill="1" applyBorder="1" applyAlignment="1">
      <alignment horizontal="right" vertical="center" indent="1"/>
    </xf>
    <xf numFmtId="178" fontId="0" fillId="2" borderId="1" xfId="0" applyNumberFormat="1" applyFill="1" applyBorder="1" applyAlignment="1">
      <alignment horizontal="right" vertical="center" indent="1"/>
    </xf>
    <xf numFmtId="178" fontId="0" fillId="2" borderId="0" xfId="0" applyNumberFormat="1" applyFill="1" applyAlignment="1">
      <alignment horizontal="right" vertical="center"/>
    </xf>
    <xf numFmtId="0" fontId="6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2" borderId="3" xfId="0" applyNumberFormat="1" applyFill="1" applyBorder="1" applyAlignment="1">
      <alignment horizontal="right" vertical="center" indent="1"/>
    </xf>
    <xf numFmtId="178" fontId="0" fillId="2" borderId="4" xfId="0" applyNumberFormat="1" applyFill="1" applyBorder="1" applyAlignment="1">
      <alignment horizontal="right" vertical="center" indent="1"/>
    </xf>
    <xf numFmtId="0" fontId="7" fillId="4" borderId="1" xfId="0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right" vertical="center" indent="1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178" fontId="0" fillId="2" borderId="2" xfId="0" applyNumberFormat="1" applyFill="1" applyBorder="1" applyAlignment="1">
      <alignment horizontal="right" vertical="center" indent="1"/>
    </xf>
    <xf numFmtId="181" fontId="11" fillId="8" borderId="2" xfId="0" applyNumberFormat="1" applyFont="1" applyFill="1" applyBorder="1" applyAlignment="1">
      <alignment horizontal="center" vertical="center" wrapText="1"/>
    </xf>
    <xf numFmtId="181" fontId="11" fillId="8" borderId="4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180" fontId="11" fillId="8" borderId="1" xfId="0" applyNumberFormat="1" applyFont="1" applyFill="1" applyBorder="1" applyAlignment="1">
      <alignment horizontal="center" vertical="center"/>
    </xf>
    <xf numFmtId="180" fontId="12" fillId="8" borderId="1" xfId="0" applyNumberFormat="1" applyFont="1" applyFill="1" applyBorder="1" applyAlignment="1">
      <alignment horizontal="center" vertical="center" wrapText="1"/>
    </xf>
    <xf numFmtId="180" fontId="12" fillId="8" borderId="1" xfId="0" applyNumberFormat="1" applyFont="1" applyFill="1" applyBorder="1" applyAlignment="1">
      <alignment horizontal="center" vertical="center"/>
    </xf>
    <xf numFmtId="181" fontId="11" fillId="8" borderId="7" xfId="0" applyNumberFormat="1" applyFont="1" applyFill="1" applyBorder="1" applyAlignment="1">
      <alignment horizontal="center" vertical="center"/>
    </xf>
    <xf numFmtId="181" fontId="11" fillId="8" borderId="8" xfId="0" applyNumberFormat="1" applyFont="1" applyFill="1" applyBorder="1" applyAlignment="1">
      <alignment horizontal="center" vertical="center"/>
    </xf>
    <xf numFmtId="181" fontId="11" fillId="8" borderId="9" xfId="0" applyNumberFormat="1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032;&#44201;&#52293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측정"/>
      <sheetName val="신규거래처)판매가"/>
      <sheetName val="온라인판매가"/>
      <sheetName val="온라인판매가 (2)"/>
      <sheetName val="택배_판매가"/>
      <sheetName val="Sheet7"/>
      <sheetName val="20.03_쇼핑몰"/>
      <sheetName val="쇼핑몰_기본정보"/>
      <sheetName val="기본정보"/>
      <sheetName val="쿠팡"/>
      <sheetName val="기존_사이트별_가격"/>
      <sheetName val="사업관련 용어정리"/>
      <sheetName val="월내는금액"/>
      <sheetName val="종합소득세"/>
      <sheetName val="1월 판매량"/>
      <sheetName val="판매사이트_배송정보"/>
    </sheetNames>
    <sheetDataSet>
      <sheetData sheetId="0">
        <row r="4">
          <cell r="S4">
            <v>19680</v>
          </cell>
        </row>
        <row r="5">
          <cell r="S5">
            <v>19980</v>
          </cell>
        </row>
        <row r="6">
          <cell r="S6">
            <v>17046</v>
          </cell>
        </row>
        <row r="7">
          <cell r="S7">
            <v>12248</v>
          </cell>
        </row>
        <row r="8">
          <cell r="S8">
            <v>12248</v>
          </cell>
        </row>
        <row r="9">
          <cell r="S9">
            <v>14190</v>
          </cell>
        </row>
        <row r="10">
          <cell r="S10">
            <v>14190</v>
          </cell>
        </row>
        <row r="11">
          <cell r="S11">
            <v>16044</v>
          </cell>
        </row>
        <row r="12">
          <cell r="S12">
            <v>16519</v>
          </cell>
        </row>
        <row r="13">
          <cell r="S13">
            <v>16906</v>
          </cell>
        </row>
        <row r="16">
          <cell r="S16">
            <v>11983</v>
          </cell>
        </row>
        <row r="18">
          <cell r="S18">
            <v>13777</v>
          </cell>
        </row>
        <row r="19">
          <cell r="S19">
            <v>14963</v>
          </cell>
        </row>
        <row r="20">
          <cell r="S20">
            <v>21207</v>
          </cell>
        </row>
        <row r="21">
          <cell r="S21">
            <v>12568</v>
          </cell>
        </row>
        <row r="22">
          <cell r="S22">
            <v>14459</v>
          </cell>
        </row>
        <row r="23">
          <cell r="S23">
            <v>15710</v>
          </cell>
        </row>
        <row r="24">
          <cell r="S24">
            <v>21993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7" zoomScale="85" zoomScaleNormal="85" workbookViewId="0">
      <selection activeCell="I31" sqref="I31:J31"/>
    </sheetView>
  </sheetViews>
  <sheetFormatPr defaultRowHeight="16.5" x14ac:dyDescent="0.3"/>
  <cols>
    <col min="1" max="1" width="4.25" style="1" customWidth="1"/>
    <col min="2" max="3" width="3" style="1" customWidth="1"/>
    <col min="4" max="4" width="9.875" style="1" customWidth="1"/>
    <col min="5" max="5" width="12.375" style="1" customWidth="1"/>
    <col min="6" max="6" width="68.75" style="1" bestFit="1" customWidth="1"/>
    <col min="7" max="7" width="4.875" style="1" customWidth="1"/>
    <col min="8" max="8" width="9.875" style="1" customWidth="1"/>
    <col min="9" max="9" width="12.375" style="1" customWidth="1"/>
    <col min="10" max="10" width="80.75" style="1" customWidth="1"/>
    <col min="11" max="11" width="3.625" style="1" customWidth="1"/>
    <col min="12" max="12" width="3" style="1" customWidth="1"/>
    <col min="13" max="16384" width="9" style="1"/>
  </cols>
  <sheetData>
    <row r="2" spans="2:12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x14ac:dyDescent="0.3">
      <c r="B3" s="6"/>
      <c r="L3" s="6"/>
    </row>
    <row r="4" spans="2:12" ht="28.5" customHeight="1" x14ac:dyDescent="0.3">
      <c r="B4" s="6"/>
      <c r="E4" s="56" t="s">
        <v>0</v>
      </c>
      <c r="F4" s="56"/>
      <c r="G4" s="56"/>
      <c r="H4" s="56"/>
      <c r="J4" s="5"/>
      <c r="K4" s="5"/>
      <c r="L4" s="6"/>
    </row>
    <row r="5" spans="2:12" ht="20.25" x14ac:dyDescent="0.3">
      <c r="B5" s="6"/>
      <c r="D5" s="4"/>
      <c r="E5" s="4"/>
      <c r="F5" s="4"/>
      <c r="G5" s="4"/>
      <c r="H5" s="4"/>
      <c r="I5" s="4"/>
      <c r="J5" s="4"/>
      <c r="K5" s="4"/>
      <c r="L5" s="6"/>
    </row>
    <row r="6" spans="2:12" x14ac:dyDescent="0.3">
      <c r="B6" s="6"/>
      <c r="C6" s="8"/>
      <c r="D6" s="8"/>
      <c r="E6" s="8"/>
      <c r="F6" s="8"/>
      <c r="G6" s="8"/>
      <c r="H6" s="8"/>
      <c r="I6" s="8"/>
      <c r="J6" s="8"/>
      <c r="K6" s="8"/>
      <c r="L6" s="6"/>
    </row>
    <row r="7" spans="2:12" x14ac:dyDescent="0.3">
      <c r="B7" s="6"/>
      <c r="C7" s="8"/>
      <c r="D7" s="51" t="s">
        <v>93</v>
      </c>
      <c r="E7" s="51"/>
      <c r="F7" s="51"/>
      <c r="G7" s="9"/>
      <c r="H7" s="52" t="s">
        <v>34</v>
      </c>
      <c r="I7" s="52"/>
      <c r="J7" s="52"/>
      <c r="K7" s="9"/>
      <c r="L7" s="6"/>
    </row>
    <row r="8" spans="2:12" x14ac:dyDescent="0.3">
      <c r="B8" s="6"/>
      <c r="C8" s="8"/>
      <c r="D8" s="8"/>
      <c r="E8" s="52" t="s">
        <v>1</v>
      </c>
      <c r="F8" s="52"/>
      <c r="G8" s="9"/>
      <c r="H8" s="8"/>
      <c r="I8" s="52" t="s">
        <v>18</v>
      </c>
      <c r="J8" s="52"/>
      <c r="K8" s="9"/>
      <c r="L8" s="6"/>
    </row>
    <row r="9" spans="2:12" x14ac:dyDescent="0.3">
      <c r="B9" s="6"/>
      <c r="C9" s="8"/>
      <c r="D9" s="8"/>
      <c r="E9" s="52" t="s">
        <v>35</v>
      </c>
      <c r="F9" s="52"/>
      <c r="G9" s="9"/>
      <c r="H9" s="8"/>
      <c r="I9" s="52" t="s">
        <v>19</v>
      </c>
      <c r="J9" s="52"/>
      <c r="K9" s="9"/>
      <c r="L9" s="6"/>
    </row>
    <row r="10" spans="2:12" x14ac:dyDescent="0.3">
      <c r="B10" s="6"/>
      <c r="C10" s="8"/>
      <c r="D10" s="8"/>
      <c r="E10" s="8"/>
      <c r="F10" s="8" t="s">
        <v>2</v>
      </c>
      <c r="G10" s="8"/>
      <c r="H10" s="8"/>
      <c r="I10" s="52" t="s">
        <v>20</v>
      </c>
      <c r="J10" s="52"/>
      <c r="K10" s="9"/>
      <c r="L10" s="6"/>
    </row>
    <row r="11" spans="2:12" x14ac:dyDescent="0.3">
      <c r="B11" s="6"/>
      <c r="C11" s="8"/>
      <c r="D11" s="8"/>
      <c r="E11" s="52" t="s">
        <v>36</v>
      </c>
      <c r="F11" s="52"/>
      <c r="G11" s="9"/>
      <c r="H11" s="8"/>
      <c r="I11" s="52" t="s">
        <v>21</v>
      </c>
      <c r="J11" s="52"/>
      <c r="K11" s="9"/>
      <c r="L11" s="6"/>
    </row>
    <row r="12" spans="2:12" x14ac:dyDescent="0.3">
      <c r="B12" s="6"/>
      <c r="C12" s="8"/>
      <c r="D12" s="8"/>
      <c r="E12" s="8"/>
      <c r="F12" s="8" t="s">
        <v>3</v>
      </c>
      <c r="G12" s="8"/>
      <c r="H12" s="8"/>
      <c r="I12" s="8"/>
      <c r="J12" s="8"/>
      <c r="K12" s="8"/>
      <c r="L12" s="6"/>
    </row>
    <row r="13" spans="2:12" x14ac:dyDescent="0.3">
      <c r="B13" s="6"/>
      <c r="C13" s="8"/>
      <c r="D13" s="8"/>
      <c r="E13" s="8"/>
      <c r="F13" s="8"/>
      <c r="G13" s="8"/>
      <c r="H13" s="52" t="s">
        <v>12</v>
      </c>
      <c r="I13" s="52"/>
      <c r="J13" s="52"/>
      <c r="K13" s="9"/>
      <c r="L13" s="6"/>
    </row>
    <row r="14" spans="2:12" x14ac:dyDescent="0.3">
      <c r="B14" s="6"/>
      <c r="C14" s="8"/>
      <c r="D14" s="52" t="s">
        <v>4</v>
      </c>
      <c r="E14" s="52"/>
      <c r="F14" s="52"/>
      <c r="G14" s="9"/>
      <c r="H14" s="8"/>
      <c r="I14" s="52" t="s">
        <v>22</v>
      </c>
      <c r="J14" s="52"/>
      <c r="K14" s="9"/>
      <c r="L14" s="6"/>
    </row>
    <row r="15" spans="2:12" x14ac:dyDescent="0.3">
      <c r="B15" s="6"/>
      <c r="C15" s="8"/>
      <c r="D15" s="8"/>
      <c r="E15" s="54" t="s">
        <v>122</v>
      </c>
      <c r="F15" s="54"/>
      <c r="G15" s="9"/>
      <c r="H15" s="8"/>
      <c r="I15" s="52" t="s">
        <v>23</v>
      </c>
      <c r="J15" s="52"/>
      <c r="K15" s="9"/>
      <c r="L15" s="6"/>
    </row>
    <row r="16" spans="2:12" x14ac:dyDescent="0.3">
      <c r="B16" s="6"/>
      <c r="C16" s="8"/>
      <c r="D16" s="8"/>
      <c r="E16" s="8"/>
      <c r="F16" s="8"/>
      <c r="G16" s="8"/>
      <c r="H16" s="8"/>
      <c r="I16" s="52" t="s">
        <v>24</v>
      </c>
      <c r="J16" s="52"/>
      <c r="K16" s="9"/>
      <c r="L16" s="6"/>
    </row>
    <row r="17" spans="2:12" x14ac:dyDescent="0.3">
      <c r="B17" s="6"/>
      <c r="C17" s="8"/>
      <c r="D17" s="52" t="s">
        <v>10</v>
      </c>
      <c r="E17" s="52"/>
      <c r="F17" s="52"/>
      <c r="G17" s="9"/>
      <c r="H17" s="8"/>
      <c r="I17" s="52" t="s">
        <v>7</v>
      </c>
      <c r="J17" s="52"/>
      <c r="K17" s="9"/>
      <c r="L17" s="6"/>
    </row>
    <row r="18" spans="2:12" x14ac:dyDescent="0.3">
      <c r="B18" s="6"/>
      <c r="C18" s="8"/>
      <c r="D18" s="8"/>
      <c r="E18" s="53" t="s">
        <v>15</v>
      </c>
      <c r="F18" s="53"/>
      <c r="G18" s="9"/>
      <c r="H18" s="8"/>
      <c r="I18" s="52" t="s">
        <v>25</v>
      </c>
      <c r="J18" s="52"/>
      <c r="K18" s="9"/>
      <c r="L18" s="6"/>
    </row>
    <row r="19" spans="2:12" ht="15" customHeight="1" x14ac:dyDescent="0.3">
      <c r="B19" s="6"/>
      <c r="C19" s="8"/>
      <c r="D19" s="8"/>
      <c r="E19" s="55" t="s">
        <v>32</v>
      </c>
      <c r="F19" s="55"/>
      <c r="G19" s="9"/>
      <c r="H19" s="8"/>
      <c r="I19" s="8"/>
      <c r="J19" s="8"/>
      <c r="K19" s="8"/>
      <c r="L19" s="6"/>
    </row>
    <row r="20" spans="2:12" x14ac:dyDescent="0.3">
      <c r="B20" s="6"/>
      <c r="C20" s="8"/>
      <c r="D20" s="8"/>
      <c r="E20" s="55"/>
      <c r="F20" s="55"/>
      <c r="G20" s="8"/>
      <c r="H20" s="52" t="s">
        <v>13</v>
      </c>
      <c r="I20" s="52"/>
      <c r="J20" s="52"/>
      <c r="K20" s="9"/>
      <c r="L20" s="6"/>
    </row>
    <row r="21" spans="2:12" x14ac:dyDescent="0.3">
      <c r="B21" s="6"/>
      <c r="C21" s="8"/>
      <c r="D21" s="8"/>
      <c r="E21" s="8"/>
      <c r="F21" s="8"/>
      <c r="G21" s="9"/>
      <c r="H21" s="8"/>
      <c r="I21" s="54" t="s">
        <v>26</v>
      </c>
      <c r="J21" s="54"/>
      <c r="K21" s="9"/>
      <c r="L21" s="6"/>
    </row>
    <row r="22" spans="2:12" x14ac:dyDescent="0.3">
      <c r="B22" s="6"/>
      <c r="C22" s="8"/>
      <c r="D22" s="52" t="s">
        <v>5</v>
      </c>
      <c r="E22" s="52"/>
      <c r="F22" s="52"/>
      <c r="G22" s="9"/>
      <c r="H22" s="8"/>
      <c r="I22" s="8"/>
      <c r="J22" s="8"/>
      <c r="K22" s="8"/>
      <c r="L22" s="6"/>
    </row>
    <row r="23" spans="2:12" x14ac:dyDescent="0.3">
      <c r="B23" s="6"/>
      <c r="C23" s="8"/>
      <c r="D23" s="8"/>
      <c r="E23" s="53" t="s">
        <v>16</v>
      </c>
      <c r="F23" s="53"/>
      <c r="G23" s="9"/>
      <c r="H23" s="52" t="s">
        <v>8</v>
      </c>
      <c r="I23" s="52"/>
      <c r="J23" s="52"/>
      <c r="K23" s="9"/>
      <c r="L23" s="6"/>
    </row>
    <row r="24" spans="2:12" x14ac:dyDescent="0.3">
      <c r="B24" s="6"/>
      <c r="C24" s="8"/>
      <c r="D24" s="8"/>
      <c r="E24" s="55" t="s">
        <v>33</v>
      </c>
      <c r="F24" s="55"/>
      <c r="G24" s="8"/>
      <c r="H24" s="8"/>
      <c r="I24" s="54" t="s">
        <v>27</v>
      </c>
      <c r="J24" s="54"/>
      <c r="K24" s="9"/>
      <c r="L24" s="6"/>
    </row>
    <row r="25" spans="2:12" x14ac:dyDescent="0.3">
      <c r="B25" s="6"/>
      <c r="C25" s="8"/>
      <c r="D25" s="8"/>
      <c r="E25" s="55"/>
      <c r="F25" s="55"/>
      <c r="G25" s="8"/>
      <c r="H25" s="8"/>
      <c r="I25" s="54" t="s">
        <v>28</v>
      </c>
      <c r="J25" s="54"/>
      <c r="K25" s="9"/>
      <c r="L25" s="6"/>
    </row>
    <row r="26" spans="2:12" x14ac:dyDescent="0.3">
      <c r="B26" s="6"/>
      <c r="C26" s="8"/>
      <c r="D26" s="8"/>
      <c r="E26" s="55"/>
      <c r="F26" s="55"/>
      <c r="G26" s="8"/>
      <c r="H26" s="8"/>
      <c r="I26" s="9"/>
      <c r="J26" s="9"/>
      <c r="K26" s="9"/>
      <c r="L26" s="6"/>
    </row>
    <row r="27" spans="2:12" x14ac:dyDescent="0.3">
      <c r="B27" s="6"/>
      <c r="C27" s="8"/>
      <c r="D27" s="8"/>
      <c r="E27" s="55"/>
      <c r="F27" s="55"/>
      <c r="G27" s="8"/>
      <c r="H27" s="52" t="s">
        <v>9</v>
      </c>
      <c r="I27" s="52"/>
      <c r="J27" s="52"/>
      <c r="K27" s="9"/>
      <c r="L27" s="6"/>
    </row>
    <row r="28" spans="2:12" x14ac:dyDescent="0.3">
      <c r="B28" s="6"/>
      <c r="C28" s="8"/>
      <c r="D28" s="8"/>
      <c r="E28" s="8"/>
      <c r="F28" s="8"/>
      <c r="G28" s="9"/>
      <c r="H28" s="8"/>
      <c r="I28" s="54" t="s">
        <v>29</v>
      </c>
      <c r="J28" s="54"/>
      <c r="K28" s="9"/>
      <c r="L28" s="6"/>
    </row>
    <row r="29" spans="2:12" x14ac:dyDescent="0.3">
      <c r="B29" s="6"/>
      <c r="C29" s="8"/>
      <c r="D29" s="52" t="s">
        <v>11</v>
      </c>
      <c r="E29" s="52"/>
      <c r="F29" s="52"/>
      <c r="G29" s="9"/>
      <c r="H29" s="8"/>
      <c r="I29" s="8"/>
      <c r="J29" s="8"/>
      <c r="K29" s="8"/>
      <c r="L29" s="6"/>
    </row>
    <row r="30" spans="2:12" x14ac:dyDescent="0.3">
      <c r="B30" s="6"/>
      <c r="C30" s="8"/>
      <c r="D30" s="8"/>
      <c r="E30" s="53" t="s">
        <v>6</v>
      </c>
      <c r="F30" s="53"/>
      <c r="G30" s="9"/>
      <c r="H30" s="52" t="s">
        <v>14</v>
      </c>
      <c r="I30" s="52"/>
      <c r="J30" s="52"/>
      <c r="K30" s="9"/>
      <c r="L30" s="6"/>
    </row>
    <row r="31" spans="2:12" ht="16.5" customHeight="1" x14ac:dyDescent="0.3">
      <c r="B31" s="6"/>
      <c r="C31" s="8"/>
      <c r="D31" s="8"/>
      <c r="E31" s="55" t="s">
        <v>17</v>
      </c>
      <c r="F31" s="55"/>
      <c r="G31" s="8"/>
      <c r="H31" s="8"/>
      <c r="I31" s="54" t="s">
        <v>30</v>
      </c>
      <c r="J31" s="54"/>
      <c r="K31" s="9"/>
      <c r="L31" s="6"/>
    </row>
    <row r="32" spans="2:12" x14ac:dyDescent="0.3">
      <c r="B32" s="6"/>
      <c r="C32" s="8"/>
      <c r="D32" s="8"/>
      <c r="E32" s="55"/>
      <c r="F32" s="55"/>
      <c r="G32" s="8"/>
      <c r="H32" s="8"/>
      <c r="I32" s="52" t="s">
        <v>31</v>
      </c>
      <c r="J32" s="52"/>
      <c r="K32" s="9"/>
      <c r="L32" s="6"/>
    </row>
    <row r="33" spans="2:12" x14ac:dyDescent="0.3">
      <c r="B33" s="6"/>
      <c r="C33" s="8"/>
      <c r="D33" s="8"/>
      <c r="E33" s="55"/>
      <c r="F33" s="55"/>
      <c r="G33" s="8"/>
      <c r="H33" s="8"/>
      <c r="I33" s="8"/>
      <c r="J33" s="8"/>
      <c r="K33" s="8"/>
      <c r="L33" s="6"/>
    </row>
    <row r="34" spans="2:12" x14ac:dyDescent="0.3">
      <c r="B34" s="6"/>
      <c r="C34" s="8"/>
      <c r="D34" s="8"/>
      <c r="E34" s="55"/>
      <c r="F34" s="55"/>
      <c r="G34" s="8"/>
      <c r="H34" s="8"/>
      <c r="I34" s="8"/>
      <c r="J34" s="8"/>
      <c r="K34" s="8"/>
      <c r="L34" s="6"/>
    </row>
    <row r="35" spans="2:12" x14ac:dyDescent="0.3">
      <c r="B35" s="6"/>
      <c r="C35" s="6"/>
      <c r="D35" s="6"/>
      <c r="E35" s="7"/>
      <c r="F35" s="7"/>
      <c r="G35" s="6"/>
      <c r="H35" s="6"/>
      <c r="I35" s="6"/>
      <c r="J35" s="6"/>
      <c r="K35" s="6"/>
      <c r="L35" s="6"/>
    </row>
    <row r="36" spans="2:12" x14ac:dyDescent="0.3">
      <c r="E36" s="2"/>
      <c r="F36" s="2"/>
    </row>
  </sheetData>
  <mergeCells count="37">
    <mergeCell ref="E31:F34"/>
    <mergeCell ref="E4:H4"/>
    <mergeCell ref="E23:F23"/>
    <mergeCell ref="E30:F30"/>
    <mergeCell ref="I24:J24"/>
    <mergeCell ref="I25:J25"/>
    <mergeCell ref="I28:J28"/>
    <mergeCell ref="I31:J31"/>
    <mergeCell ref="I32:J32"/>
    <mergeCell ref="E19:F20"/>
    <mergeCell ref="E24:F27"/>
    <mergeCell ref="D29:F29"/>
    <mergeCell ref="I14:J14"/>
    <mergeCell ref="I15:J15"/>
    <mergeCell ref="I16:J16"/>
    <mergeCell ref="I17:J17"/>
    <mergeCell ref="H23:J23"/>
    <mergeCell ref="H27:J27"/>
    <mergeCell ref="H30:J30"/>
    <mergeCell ref="E8:F8"/>
    <mergeCell ref="E9:F9"/>
    <mergeCell ref="E11:F11"/>
    <mergeCell ref="E15:F15"/>
    <mergeCell ref="I18:J18"/>
    <mergeCell ref="I21:J21"/>
    <mergeCell ref="I8:J8"/>
    <mergeCell ref="I9:J9"/>
    <mergeCell ref="I10:J10"/>
    <mergeCell ref="I11:J11"/>
    <mergeCell ref="H13:J13"/>
    <mergeCell ref="H20:J20"/>
    <mergeCell ref="D7:F7"/>
    <mergeCell ref="D14:F14"/>
    <mergeCell ref="D17:F17"/>
    <mergeCell ref="D22:F22"/>
    <mergeCell ref="H7:J7"/>
    <mergeCell ref="E18:F18"/>
  </mergeCells>
  <phoneticPr fontId="1" type="noConversion"/>
  <hyperlinks>
    <hyperlink ref="D7:F7" location="비용!A1" display="1. 계산 전 개념 정리 '비용과 고정비, 변동비'"/>
    <hyperlink ref="E18:F18" location="한계이익!A1" display="한계이익 = 매출액 - 변동비"/>
    <hyperlink ref="E23:F23" location="한계이익!A1" display="한계이익률(%) = 한계이익금 / 매출액(판매가격) x 100"/>
    <hyperlink ref="E30:F30" location="한계이익!A1" display="손익분기점 매출액 = 고정비 / 한계이익률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8"/>
  <sheetViews>
    <sheetView workbookViewId="0">
      <selection activeCell="D17" sqref="D17:E17"/>
    </sheetView>
  </sheetViews>
  <sheetFormatPr defaultRowHeight="16.5" x14ac:dyDescent="0.3"/>
  <cols>
    <col min="1" max="1" width="9" style="1"/>
    <col min="2" max="2" width="25.5" style="1" bestFit="1" customWidth="1"/>
    <col min="3" max="3" width="9" style="3"/>
    <col min="4" max="4" width="5" style="12" customWidth="1"/>
    <col min="5" max="5" width="12.125" style="12" bestFit="1" customWidth="1"/>
    <col min="6" max="6" width="5" style="1" customWidth="1"/>
    <col min="7" max="7" width="13" style="1" bestFit="1" customWidth="1"/>
    <col min="8" max="8" width="9.875" style="14" bestFit="1" customWidth="1"/>
    <col min="9" max="11" width="9.125" style="13" bestFit="1" customWidth="1"/>
    <col min="12" max="12" width="9.125" style="13" customWidth="1"/>
    <col min="13" max="13" width="12.125" style="14" bestFit="1" customWidth="1"/>
    <col min="14" max="14" width="9.125" style="14" hidden="1" customWidth="1"/>
    <col min="15" max="15" width="13.625" style="15" hidden="1" customWidth="1"/>
    <col min="16" max="16" width="5.5" style="1" customWidth="1"/>
    <col min="17" max="17" width="5.25" style="1" bestFit="1" customWidth="1"/>
    <col min="18" max="18" width="12.25" style="14" bestFit="1" customWidth="1"/>
    <col min="19" max="19" width="12.25" style="14" customWidth="1"/>
    <col min="20" max="20" width="11" style="14" bestFit="1" customWidth="1"/>
    <col min="21" max="21" width="12.25" style="14" bestFit="1" customWidth="1"/>
    <col min="22" max="22" width="9.875" style="15" bestFit="1" customWidth="1"/>
    <col min="23" max="16384" width="9" style="1"/>
  </cols>
  <sheetData>
    <row r="3" spans="2:22" ht="20.25" x14ac:dyDescent="0.3">
      <c r="B3" s="57" t="s">
        <v>37</v>
      </c>
      <c r="C3" s="57"/>
      <c r="D3" s="57"/>
      <c r="E3" s="57"/>
    </row>
    <row r="5" spans="2:22" x14ac:dyDescent="0.3">
      <c r="B5" s="1" t="s">
        <v>38</v>
      </c>
      <c r="G5" s="63" t="s">
        <v>88</v>
      </c>
      <c r="H5" s="63"/>
      <c r="I5" s="63"/>
      <c r="J5" s="63"/>
      <c r="K5" s="63"/>
      <c r="L5" s="63"/>
      <c r="M5" s="63"/>
      <c r="N5" s="63"/>
      <c r="O5" s="63"/>
      <c r="Q5" s="63" t="s">
        <v>89</v>
      </c>
      <c r="R5" s="63"/>
      <c r="S5" s="63"/>
      <c r="T5" s="63"/>
      <c r="U5" s="68" t="s">
        <v>121</v>
      </c>
      <c r="V5" s="68"/>
    </row>
    <row r="6" spans="2:22" x14ac:dyDescent="0.3">
      <c r="B6" s="69" t="s">
        <v>51</v>
      </c>
      <c r="C6" s="69"/>
      <c r="D6" s="69"/>
      <c r="E6" s="12" t="s">
        <v>49</v>
      </c>
      <c r="G6" s="1" t="s">
        <v>73</v>
      </c>
      <c r="H6" s="14" t="s">
        <v>74</v>
      </c>
      <c r="I6" s="13" t="s">
        <v>75</v>
      </c>
      <c r="J6" s="13" t="s">
        <v>76</v>
      </c>
      <c r="K6" s="13" t="s">
        <v>77</v>
      </c>
      <c r="L6" s="13" t="s">
        <v>114</v>
      </c>
      <c r="M6" s="14" t="s">
        <v>116</v>
      </c>
      <c r="N6" s="14" t="s">
        <v>78</v>
      </c>
      <c r="O6" s="15" t="s">
        <v>80</v>
      </c>
      <c r="Q6" s="3" t="s">
        <v>90</v>
      </c>
      <c r="R6" s="24" t="s">
        <v>91</v>
      </c>
      <c r="S6" s="14" t="s">
        <v>117</v>
      </c>
      <c r="T6" s="14" t="s">
        <v>118</v>
      </c>
      <c r="U6" s="14" t="s">
        <v>119</v>
      </c>
      <c r="V6" s="15" t="s">
        <v>120</v>
      </c>
    </row>
    <row r="7" spans="2:22" x14ac:dyDescent="0.3">
      <c r="B7" s="66" t="s">
        <v>39</v>
      </c>
      <c r="C7" s="66"/>
      <c r="D7" s="67" t="s">
        <v>40</v>
      </c>
      <c r="E7" s="67"/>
      <c r="G7" s="1" t="s">
        <v>53</v>
      </c>
      <c r="H7" s="14">
        <f>[1]원가측정!$S4</f>
        <v>19680</v>
      </c>
      <c r="I7" s="13">
        <v>3269</v>
      </c>
      <c r="J7" s="13">
        <v>4039</v>
      </c>
      <c r="K7" s="13">
        <v>1696</v>
      </c>
      <c r="L7" s="13">
        <v>12451</v>
      </c>
      <c r="M7" s="14">
        <f>L7*H7/10</f>
        <v>24503568</v>
      </c>
      <c r="N7" s="14">
        <f>ROUNDUP(SUM(I7:K7), 0)</f>
        <v>9004</v>
      </c>
      <c r="O7" s="15">
        <f>N7/10*H7</f>
        <v>17719872</v>
      </c>
      <c r="Q7" s="3">
        <v>1</v>
      </c>
      <c r="R7" s="25">
        <v>39600207</v>
      </c>
      <c r="S7" s="14">
        <f>R7-T7</f>
        <v>28575200</v>
      </c>
      <c r="T7" s="14">
        <v>11025007</v>
      </c>
      <c r="U7" s="14">
        <v>14730670</v>
      </c>
      <c r="V7" s="15">
        <f>U7*0.062</f>
        <v>913301.54</v>
      </c>
    </row>
    <row r="8" spans="2:22" x14ac:dyDescent="0.3">
      <c r="B8" s="16" t="s">
        <v>41</v>
      </c>
      <c r="C8" s="19" t="s">
        <v>87</v>
      </c>
      <c r="D8" s="70">
        <v>30</v>
      </c>
      <c r="E8" s="70"/>
      <c r="G8" s="1" t="s">
        <v>69</v>
      </c>
      <c r="H8" s="14">
        <f>[1]원가측정!$S5</f>
        <v>19980</v>
      </c>
      <c r="I8" s="13">
        <v>500</v>
      </c>
      <c r="J8" s="13">
        <v>200</v>
      </c>
      <c r="K8" s="13">
        <v>200</v>
      </c>
      <c r="L8" s="13">
        <v>1570</v>
      </c>
      <c r="M8" s="14">
        <f>L8*H8/10</f>
        <v>3136860</v>
      </c>
      <c r="N8" s="14">
        <f t="shared" ref="N8:N16" si="0">ROUNDUP(SUM(I8:K8), 0)</f>
        <v>900</v>
      </c>
      <c r="O8" s="15">
        <f>N8/10*H8</f>
        <v>1798200</v>
      </c>
      <c r="Q8" s="3">
        <v>2</v>
      </c>
      <c r="R8" s="25">
        <v>46821547</v>
      </c>
      <c r="S8" s="14">
        <f>R8-T8</f>
        <v>29019250</v>
      </c>
      <c r="T8" s="14">
        <v>17802297</v>
      </c>
      <c r="U8" s="14">
        <v>25140770</v>
      </c>
      <c r="V8" s="15">
        <f t="shared" ref="V8:V9" si="1">U8*0.062</f>
        <v>1558727.74</v>
      </c>
    </row>
    <row r="9" spans="2:22" x14ac:dyDescent="0.3">
      <c r="B9" s="17" t="s">
        <v>81</v>
      </c>
      <c r="C9" s="10" t="s">
        <v>82</v>
      </c>
      <c r="D9" s="64">
        <v>0</v>
      </c>
      <c r="E9" s="64"/>
      <c r="G9" s="1" t="s">
        <v>54</v>
      </c>
      <c r="H9" s="14">
        <f>[1]원가측정!$S6</f>
        <v>17046</v>
      </c>
      <c r="I9" s="13">
        <v>5</v>
      </c>
      <c r="J9" s="13">
        <v>21.5</v>
      </c>
      <c r="K9" s="13">
        <v>0.5</v>
      </c>
      <c r="L9" s="13">
        <v>45.25</v>
      </c>
      <c r="M9" s="14">
        <f t="shared" ref="M9:M27" si="2">L9*H9</f>
        <v>771331.5</v>
      </c>
      <c r="N9" s="14">
        <f t="shared" si="0"/>
        <v>27</v>
      </c>
      <c r="O9" s="15">
        <f>N9*H9</f>
        <v>460242</v>
      </c>
      <c r="Q9" s="3">
        <v>3</v>
      </c>
      <c r="R9" s="25">
        <v>66345561</v>
      </c>
      <c r="S9" s="14">
        <f>R9-T9</f>
        <v>46196200</v>
      </c>
      <c r="T9" s="14">
        <v>20149361</v>
      </c>
      <c r="U9" s="14">
        <v>28189235</v>
      </c>
      <c r="V9" s="15">
        <f t="shared" si="1"/>
        <v>1747732.57</v>
      </c>
    </row>
    <row r="10" spans="2:22" x14ac:dyDescent="0.3">
      <c r="B10" s="17" t="s">
        <v>42</v>
      </c>
      <c r="C10" s="10" t="s">
        <v>82</v>
      </c>
      <c r="D10" s="64">
        <v>800</v>
      </c>
      <c r="E10" s="64"/>
      <c r="G10" s="1" t="s">
        <v>70</v>
      </c>
      <c r="H10" s="14">
        <f>[1]원가측정!$S7</f>
        <v>12248</v>
      </c>
      <c r="I10" s="13">
        <v>193</v>
      </c>
      <c r="J10" s="13">
        <v>57</v>
      </c>
      <c r="K10" s="13">
        <v>63</v>
      </c>
      <c r="L10" s="13">
        <v>397</v>
      </c>
      <c r="M10" s="14">
        <f t="shared" si="2"/>
        <v>4862456</v>
      </c>
      <c r="N10" s="14">
        <f t="shared" si="0"/>
        <v>313</v>
      </c>
      <c r="O10" s="15">
        <f t="shared" ref="O10:O15" si="3">N10*H10</f>
        <v>3833624</v>
      </c>
      <c r="Q10" s="3" t="s">
        <v>92</v>
      </c>
      <c r="R10" s="25">
        <f>SUM(R7:R9)</f>
        <v>152767315</v>
      </c>
      <c r="S10" s="14">
        <f>SUM(S7:S9)</f>
        <v>103790650</v>
      </c>
      <c r="T10" s="14">
        <f>SUM(T7:T9)</f>
        <v>48976665</v>
      </c>
      <c r="U10" s="14">
        <f>SUM(U7:U9)</f>
        <v>68060675</v>
      </c>
      <c r="V10" s="15">
        <f>SUM(V7:V9)</f>
        <v>4219761.8500000006</v>
      </c>
    </row>
    <row r="11" spans="2:22" x14ac:dyDescent="0.3">
      <c r="B11" s="17" t="s">
        <v>43</v>
      </c>
      <c r="C11" s="10" t="s">
        <v>83</v>
      </c>
      <c r="D11" s="64">
        <v>240</v>
      </c>
      <c r="E11" s="64"/>
      <c r="G11" s="1" t="s">
        <v>55</v>
      </c>
      <c r="H11" s="14">
        <f>[1]원가측정!$S8</f>
        <v>12248</v>
      </c>
      <c r="I11" s="13">
        <v>512.33000000000004</v>
      </c>
      <c r="J11" s="13">
        <v>767.33</v>
      </c>
      <c r="K11" s="13">
        <v>507</v>
      </c>
      <c r="L11" s="13">
        <v>2477.66</v>
      </c>
      <c r="M11" s="14">
        <f t="shared" si="2"/>
        <v>30346379.68</v>
      </c>
      <c r="N11" s="14">
        <f t="shared" si="0"/>
        <v>1787</v>
      </c>
      <c r="O11" s="15">
        <f t="shared" si="3"/>
        <v>21887176</v>
      </c>
    </row>
    <row r="12" spans="2:22" x14ac:dyDescent="0.3">
      <c r="B12" s="17" t="s">
        <v>44</v>
      </c>
      <c r="C12" s="10" t="s">
        <v>84</v>
      </c>
      <c r="D12" s="64">
        <v>40</v>
      </c>
      <c r="E12" s="64"/>
      <c r="G12" s="1" t="s">
        <v>56</v>
      </c>
      <c r="H12" s="14">
        <f>[1]원가측정!$S9</f>
        <v>14190</v>
      </c>
      <c r="I12" s="13">
        <v>113.67</v>
      </c>
      <c r="J12" s="13">
        <v>55</v>
      </c>
      <c r="K12" s="13">
        <v>67</v>
      </c>
      <c r="L12" s="13">
        <v>282.67</v>
      </c>
      <c r="M12" s="14">
        <f t="shared" si="2"/>
        <v>4011087.3000000003</v>
      </c>
      <c r="N12" s="14">
        <f t="shared" si="0"/>
        <v>236</v>
      </c>
      <c r="O12" s="15">
        <f t="shared" si="3"/>
        <v>3348840</v>
      </c>
    </row>
    <row r="13" spans="2:22" x14ac:dyDescent="0.3">
      <c r="B13" s="17" t="s">
        <v>45</v>
      </c>
      <c r="C13" s="10" t="s">
        <v>84</v>
      </c>
      <c r="D13" s="64">
        <v>9</v>
      </c>
      <c r="E13" s="64"/>
      <c r="G13" s="1" t="s">
        <v>57</v>
      </c>
      <c r="H13" s="14">
        <f>[1]원가측정!$S10</f>
        <v>14190</v>
      </c>
      <c r="I13" s="13">
        <v>116.67</v>
      </c>
      <c r="J13" s="13">
        <v>160.66999999999999</v>
      </c>
      <c r="K13" s="13">
        <v>50</v>
      </c>
      <c r="L13" s="13">
        <v>436.33</v>
      </c>
      <c r="M13" s="14">
        <f t="shared" si="2"/>
        <v>6191522.7000000002</v>
      </c>
      <c r="N13" s="14">
        <f t="shared" si="0"/>
        <v>328</v>
      </c>
      <c r="O13" s="15">
        <f t="shared" si="3"/>
        <v>4654320</v>
      </c>
    </row>
    <row r="14" spans="2:22" x14ac:dyDescent="0.3">
      <c r="B14" s="17" t="s">
        <v>46</v>
      </c>
      <c r="C14" s="10" t="s">
        <v>85</v>
      </c>
      <c r="D14" s="64">
        <v>4</v>
      </c>
      <c r="E14" s="64"/>
      <c r="G14" s="1" t="s">
        <v>58</v>
      </c>
      <c r="H14" s="14">
        <f>[1]원가측정!$S11</f>
        <v>16044</v>
      </c>
      <c r="I14" s="13">
        <v>19</v>
      </c>
      <c r="J14" s="13">
        <v>10</v>
      </c>
      <c r="K14" s="13">
        <v>4</v>
      </c>
      <c r="L14" s="13">
        <v>41.67</v>
      </c>
      <c r="M14" s="14">
        <f t="shared" si="2"/>
        <v>668553.48</v>
      </c>
      <c r="N14" s="14">
        <f t="shared" si="0"/>
        <v>33</v>
      </c>
      <c r="O14" s="15">
        <f t="shared" si="3"/>
        <v>529452</v>
      </c>
    </row>
    <row r="15" spans="2:22" x14ac:dyDescent="0.3">
      <c r="B15" s="17" t="s">
        <v>47</v>
      </c>
      <c r="C15" s="10" t="s">
        <v>83</v>
      </c>
      <c r="D15" s="64">
        <v>40</v>
      </c>
      <c r="E15" s="64"/>
      <c r="G15" s="1" t="s">
        <v>59</v>
      </c>
      <c r="H15" s="14">
        <f>[1]원가측정!$S12</f>
        <v>16519</v>
      </c>
      <c r="I15" s="13">
        <v>257.67</v>
      </c>
      <c r="J15" s="13">
        <v>226.67</v>
      </c>
      <c r="K15" s="13">
        <v>120.67</v>
      </c>
      <c r="L15" s="13">
        <v>646.33000000000004</v>
      </c>
      <c r="M15" s="14">
        <f t="shared" si="2"/>
        <v>10676725.270000001</v>
      </c>
      <c r="N15" s="14">
        <f t="shared" si="0"/>
        <v>606</v>
      </c>
      <c r="O15" s="15">
        <f t="shared" si="3"/>
        <v>10010514</v>
      </c>
    </row>
    <row r="16" spans="2:22" x14ac:dyDescent="0.3">
      <c r="B16" s="17" t="s">
        <v>50</v>
      </c>
      <c r="C16" s="10" t="s">
        <v>85</v>
      </c>
      <c r="D16" s="58">
        <v>50</v>
      </c>
      <c r="E16" s="59"/>
      <c r="G16" s="1" t="s">
        <v>115</v>
      </c>
      <c r="H16" s="14">
        <v>14190</v>
      </c>
      <c r="I16" s="13">
        <v>0</v>
      </c>
      <c r="J16" s="13">
        <v>0</v>
      </c>
      <c r="K16" s="13">
        <v>0</v>
      </c>
      <c r="L16" s="13">
        <v>322</v>
      </c>
      <c r="M16" s="14">
        <f t="shared" si="2"/>
        <v>4569180</v>
      </c>
      <c r="N16" s="14">
        <f t="shared" si="0"/>
        <v>0</v>
      </c>
    </row>
    <row r="17" spans="2:15" x14ac:dyDescent="0.3">
      <c r="B17" s="18" t="s">
        <v>52</v>
      </c>
      <c r="C17" s="11" t="s">
        <v>86</v>
      </c>
      <c r="D17" s="65">
        <f>M28/10000</f>
        <v>12800.171591</v>
      </c>
      <c r="E17" s="65"/>
      <c r="G17" s="1" t="s">
        <v>60</v>
      </c>
      <c r="H17" s="14">
        <f>[1]원가측정!$S13</f>
        <v>16906</v>
      </c>
      <c r="I17" s="13">
        <v>19.329999999999998</v>
      </c>
      <c r="J17" s="13">
        <v>15.33</v>
      </c>
      <c r="K17" s="13">
        <v>43.67</v>
      </c>
      <c r="L17" s="13">
        <v>348.33</v>
      </c>
      <c r="M17" s="14">
        <f t="shared" si="2"/>
        <v>5888866.9799999995</v>
      </c>
      <c r="N17" s="14">
        <f t="shared" ref="N17:N27" si="4">ROUNDUP(SUM(I17:K17), 0)</f>
        <v>79</v>
      </c>
      <c r="O17" s="15">
        <f t="shared" ref="O17:O27" si="5">N17*H17</f>
        <v>1335574</v>
      </c>
    </row>
    <row r="18" spans="2:15" ht="17.25" x14ac:dyDescent="0.3">
      <c r="B18" s="62" t="s">
        <v>48</v>
      </c>
      <c r="C18" s="62"/>
      <c r="D18" s="60">
        <f>SUM(D8:E17)</f>
        <v>14013.171591</v>
      </c>
      <c r="E18" s="60"/>
      <c r="G18" s="1" t="s">
        <v>61</v>
      </c>
      <c r="H18" s="14">
        <f>[1]원가측정!$S16</f>
        <v>11983</v>
      </c>
      <c r="I18" s="13">
        <v>514</v>
      </c>
      <c r="J18" s="13">
        <v>611</v>
      </c>
      <c r="K18" s="13">
        <v>332</v>
      </c>
      <c r="L18" s="13">
        <v>1768</v>
      </c>
      <c r="M18" s="14">
        <f t="shared" si="2"/>
        <v>21185944</v>
      </c>
      <c r="N18" s="14">
        <f t="shared" si="4"/>
        <v>1457</v>
      </c>
      <c r="O18" s="15">
        <f t="shared" si="5"/>
        <v>17459231</v>
      </c>
    </row>
    <row r="19" spans="2:15" x14ac:dyDescent="0.3">
      <c r="B19" s="63"/>
      <c r="C19" s="63"/>
      <c r="D19" s="61"/>
      <c r="E19" s="61"/>
      <c r="G19" s="1" t="s">
        <v>62</v>
      </c>
      <c r="H19" s="14">
        <f>[1]원가측정!$S18</f>
        <v>13777</v>
      </c>
      <c r="I19" s="13">
        <v>61</v>
      </c>
      <c r="J19" s="13">
        <v>94</v>
      </c>
      <c r="K19" s="13">
        <v>20</v>
      </c>
      <c r="L19" s="13">
        <v>236</v>
      </c>
      <c r="M19" s="14">
        <f t="shared" si="2"/>
        <v>3251372</v>
      </c>
      <c r="N19" s="14">
        <f t="shared" si="4"/>
        <v>175</v>
      </c>
      <c r="O19" s="15">
        <f t="shared" si="5"/>
        <v>2410975</v>
      </c>
    </row>
    <row r="20" spans="2:15" x14ac:dyDescent="0.3">
      <c r="B20" s="63"/>
      <c r="C20" s="63"/>
      <c r="D20" s="61"/>
      <c r="E20" s="61"/>
      <c r="G20" s="1" t="s">
        <v>63</v>
      </c>
      <c r="H20" s="14">
        <f>[1]원가측정!$S19</f>
        <v>14963</v>
      </c>
      <c r="I20" s="13">
        <v>3</v>
      </c>
      <c r="J20" s="13">
        <v>5</v>
      </c>
      <c r="K20" s="13">
        <v>7</v>
      </c>
      <c r="L20" s="13">
        <v>21</v>
      </c>
      <c r="M20" s="14">
        <f t="shared" si="2"/>
        <v>314223</v>
      </c>
      <c r="N20" s="14">
        <f t="shared" si="4"/>
        <v>15</v>
      </c>
      <c r="O20" s="15">
        <f t="shared" si="5"/>
        <v>224445</v>
      </c>
    </row>
    <row r="21" spans="2:15" x14ac:dyDescent="0.3">
      <c r="B21" s="63"/>
      <c r="C21" s="63"/>
      <c r="D21" s="61"/>
      <c r="E21" s="61"/>
      <c r="G21" s="1" t="s">
        <v>64</v>
      </c>
      <c r="H21" s="14">
        <f>[1]원가측정!$S20</f>
        <v>21207</v>
      </c>
      <c r="I21" s="13">
        <v>9</v>
      </c>
      <c r="J21" s="13">
        <v>5</v>
      </c>
      <c r="K21" s="13">
        <v>4</v>
      </c>
      <c r="L21" s="13">
        <v>26</v>
      </c>
      <c r="M21" s="14">
        <f t="shared" si="2"/>
        <v>551382</v>
      </c>
      <c r="N21" s="14">
        <f t="shared" si="4"/>
        <v>18</v>
      </c>
      <c r="O21" s="15">
        <f t="shared" si="5"/>
        <v>381726</v>
      </c>
    </row>
    <row r="22" spans="2:15" x14ac:dyDescent="0.3">
      <c r="B22" s="3"/>
      <c r="G22" s="1" t="s">
        <v>65</v>
      </c>
      <c r="H22" s="14">
        <f>[1]원가측정!$S21</f>
        <v>12568</v>
      </c>
      <c r="I22" s="13">
        <v>75</v>
      </c>
      <c r="J22" s="13">
        <v>49</v>
      </c>
      <c r="K22" s="13">
        <v>11</v>
      </c>
      <c r="L22" s="13">
        <v>150</v>
      </c>
      <c r="M22" s="14">
        <f t="shared" si="2"/>
        <v>1885200</v>
      </c>
      <c r="N22" s="14">
        <f t="shared" si="4"/>
        <v>135</v>
      </c>
      <c r="O22" s="15">
        <f t="shared" si="5"/>
        <v>1696680</v>
      </c>
    </row>
    <row r="23" spans="2:15" x14ac:dyDescent="0.3">
      <c r="B23" s="3"/>
      <c r="G23" s="1" t="s">
        <v>66</v>
      </c>
      <c r="H23" s="14">
        <f>[1]원가측정!$S22</f>
        <v>14459</v>
      </c>
      <c r="I23" s="13">
        <v>36</v>
      </c>
      <c r="J23" s="13">
        <v>40</v>
      </c>
      <c r="K23" s="13">
        <v>15</v>
      </c>
      <c r="L23" s="13">
        <v>124</v>
      </c>
      <c r="M23" s="14">
        <f t="shared" si="2"/>
        <v>1792916</v>
      </c>
      <c r="N23" s="14">
        <f t="shared" si="4"/>
        <v>91</v>
      </c>
      <c r="O23" s="15">
        <f t="shared" si="5"/>
        <v>1315769</v>
      </c>
    </row>
    <row r="24" spans="2:15" x14ac:dyDescent="0.3">
      <c r="G24" s="1" t="s">
        <v>67</v>
      </c>
      <c r="H24" s="14">
        <f>[1]원가측정!$S23</f>
        <v>15710</v>
      </c>
      <c r="I24" s="13">
        <v>34</v>
      </c>
      <c r="J24" s="13">
        <v>0</v>
      </c>
      <c r="K24" s="13">
        <v>0</v>
      </c>
      <c r="L24" s="13">
        <v>89</v>
      </c>
      <c r="M24" s="14">
        <f t="shared" si="2"/>
        <v>1398190</v>
      </c>
      <c r="N24" s="14">
        <f t="shared" si="4"/>
        <v>34</v>
      </c>
      <c r="O24" s="15">
        <f t="shared" si="5"/>
        <v>534140</v>
      </c>
    </row>
    <row r="25" spans="2:15" x14ac:dyDescent="0.3">
      <c r="G25" s="1" t="s">
        <v>68</v>
      </c>
      <c r="H25" s="14">
        <f>[1]원가측정!$S24</f>
        <v>21993</v>
      </c>
      <c r="I25" s="13">
        <v>1</v>
      </c>
      <c r="J25" s="13">
        <v>2</v>
      </c>
      <c r="K25" s="13">
        <v>1</v>
      </c>
      <c r="L25" s="13">
        <v>6</v>
      </c>
      <c r="M25" s="14">
        <f t="shared" si="2"/>
        <v>131958</v>
      </c>
      <c r="N25" s="14">
        <f t="shared" si="4"/>
        <v>4</v>
      </c>
      <c r="O25" s="15">
        <f t="shared" si="5"/>
        <v>87972</v>
      </c>
    </row>
    <row r="26" spans="2:15" x14ac:dyDescent="0.3">
      <c r="G26" s="1" t="s">
        <v>71</v>
      </c>
      <c r="H26" s="14">
        <v>9000</v>
      </c>
      <c r="I26" s="13">
        <v>23</v>
      </c>
      <c r="J26" s="13">
        <v>12</v>
      </c>
      <c r="K26" s="13">
        <v>1</v>
      </c>
      <c r="L26" s="13">
        <v>40</v>
      </c>
      <c r="M26" s="14">
        <f t="shared" si="2"/>
        <v>360000</v>
      </c>
      <c r="N26" s="14">
        <f t="shared" si="4"/>
        <v>36</v>
      </c>
      <c r="O26" s="15">
        <f t="shared" si="5"/>
        <v>324000</v>
      </c>
    </row>
    <row r="27" spans="2:15" x14ac:dyDescent="0.3">
      <c r="G27" s="1" t="s">
        <v>72</v>
      </c>
      <c r="H27" s="14">
        <v>16000</v>
      </c>
      <c r="I27" s="13">
        <v>15</v>
      </c>
      <c r="J27" s="13">
        <v>36</v>
      </c>
      <c r="K27" s="13">
        <v>26</v>
      </c>
      <c r="L27" s="13">
        <v>94</v>
      </c>
      <c r="M27" s="14">
        <f t="shared" si="2"/>
        <v>1504000</v>
      </c>
      <c r="N27" s="14">
        <f t="shared" si="4"/>
        <v>77</v>
      </c>
      <c r="O27" s="15">
        <f t="shared" si="5"/>
        <v>1232000</v>
      </c>
    </row>
    <row r="28" spans="2:15" x14ac:dyDescent="0.3">
      <c r="G28" s="63" t="s">
        <v>79</v>
      </c>
      <c r="H28" s="63"/>
      <c r="I28" s="63"/>
      <c r="J28" s="63"/>
      <c r="K28" s="63"/>
      <c r="L28" s="63"/>
      <c r="M28" s="24">
        <f>SUM(M7:M27)</f>
        <v>128001715.91000001</v>
      </c>
      <c r="N28" s="23"/>
      <c r="O28" s="15">
        <f>SUM(O7:O27)</f>
        <v>91244752</v>
      </c>
    </row>
  </sheetData>
  <mergeCells count="26">
    <mergeCell ref="G28:L28"/>
    <mergeCell ref="Q5:T5"/>
    <mergeCell ref="U5:V5"/>
    <mergeCell ref="G5:O5"/>
    <mergeCell ref="B6:D6"/>
    <mergeCell ref="D21:E21"/>
    <mergeCell ref="B21:C21"/>
    <mergeCell ref="D8:E8"/>
    <mergeCell ref="D9:E9"/>
    <mergeCell ref="D10:E10"/>
    <mergeCell ref="B3:E3"/>
    <mergeCell ref="D16:E16"/>
    <mergeCell ref="D18:E18"/>
    <mergeCell ref="D19:E19"/>
    <mergeCell ref="D20:E20"/>
    <mergeCell ref="B18:C18"/>
    <mergeCell ref="B19:C19"/>
    <mergeCell ref="B20:C20"/>
    <mergeCell ref="D11:E11"/>
    <mergeCell ref="D12:E12"/>
    <mergeCell ref="D13:E13"/>
    <mergeCell ref="D14:E14"/>
    <mergeCell ref="D15:E15"/>
    <mergeCell ref="D17:E17"/>
    <mergeCell ref="B7:C7"/>
    <mergeCell ref="D7:E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2" workbookViewId="0">
      <selection activeCell="D36" sqref="D35:D36"/>
    </sheetView>
  </sheetViews>
  <sheetFormatPr defaultRowHeight="16.5" x14ac:dyDescent="0.3"/>
  <cols>
    <col min="1" max="1" width="4.625" customWidth="1"/>
    <col min="2" max="2" width="17.25" customWidth="1"/>
    <col min="3" max="3" width="12.125" style="21" bestFit="1" customWidth="1"/>
    <col min="4" max="11" width="11" bestFit="1" customWidth="1"/>
    <col min="12" max="13" width="10.5" bestFit="1" customWidth="1"/>
  </cols>
  <sheetData>
    <row r="2" spans="2:13" x14ac:dyDescent="0.3">
      <c r="B2" s="20" t="s">
        <v>94</v>
      </c>
    </row>
    <row r="4" spans="2:13" x14ac:dyDescent="0.3">
      <c r="B4" t="s">
        <v>95</v>
      </c>
      <c r="C4" s="21">
        <f>비용!R10</f>
        <v>152767315</v>
      </c>
    </row>
    <row r="5" spans="2:13" x14ac:dyDescent="0.3">
      <c r="B5" t="s">
        <v>96</v>
      </c>
      <c r="C5" s="21">
        <f>비용!$D8*10000</f>
        <v>300000</v>
      </c>
    </row>
    <row r="6" spans="2:13" x14ac:dyDescent="0.3">
      <c r="B6" t="s">
        <v>97</v>
      </c>
      <c r="C6" s="21">
        <f>비용!$D17*10000</f>
        <v>128001715.91</v>
      </c>
    </row>
    <row r="7" spans="2:13" x14ac:dyDescent="0.3">
      <c r="B7" t="s">
        <v>98</v>
      </c>
      <c r="C7" s="21">
        <f>C4-C6-C5</f>
        <v>24465599.090000004</v>
      </c>
    </row>
    <row r="9" spans="2:13" x14ac:dyDescent="0.3">
      <c r="B9" s="20" t="s">
        <v>99</v>
      </c>
      <c r="L9">
        <v>30000000</v>
      </c>
      <c r="M9">
        <v>33610000</v>
      </c>
    </row>
    <row r="10" spans="2:13" x14ac:dyDescent="0.3">
      <c r="L10">
        <v>152767315</v>
      </c>
      <c r="M10">
        <v>152767315</v>
      </c>
    </row>
    <row r="11" spans="2:13" x14ac:dyDescent="0.3">
      <c r="B11" t="s">
        <v>100</v>
      </c>
      <c r="C11" s="21">
        <f>C7</f>
        <v>24465599.090000004</v>
      </c>
      <c r="L11">
        <f>L9/L10</f>
        <v>0.19637708498051432</v>
      </c>
      <c r="M11">
        <f>M9/M10</f>
        <v>0.22000779420650288</v>
      </c>
    </row>
    <row r="12" spans="2:13" x14ac:dyDescent="0.3">
      <c r="B12" t="s">
        <v>101</v>
      </c>
      <c r="C12" s="21">
        <f>C4</f>
        <v>152767315</v>
      </c>
    </row>
    <row r="13" spans="2:13" x14ac:dyDescent="0.3">
      <c r="B13" t="s">
        <v>102</v>
      </c>
      <c r="C13" s="22">
        <f>C11/C12</f>
        <v>0.16014943438653748</v>
      </c>
      <c r="D13">
        <v>0.17</v>
      </c>
      <c r="E13">
        <v>0.18</v>
      </c>
      <c r="F13">
        <v>0.19</v>
      </c>
      <c r="G13">
        <v>0.2</v>
      </c>
      <c r="H13">
        <v>0.21</v>
      </c>
      <c r="I13">
        <v>0.22</v>
      </c>
      <c r="J13">
        <v>0.23</v>
      </c>
      <c r="K13">
        <v>0.24</v>
      </c>
    </row>
    <row r="15" spans="2:13" x14ac:dyDescent="0.3">
      <c r="B15" s="20" t="s">
        <v>104</v>
      </c>
    </row>
    <row r="17" spans="2:11" x14ac:dyDescent="0.3">
      <c r="B17" t="s">
        <v>105</v>
      </c>
      <c r="C17" s="21">
        <v>0</v>
      </c>
    </row>
    <row r="18" spans="2:11" x14ac:dyDescent="0.3">
      <c r="B18" t="s">
        <v>106</v>
      </c>
      <c r="C18" s="21">
        <f>비용!$D10*10000</f>
        <v>8000000</v>
      </c>
    </row>
    <row r="19" spans="2:11" x14ac:dyDescent="0.3">
      <c r="B19" t="s">
        <v>107</v>
      </c>
      <c r="C19" s="21">
        <f>비용!$D11*10000</f>
        <v>2400000</v>
      </c>
    </row>
    <row r="20" spans="2:11" x14ac:dyDescent="0.3">
      <c r="B20" t="s">
        <v>108</v>
      </c>
      <c r="C20" s="21">
        <f>비용!$D12*10000</f>
        <v>400000</v>
      </c>
    </row>
    <row r="21" spans="2:11" x14ac:dyDescent="0.3">
      <c r="B21" t="s">
        <v>109</v>
      </c>
      <c r="C21" s="21">
        <f>비용!$D13*10000</f>
        <v>90000</v>
      </c>
    </row>
    <row r="22" spans="2:11" x14ac:dyDescent="0.3">
      <c r="B22" t="s">
        <v>110</v>
      </c>
      <c r="C22" s="21">
        <f>비용!$D14*10000</f>
        <v>40000</v>
      </c>
    </row>
    <row r="23" spans="2:11" x14ac:dyDescent="0.3">
      <c r="B23" t="s">
        <v>111</v>
      </c>
      <c r="C23" s="21">
        <f>비용!$D15*10000</f>
        <v>400000</v>
      </c>
    </row>
    <row r="24" spans="2:11" x14ac:dyDescent="0.3">
      <c r="B24" t="s">
        <v>112</v>
      </c>
      <c r="C24" s="21">
        <f>비용!$D16*10000</f>
        <v>500000</v>
      </c>
    </row>
    <row r="25" spans="2:11" x14ac:dyDescent="0.3">
      <c r="B25" t="s">
        <v>113</v>
      </c>
      <c r="C25" s="21">
        <f>SUM(C17:C24)</f>
        <v>11830000</v>
      </c>
    </row>
    <row r="26" spans="2:11" x14ac:dyDescent="0.3">
      <c r="B26" t="s">
        <v>103</v>
      </c>
      <c r="C26" s="21">
        <f>$C$25/C13</f>
        <v>73868509.403830007</v>
      </c>
      <c r="D26" s="21">
        <f>$C$25/D13</f>
        <v>69588235.294117644</v>
      </c>
      <c r="E26" s="21">
        <f>$C$25/E13</f>
        <v>65722222.222222224</v>
      </c>
      <c r="F26" s="21">
        <f t="shared" ref="F26:K26" si="0">$C$25/F13</f>
        <v>62263157.894736841</v>
      </c>
      <c r="G26" s="21">
        <f t="shared" si="0"/>
        <v>59150000</v>
      </c>
      <c r="H26" s="21">
        <f t="shared" si="0"/>
        <v>56333333.333333336</v>
      </c>
      <c r="I26" s="21">
        <f t="shared" si="0"/>
        <v>53772727.272727273</v>
      </c>
      <c r="J26" s="21">
        <f t="shared" si="0"/>
        <v>51434782.608695649</v>
      </c>
      <c r="K26" s="21">
        <f t="shared" si="0"/>
        <v>49291666.666666672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U10" sqref="U10"/>
    </sheetView>
  </sheetViews>
  <sheetFormatPr defaultRowHeight="16.5" x14ac:dyDescent="0.3"/>
  <cols>
    <col min="1" max="1" width="3.375" customWidth="1"/>
    <col min="2" max="2" width="7.875" bestFit="1" customWidth="1"/>
    <col min="3" max="3" width="7.625" bestFit="1" customWidth="1"/>
    <col min="4" max="4" width="7.625" customWidth="1"/>
    <col min="5" max="11" width="6.75" style="35" bestFit="1" customWidth="1"/>
    <col min="12" max="13" width="6.75" style="35" customWidth="1"/>
    <col min="14" max="14" width="6" bestFit="1" customWidth="1"/>
    <col min="15" max="15" width="6" customWidth="1"/>
    <col min="16" max="16" width="7.25" bestFit="1" customWidth="1"/>
    <col min="17" max="17" width="7.25" customWidth="1"/>
    <col min="18" max="18" width="4.125" customWidth="1"/>
    <col min="19" max="19" width="4.875" customWidth="1"/>
    <col min="20" max="20" width="7.5" style="21" bestFit="1" customWidth="1"/>
    <col min="21" max="21" width="13.625" style="21" bestFit="1" customWidth="1"/>
    <col min="22" max="22" width="11" style="21" bestFit="1" customWidth="1"/>
  </cols>
  <sheetData>
    <row r="1" spans="1:22" x14ac:dyDescent="0.3">
      <c r="A1" s="26"/>
      <c r="B1" s="26"/>
      <c r="C1" s="26"/>
      <c r="D1" s="26"/>
      <c r="E1" s="33"/>
      <c r="F1" s="33"/>
      <c r="G1" s="33"/>
      <c r="H1" s="33"/>
      <c r="I1" s="33"/>
      <c r="J1" s="33"/>
      <c r="K1" s="33"/>
      <c r="L1" s="33"/>
      <c r="M1" s="33"/>
      <c r="N1" s="26"/>
      <c r="O1" s="26"/>
      <c r="P1" s="26"/>
      <c r="Q1" s="26"/>
      <c r="R1" s="26"/>
    </row>
    <row r="2" spans="1:22" ht="19.5" x14ac:dyDescent="0.3">
      <c r="A2" s="27"/>
      <c r="B2" s="73" t="s">
        <v>135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26"/>
      <c r="T2" s="44" t="s">
        <v>139</v>
      </c>
      <c r="U2" s="45" t="s">
        <v>137</v>
      </c>
      <c r="V2" s="46" t="s">
        <v>138</v>
      </c>
    </row>
    <row r="3" spans="1:22" ht="19.5" customHeight="1" x14ac:dyDescent="0.3">
      <c r="A3" s="27"/>
      <c r="B3" s="76" t="s">
        <v>123</v>
      </c>
      <c r="C3" s="77" t="s">
        <v>124</v>
      </c>
      <c r="D3" s="47" t="s">
        <v>146</v>
      </c>
      <c r="E3" s="80" t="s">
        <v>136</v>
      </c>
      <c r="F3" s="81"/>
      <c r="G3" s="81"/>
      <c r="H3" s="81"/>
      <c r="I3" s="81"/>
      <c r="J3" s="81"/>
      <c r="K3" s="82"/>
      <c r="L3" s="48" t="s">
        <v>148</v>
      </c>
      <c r="M3" s="71" t="s">
        <v>142</v>
      </c>
      <c r="N3" s="78" t="s">
        <v>143</v>
      </c>
      <c r="O3" s="71" t="s">
        <v>144</v>
      </c>
      <c r="P3" s="71" t="s">
        <v>145</v>
      </c>
      <c r="Q3" s="50" t="s">
        <v>150</v>
      </c>
      <c r="R3" s="26"/>
      <c r="T3" s="38"/>
      <c r="U3" s="39" t="s">
        <v>140</v>
      </c>
      <c r="V3" s="40" t="s">
        <v>141</v>
      </c>
    </row>
    <row r="4" spans="1:22" x14ac:dyDescent="0.3">
      <c r="A4" s="28"/>
      <c r="B4" s="76"/>
      <c r="C4" s="77"/>
      <c r="D4" s="32" t="s">
        <v>147</v>
      </c>
      <c r="E4" s="34">
        <v>0.16</v>
      </c>
      <c r="F4" s="34">
        <v>0.17</v>
      </c>
      <c r="G4" s="34">
        <v>0.18</v>
      </c>
      <c r="H4" s="34">
        <v>0.19</v>
      </c>
      <c r="I4" s="34">
        <v>0.2</v>
      </c>
      <c r="J4" s="34">
        <v>0.21</v>
      </c>
      <c r="K4" s="34">
        <v>0.22</v>
      </c>
      <c r="L4" s="49" t="s">
        <v>149</v>
      </c>
      <c r="M4" s="72"/>
      <c r="N4" s="79"/>
      <c r="O4" s="72"/>
      <c r="P4" s="72"/>
      <c r="Q4" s="34" t="s">
        <v>151</v>
      </c>
      <c r="R4" s="28"/>
      <c r="T4" s="41">
        <v>10000</v>
      </c>
      <c r="U4" s="42">
        <f>T4/11*10</f>
        <v>9090.9090909090919</v>
      </c>
      <c r="V4" s="43">
        <f>T4/11</f>
        <v>909.09090909090912</v>
      </c>
    </row>
    <row r="5" spans="1:22" x14ac:dyDescent="0.3">
      <c r="A5" s="26"/>
      <c r="B5" s="29" t="s">
        <v>125</v>
      </c>
      <c r="C5" s="36">
        <v>1968</v>
      </c>
      <c r="D5" s="37">
        <v>2300</v>
      </c>
      <c r="E5" s="36">
        <f>$C5/(1-E$4)</f>
        <v>2342.8571428571431</v>
      </c>
      <c r="F5" s="36">
        <f t="shared" ref="F5:K20" si="0">$C5/(1-F$4)</f>
        <v>2371.0843373493976</v>
      </c>
      <c r="G5" s="37">
        <f t="shared" si="0"/>
        <v>2400</v>
      </c>
      <c r="H5" s="36">
        <f t="shared" si="0"/>
        <v>2429.6296296296296</v>
      </c>
      <c r="I5" s="36">
        <f t="shared" si="0"/>
        <v>2460</v>
      </c>
      <c r="J5" s="36">
        <f t="shared" si="0"/>
        <v>2491.1392405063289</v>
      </c>
      <c r="K5" s="36">
        <f t="shared" si="0"/>
        <v>2523.0769230769229</v>
      </c>
      <c r="L5" s="37">
        <v>2400</v>
      </c>
      <c r="M5" s="36">
        <f>D5/10-$C5/10</f>
        <v>33.199999999999989</v>
      </c>
      <c r="N5" s="36">
        <f>L5/10-$C5/10</f>
        <v>43.199999999999989</v>
      </c>
      <c r="O5" s="30">
        <f>D5-C5-M5</f>
        <v>298.8</v>
      </c>
      <c r="P5" s="30">
        <f>L5-C5-N5</f>
        <v>388.8</v>
      </c>
      <c r="Q5" s="31">
        <f>P5-O5</f>
        <v>90</v>
      </c>
      <c r="R5" s="26"/>
    </row>
    <row r="6" spans="1:22" x14ac:dyDescent="0.3">
      <c r="A6" s="26"/>
      <c r="B6" s="29" t="s">
        <v>126</v>
      </c>
      <c r="C6" s="36">
        <f>C5*10</f>
        <v>19680</v>
      </c>
      <c r="D6" s="37">
        <v>23000</v>
      </c>
      <c r="E6" s="36">
        <f>$C6/(1-E$4)</f>
        <v>23428.571428571431</v>
      </c>
      <c r="F6" s="36">
        <f t="shared" si="0"/>
        <v>23710.843373493975</v>
      </c>
      <c r="G6" s="37">
        <f t="shared" si="0"/>
        <v>24000</v>
      </c>
      <c r="H6" s="36">
        <f t="shared" si="0"/>
        <v>24296.296296296296</v>
      </c>
      <c r="I6" s="36">
        <f t="shared" si="0"/>
        <v>24600</v>
      </c>
      <c r="J6" s="36">
        <f t="shared" si="0"/>
        <v>24911.392405063289</v>
      </c>
      <c r="K6" s="36">
        <f t="shared" si="0"/>
        <v>25230.76923076923</v>
      </c>
      <c r="L6" s="37">
        <v>24000</v>
      </c>
      <c r="M6" s="36">
        <f t="shared" ref="M6:M24" si="1">D6/10-C6/10</f>
        <v>332</v>
      </c>
      <c r="N6" s="36">
        <f t="shared" ref="N6:N24" si="2">L6/10-$C6/10</f>
        <v>432</v>
      </c>
      <c r="O6" s="30">
        <f t="shared" ref="O6:O24" si="3">D6-C6-M6</f>
        <v>2988</v>
      </c>
      <c r="P6" s="30">
        <f t="shared" ref="P6:P24" si="4">L6-C6-N6</f>
        <v>3888</v>
      </c>
      <c r="Q6" s="31">
        <f t="shared" ref="Q6:Q24" si="5">P6-O6</f>
        <v>900</v>
      </c>
      <c r="R6" s="26"/>
    </row>
    <row r="7" spans="1:22" x14ac:dyDescent="0.3">
      <c r="A7" s="26"/>
      <c r="B7" s="29" t="s">
        <v>127</v>
      </c>
      <c r="C7" s="36">
        <v>1998</v>
      </c>
      <c r="D7" s="37">
        <v>2350</v>
      </c>
      <c r="E7" s="36">
        <f t="shared" ref="E7:K24" si="6">$C7/(1-E$4)</f>
        <v>2378.5714285714284</v>
      </c>
      <c r="F7" s="36">
        <f t="shared" si="0"/>
        <v>2407.2289156626507</v>
      </c>
      <c r="G7" s="36">
        <f t="shared" si="0"/>
        <v>2436.5853658536585</v>
      </c>
      <c r="H7" s="37">
        <f t="shared" si="0"/>
        <v>2466.6666666666665</v>
      </c>
      <c r="I7" s="36">
        <f t="shared" si="0"/>
        <v>2497.5</v>
      </c>
      <c r="J7" s="36">
        <f t="shared" si="0"/>
        <v>2529.1139240506327</v>
      </c>
      <c r="K7" s="36">
        <f t="shared" si="0"/>
        <v>2561.5384615384614</v>
      </c>
      <c r="L7" s="37">
        <v>2450</v>
      </c>
      <c r="M7" s="36">
        <f t="shared" si="1"/>
        <v>35.199999999999989</v>
      </c>
      <c r="N7" s="36">
        <f t="shared" si="2"/>
        <v>45.199999999999989</v>
      </c>
      <c r="O7" s="30">
        <f t="shared" si="3"/>
        <v>316.8</v>
      </c>
      <c r="P7" s="30">
        <f t="shared" si="4"/>
        <v>406.8</v>
      </c>
      <c r="Q7" s="31">
        <f t="shared" si="5"/>
        <v>90</v>
      </c>
      <c r="R7" s="26"/>
    </row>
    <row r="8" spans="1:22" x14ac:dyDescent="0.3">
      <c r="A8" s="26"/>
      <c r="B8" s="29" t="s">
        <v>127</v>
      </c>
      <c r="C8" s="36">
        <f>C7*10</f>
        <v>19980</v>
      </c>
      <c r="D8" s="37">
        <v>23500</v>
      </c>
      <c r="E8" s="36">
        <f t="shared" si="6"/>
        <v>23785.714285714286</v>
      </c>
      <c r="F8" s="36">
        <f t="shared" si="0"/>
        <v>24072.289156626506</v>
      </c>
      <c r="G8" s="36">
        <f t="shared" si="0"/>
        <v>24365.853658536584</v>
      </c>
      <c r="H8" s="37">
        <f t="shared" si="0"/>
        <v>24666.666666666664</v>
      </c>
      <c r="I8" s="36">
        <f t="shared" si="0"/>
        <v>24975</v>
      </c>
      <c r="J8" s="36">
        <f t="shared" si="0"/>
        <v>25291.139240506327</v>
      </c>
      <c r="K8" s="36">
        <f t="shared" si="0"/>
        <v>25615.384615384613</v>
      </c>
      <c r="L8" s="37">
        <v>24500</v>
      </c>
      <c r="M8" s="36">
        <f t="shared" si="1"/>
        <v>352</v>
      </c>
      <c r="N8" s="36">
        <f t="shared" si="2"/>
        <v>452</v>
      </c>
      <c r="O8" s="30">
        <f t="shared" si="3"/>
        <v>3168</v>
      </c>
      <c r="P8" s="30">
        <f t="shared" si="4"/>
        <v>4068</v>
      </c>
      <c r="Q8" s="31">
        <f t="shared" si="5"/>
        <v>900</v>
      </c>
      <c r="R8" s="26"/>
    </row>
    <row r="9" spans="1:22" x14ac:dyDescent="0.3">
      <c r="A9" s="26"/>
      <c r="B9" s="29" t="s">
        <v>125</v>
      </c>
      <c r="C9" s="36">
        <v>17046</v>
      </c>
      <c r="D9" s="37">
        <v>19700</v>
      </c>
      <c r="E9" s="36">
        <f t="shared" si="6"/>
        <v>20292.857142857145</v>
      </c>
      <c r="F9" s="36">
        <f t="shared" si="0"/>
        <v>20537.349397590362</v>
      </c>
      <c r="G9" s="36">
        <f t="shared" si="0"/>
        <v>20787.804878048781</v>
      </c>
      <c r="H9" s="37">
        <f t="shared" si="0"/>
        <v>21044.444444444442</v>
      </c>
      <c r="I9" s="36">
        <f t="shared" si="0"/>
        <v>21307.5</v>
      </c>
      <c r="J9" s="36">
        <f t="shared" si="0"/>
        <v>21577.215189873416</v>
      </c>
      <c r="K9" s="36">
        <f t="shared" si="0"/>
        <v>21853.846153846152</v>
      </c>
      <c r="L9" s="37">
        <v>21000</v>
      </c>
      <c r="M9" s="36">
        <f t="shared" si="1"/>
        <v>265.40000000000009</v>
      </c>
      <c r="N9" s="36">
        <f t="shared" si="2"/>
        <v>395.40000000000009</v>
      </c>
      <c r="O9" s="30">
        <f t="shared" si="3"/>
        <v>2388.6</v>
      </c>
      <c r="P9" s="30">
        <f t="shared" si="4"/>
        <v>3558.6</v>
      </c>
      <c r="Q9" s="31">
        <f t="shared" si="5"/>
        <v>1170</v>
      </c>
      <c r="R9" s="26"/>
    </row>
    <row r="10" spans="1:22" x14ac:dyDescent="0.3">
      <c r="A10" s="26"/>
      <c r="B10" s="29" t="s">
        <v>128</v>
      </c>
      <c r="C10" s="36">
        <v>12248</v>
      </c>
      <c r="D10" s="37">
        <v>14500</v>
      </c>
      <c r="E10" s="36">
        <f t="shared" si="6"/>
        <v>14580.952380952382</v>
      </c>
      <c r="F10" s="36">
        <f t="shared" si="0"/>
        <v>14756.626506024097</v>
      </c>
      <c r="G10" s="37">
        <f t="shared" si="0"/>
        <v>14936.585365853658</v>
      </c>
      <c r="H10" s="36">
        <f t="shared" si="0"/>
        <v>15120.987654320987</v>
      </c>
      <c r="I10" s="36">
        <f t="shared" si="0"/>
        <v>15310</v>
      </c>
      <c r="J10" s="36">
        <f t="shared" si="0"/>
        <v>15503.797468354429</v>
      </c>
      <c r="K10" s="36">
        <f t="shared" si="0"/>
        <v>15702.564102564102</v>
      </c>
      <c r="L10" s="37">
        <v>15000</v>
      </c>
      <c r="M10" s="36">
        <f t="shared" si="1"/>
        <v>225.20000000000005</v>
      </c>
      <c r="N10" s="36">
        <f t="shared" si="2"/>
        <v>275.20000000000005</v>
      </c>
      <c r="O10" s="30">
        <f t="shared" si="3"/>
        <v>2026.8</v>
      </c>
      <c r="P10" s="30">
        <f t="shared" si="4"/>
        <v>2476.8000000000002</v>
      </c>
      <c r="Q10" s="31">
        <f t="shared" si="5"/>
        <v>450.00000000000023</v>
      </c>
      <c r="R10" s="26"/>
    </row>
    <row r="11" spans="1:22" x14ac:dyDescent="0.3">
      <c r="A11" s="26"/>
      <c r="B11" s="29" t="s">
        <v>129</v>
      </c>
      <c r="C11" s="36">
        <v>14190</v>
      </c>
      <c r="D11" s="37">
        <v>17500</v>
      </c>
      <c r="E11" s="36">
        <f t="shared" si="6"/>
        <v>16892.857142857145</v>
      </c>
      <c r="F11" s="36">
        <f t="shared" si="0"/>
        <v>17096.385542168675</v>
      </c>
      <c r="G11" s="36">
        <f t="shared" si="0"/>
        <v>17304.878048780487</v>
      </c>
      <c r="H11" s="36">
        <f t="shared" si="0"/>
        <v>17518.518518518518</v>
      </c>
      <c r="I11" s="37">
        <f t="shared" si="0"/>
        <v>17737.5</v>
      </c>
      <c r="J11" s="36">
        <f t="shared" si="0"/>
        <v>17962.025316455696</v>
      </c>
      <c r="K11" s="36">
        <f t="shared" si="0"/>
        <v>18192.307692307691</v>
      </c>
      <c r="L11" s="37">
        <v>18000</v>
      </c>
      <c r="M11" s="36">
        <f t="shared" si="1"/>
        <v>331</v>
      </c>
      <c r="N11" s="36">
        <f t="shared" si="2"/>
        <v>381</v>
      </c>
      <c r="O11" s="30">
        <f t="shared" si="3"/>
        <v>2979</v>
      </c>
      <c r="P11" s="30">
        <f t="shared" si="4"/>
        <v>3429</v>
      </c>
      <c r="Q11" s="31">
        <f t="shared" si="5"/>
        <v>450</v>
      </c>
      <c r="R11" s="26"/>
    </row>
    <row r="12" spans="1:22" x14ac:dyDescent="0.3">
      <c r="A12" s="26"/>
      <c r="B12" s="29" t="s">
        <v>130</v>
      </c>
      <c r="C12" s="36">
        <v>16044</v>
      </c>
      <c r="D12" s="37">
        <v>19000</v>
      </c>
      <c r="E12" s="36">
        <f t="shared" si="6"/>
        <v>19100</v>
      </c>
      <c r="F12" s="36">
        <f t="shared" si="0"/>
        <v>19330.120481927712</v>
      </c>
      <c r="G12" s="36">
        <f t="shared" si="0"/>
        <v>19565.853658536584</v>
      </c>
      <c r="H12" s="36">
        <f t="shared" si="0"/>
        <v>19807.407407407405</v>
      </c>
      <c r="I12" s="37">
        <f t="shared" si="0"/>
        <v>20055</v>
      </c>
      <c r="J12" s="36">
        <f t="shared" si="0"/>
        <v>20308.860759493669</v>
      </c>
      <c r="K12" s="36">
        <f t="shared" si="0"/>
        <v>20569.23076923077</v>
      </c>
      <c r="L12" s="37">
        <v>20000</v>
      </c>
      <c r="M12" s="36">
        <f t="shared" si="1"/>
        <v>295.59999999999991</v>
      </c>
      <c r="N12" s="36">
        <f t="shared" si="2"/>
        <v>395.59999999999991</v>
      </c>
      <c r="O12" s="30">
        <f t="shared" si="3"/>
        <v>2660.4</v>
      </c>
      <c r="P12" s="30">
        <f t="shared" si="4"/>
        <v>3560.4</v>
      </c>
      <c r="Q12" s="31">
        <f t="shared" si="5"/>
        <v>900</v>
      </c>
      <c r="R12" s="26"/>
    </row>
    <row r="13" spans="1:22" x14ac:dyDescent="0.3">
      <c r="A13" s="26"/>
      <c r="B13" s="29" t="s">
        <v>131</v>
      </c>
      <c r="C13" s="36">
        <v>16519</v>
      </c>
      <c r="D13" s="37">
        <v>19500</v>
      </c>
      <c r="E13" s="36">
        <f t="shared" si="6"/>
        <v>19665.476190476191</v>
      </c>
      <c r="F13" s="36">
        <f t="shared" si="0"/>
        <v>19902.409638554218</v>
      </c>
      <c r="G13" s="36">
        <f t="shared" si="0"/>
        <v>20145.121951219509</v>
      </c>
      <c r="H13" s="36">
        <f t="shared" si="0"/>
        <v>20393.827160493827</v>
      </c>
      <c r="I13" s="37">
        <f t="shared" si="0"/>
        <v>20648.75</v>
      </c>
      <c r="J13" s="36">
        <f t="shared" si="0"/>
        <v>20910.126582278481</v>
      </c>
      <c r="K13" s="36">
        <f t="shared" si="0"/>
        <v>21178.205128205129</v>
      </c>
      <c r="L13" s="37">
        <v>20500</v>
      </c>
      <c r="M13" s="36">
        <f t="shared" si="1"/>
        <v>298.09999999999991</v>
      </c>
      <c r="N13" s="36">
        <f t="shared" si="2"/>
        <v>398.09999999999991</v>
      </c>
      <c r="O13" s="30">
        <f t="shared" si="3"/>
        <v>2682.9</v>
      </c>
      <c r="P13" s="30">
        <f t="shared" si="4"/>
        <v>3582.9</v>
      </c>
      <c r="Q13" s="31">
        <f t="shared" si="5"/>
        <v>900</v>
      </c>
      <c r="R13" s="26"/>
    </row>
    <row r="14" spans="1:22" x14ac:dyDescent="0.3">
      <c r="A14" s="26"/>
      <c r="B14" s="29" t="s">
        <v>132</v>
      </c>
      <c r="C14" s="36">
        <v>16906</v>
      </c>
      <c r="D14" s="37">
        <v>21000</v>
      </c>
      <c r="E14" s="36">
        <f t="shared" si="6"/>
        <v>20126.190476190477</v>
      </c>
      <c r="F14" s="36">
        <f t="shared" si="0"/>
        <v>20368.674698795181</v>
      </c>
      <c r="G14" s="36">
        <f t="shared" si="0"/>
        <v>20617.073170731706</v>
      </c>
      <c r="H14" s="36">
        <f t="shared" si="0"/>
        <v>20871.604938271605</v>
      </c>
      <c r="I14" s="37">
        <f t="shared" si="0"/>
        <v>21132.5</v>
      </c>
      <c r="J14" s="36">
        <f t="shared" si="0"/>
        <v>21400</v>
      </c>
      <c r="K14" s="36">
        <f t="shared" si="0"/>
        <v>21674.358974358973</v>
      </c>
      <c r="L14" s="37">
        <v>21500</v>
      </c>
      <c r="M14" s="36">
        <f t="shared" si="1"/>
        <v>409.40000000000009</v>
      </c>
      <c r="N14" s="36">
        <f t="shared" si="2"/>
        <v>459.40000000000009</v>
      </c>
      <c r="O14" s="30">
        <f t="shared" si="3"/>
        <v>3684.6</v>
      </c>
      <c r="P14" s="30">
        <f t="shared" si="4"/>
        <v>4134.6000000000004</v>
      </c>
      <c r="Q14" s="31">
        <f t="shared" si="5"/>
        <v>450.00000000000045</v>
      </c>
      <c r="R14" s="26"/>
    </row>
    <row r="15" spans="1:22" x14ac:dyDescent="0.3">
      <c r="A15" s="26"/>
      <c r="B15" s="29">
        <v>150</v>
      </c>
      <c r="C15" s="36">
        <v>11983</v>
      </c>
      <c r="D15" s="37">
        <v>14500</v>
      </c>
      <c r="E15" s="36">
        <f t="shared" si="6"/>
        <v>14265.476190476191</v>
      </c>
      <c r="F15" s="36">
        <f t="shared" si="0"/>
        <v>14437.349397590362</v>
      </c>
      <c r="G15" s="36">
        <f t="shared" si="0"/>
        <v>14613.41463414634</v>
      </c>
      <c r="H15" s="36">
        <f t="shared" si="0"/>
        <v>14793.827160493825</v>
      </c>
      <c r="I15" s="36">
        <f t="shared" si="0"/>
        <v>14978.75</v>
      </c>
      <c r="J15" s="37">
        <f t="shared" si="0"/>
        <v>15168.354430379746</v>
      </c>
      <c r="K15" s="36">
        <f t="shared" si="0"/>
        <v>15362.820512820512</v>
      </c>
      <c r="L15" s="37">
        <v>15000</v>
      </c>
      <c r="M15" s="36">
        <f t="shared" si="1"/>
        <v>251.70000000000005</v>
      </c>
      <c r="N15" s="36">
        <f t="shared" si="2"/>
        <v>301.70000000000005</v>
      </c>
      <c r="O15" s="30">
        <f t="shared" si="3"/>
        <v>2265.3000000000002</v>
      </c>
      <c r="P15" s="30">
        <f t="shared" si="4"/>
        <v>2715.3</v>
      </c>
      <c r="Q15" s="31">
        <f t="shared" si="5"/>
        <v>450</v>
      </c>
      <c r="R15" s="26"/>
    </row>
    <row r="16" spans="1:22" x14ac:dyDescent="0.3">
      <c r="A16" s="26"/>
      <c r="B16" s="29">
        <v>180</v>
      </c>
      <c r="C16" s="36">
        <v>13777</v>
      </c>
      <c r="D16" s="37">
        <v>17500</v>
      </c>
      <c r="E16" s="36">
        <f t="shared" si="6"/>
        <v>16401.190476190477</v>
      </c>
      <c r="F16" s="36">
        <f t="shared" si="0"/>
        <v>16598.795180722893</v>
      </c>
      <c r="G16" s="36">
        <f t="shared" si="0"/>
        <v>16801.219512195119</v>
      </c>
      <c r="H16" s="36">
        <f t="shared" si="0"/>
        <v>17008.641975308641</v>
      </c>
      <c r="I16" s="36">
        <f t="shared" si="0"/>
        <v>17221.25</v>
      </c>
      <c r="J16" s="37">
        <f t="shared" si="0"/>
        <v>17439.240506329112</v>
      </c>
      <c r="K16" s="36">
        <f t="shared" si="0"/>
        <v>17662.820512820512</v>
      </c>
      <c r="L16" s="37">
        <v>18000</v>
      </c>
      <c r="M16" s="36">
        <f t="shared" si="1"/>
        <v>372.29999999999995</v>
      </c>
      <c r="N16" s="36">
        <f t="shared" si="2"/>
        <v>422.29999999999995</v>
      </c>
      <c r="O16" s="30">
        <f t="shared" si="3"/>
        <v>3350.7</v>
      </c>
      <c r="P16" s="30">
        <f t="shared" si="4"/>
        <v>3800.7</v>
      </c>
      <c r="Q16" s="31">
        <f t="shared" si="5"/>
        <v>450</v>
      </c>
      <c r="R16" s="26"/>
    </row>
    <row r="17" spans="1:18" x14ac:dyDescent="0.3">
      <c r="A17" s="26"/>
      <c r="B17" s="29">
        <v>200</v>
      </c>
      <c r="C17" s="36">
        <v>14963</v>
      </c>
      <c r="D17" s="37">
        <v>18500</v>
      </c>
      <c r="E17" s="36">
        <f t="shared" si="6"/>
        <v>17813.09523809524</v>
      </c>
      <c r="F17" s="36">
        <f t="shared" si="0"/>
        <v>18027.710843373494</v>
      </c>
      <c r="G17" s="36">
        <f t="shared" si="0"/>
        <v>18247.560975609755</v>
      </c>
      <c r="H17" s="36">
        <f t="shared" si="0"/>
        <v>18472.839506172837</v>
      </c>
      <c r="I17" s="36">
        <f t="shared" si="0"/>
        <v>18703.75</v>
      </c>
      <c r="J17" s="37">
        <f t="shared" si="0"/>
        <v>18940.506329113923</v>
      </c>
      <c r="K17" s="36">
        <f t="shared" si="0"/>
        <v>19183.333333333332</v>
      </c>
      <c r="L17" s="37">
        <v>19000</v>
      </c>
      <c r="M17" s="36">
        <f t="shared" si="1"/>
        <v>353.70000000000005</v>
      </c>
      <c r="N17" s="36">
        <f t="shared" si="2"/>
        <v>403.70000000000005</v>
      </c>
      <c r="O17" s="30">
        <f t="shared" si="3"/>
        <v>3183.3</v>
      </c>
      <c r="P17" s="30">
        <f t="shared" si="4"/>
        <v>3633.3</v>
      </c>
      <c r="Q17" s="31">
        <f t="shared" si="5"/>
        <v>450</v>
      </c>
      <c r="R17" s="26"/>
    </row>
    <row r="18" spans="1:18" x14ac:dyDescent="0.3">
      <c r="A18" s="26"/>
      <c r="B18" s="29">
        <v>300</v>
      </c>
      <c r="C18" s="36">
        <v>21207</v>
      </c>
      <c r="D18" s="37">
        <v>26500</v>
      </c>
      <c r="E18" s="36">
        <f t="shared" si="6"/>
        <v>25246.428571428572</v>
      </c>
      <c r="F18" s="36">
        <f t="shared" si="0"/>
        <v>25550.602409638555</v>
      </c>
      <c r="G18" s="36">
        <f t="shared" si="0"/>
        <v>25862.195121951219</v>
      </c>
      <c r="H18" s="36">
        <f t="shared" si="0"/>
        <v>26181.481481481478</v>
      </c>
      <c r="I18" s="36">
        <f t="shared" si="0"/>
        <v>26508.75</v>
      </c>
      <c r="J18" s="37">
        <f t="shared" si="0"/>
        <v>26844.303797468354</v>
      </c>
      <c r="K18" s="36">
        <f t="shared" si="0"/>
        <v>27188.461538461539</v>
      </c>
      <c r="L18" s="37">
        <v>27000</v>
      </c>
      <c r="M18" s="36">
        <f t="shared" si="1"/>
        <v>529.30000000000018</v>
      </c>
      <c r="N18" s="36">
        <f t="shared" si="2"/>
        <v>579.30000000000018</v>
      </c>
      <c r="O18" s="30">
        <f t="shared" si="3"/>
        <v>4763.7</v>
      </c>
      <c r="P18" s="30">
        <f t="shared" si="4"/>
        <v>5213.7</v>
      </c>
      <c r="Q18" s="31">
        <f t="shared" si="5"/>
        <v>450</v>
      </c>
      <c r="R18" s="26"/>
    </row>
    <row r="19" spans="1:18" x14ac:dyDescent="0.3">
      <c r="A19" s="26"/>
      <c r="B19" s="29">
        <v>150</v>
      </c>
      <c r="C19" s="36">
        <v>12568</v>
      </c>
      <c r="D19" s="37">
        <v>15500</v>
      </c>
      <c r="E19" s="36">
        <f t="shared" si="6"/>
        <v>14961.904761904763</v>
      </c>
      <c r="F19" s="36">
        <f t="shared" si="0"/>
        <v>15142.168674698796</v>
      </c>
      <c r="G19" s="36">
        <f t="shared" si="0"/>
        <v>15326.829268292682</v>
      </c>
      <c r="H19" s="36">
        <f t="shared" si="0"/>
        <v>15516.049382716048</v>
      </c>
      <c r="I19" s="36">
        <f t="shared" si="0"/>
        <v>15710</v>
      </c>
      <c r="J19" s="37">
        <f t="shared" si="0"/>
        <v>15908.860759493669</v>
      </c>
      <c r="K19" s="36">
        <f t="shared" si="0"/>
        <v>16112.820512820512</v>
      </c>
      <c r="L19" s="37">
        <v>16000</v>
      </c>
      <c r="M19" s="36">
        <f t="shared" si="1"/>
        <v>293.20000000000005</v>
      </c>
      <c r="N19" s="36">
        <f t="shared" si="2"/>
        <v>343.20000000000005</v>
      </c>
      <c r="O19" s="30">
        <f t="shared" si="3"/>
        <v>2638.8</v>
      </c>
      <c r="P19" s="30">
        <f t="shared" si="4"/>
        <v>3088.8</v>
      </c>
      <c r="Q19" s="31">
        <f t="shared" si="5"/>
        <v>450</v>
      </c>
      <c r="R19" s="26"/>
    </row>
    <row r="20" spans="1:18" x14ac:dyDescent="0.3">
      <c r="A20" s="26"/>
      <c r="B20" s="29">
        <v>180</v>
      </c>
      <c r="C20" s="36">
        <v>14459</v>
      </c>
      <c r="D20" s="37">
        <v>18000</v>
      </c>
      <c r="E20" s="36">
        <f t="shared" si="6"/>
        <v>17213.09523809524</v>
      </c>
      <c r="F20" s="36">
        <f t="shared" si="0"/>
        <v>17420.481927710844</v>
      </c>
      <c r="G20" s="36">
        <f t="shared" si="0"/>
        <v>17632.92682926829</v>
      </c>
      <c r="H20" s="36">
        <f t="shared" si="0"/>
        <v>17850.617283950614</v>
      </c>
      <c r="I20" s="36">
        <f t="shared" si="0"/>
        <v>18073.75</v>
      </c>
      <c r="J20" s="37">
        <f t="shared" si="0"/>
        <v>18302.531645569619</v>
      </c>
      <c r="K20" s="36">
        <f t="shared" si="0"/>
        <v>18537.179487179488</v>
      </c>
      <c r="L20" s="37">
        <v>18600</v>
      </c>
      <c r="M20" s="36">
        <f t="shared" si="1"/>
        <v>354.09999999999991</v>
      </c>
      <c r="N20" s="36">
        <f t="shared" si="2"/>
        <v>414.09999999999991</v>
      </c>
      <c r="O20" s="30">
        <f t="shared" si="3"/>
        <v>3186.9</v>
      </c>
      <c r="P20" s="30">
        <f t="shared" si="4"/>
        <v>3726.9</v>
      </c>
      <c r="Q20" s="31">
        <f t="shared" si="5"/>
        <v>540</v>
      </c>
      <c r="R20" s="26"/>
    </row>
    <row r="21" spans="1:18" x14ac:dyDescent="0.3">
      <c r="A21" s="26"/>
      <c r="B21" s="29">
        <v>200</v>
      </c>
      <c r="C21" s="36">
        <v>15710</v>
      </c>
      <c r="D21" s="37">
        <v>20000</v>
      </c>
      <c r="E21" s="36">
        <f t="shared" si="6"/>
        <v>18702.380952380954</v>
      </c>
      <c r="F21" s="36">
        <f t="shared" si="6"/>
        <v>18927.710843373494</v>
      </c>
      <c r="G21" s="36">
        <f t="shared" si="6"/>
        <v>19158.536585365851</v>
      </c>
      <c r="H21" s="36">
        <f t="shared" si="6"/>
        <v>19395.06172839506</v>
      </c>
      <c r="I21" s="36">
        <f t="shared" si="6"/>
        <v>19637.5</v>
      </c>
      <c r="J21" s="37">
        <f t="shared" si="6"/>
        <v>19886.075949367088</v>
      </c>
      <c r="K21" s="36">
        <f t="shared" si="6"/>
        <v>20141.025641025641</v>
      </c>
      <c r="L21" s="37">
        <v>20000</v>
      </c>
      <c r="M21" s="36">
        <f t="shared" si="1"/>
        <v>429</v>
      </c>
      <c r="N21" s="36">
        <f t="shared" si="2"/>
        <v>429</v>
      </c>
      <c r="O21" s="30">
        <f t="shared" si="3"/>
        <v>3861</v>
      </c>
      <c r="P21" s="30">
        <f t="shared" si="4"/>
        <v>3861</v>
      </c>
      <c r="Q21" s="31">
        <f t="shared" si="5"/>
        <v>0</v>
      </c>
      <c r="R21" s="26"/>
    </row>
    <row r="22" spans="1:18" x14ac:dyDescent="0.3">
      <c r="A22" s="26"/>
      <c r="B22" s="29">
        <v>300</v>
      </c>
      <c r="C22" s="36">
        <v>21993</v>
      </c>
      <c r="D22" s="37">
        <v>27300</v>
      </c>
      <c r="E22" s="36">
        <f t="shared" si="6"/>
        <v>26182.142857142859</v>
      </c>
      <c r="F22" s="36">
        <f t="shared" si="6"/>
        <v>26497.590361445786</v>
      </c>
      <c r="G22" s="36">
        <f t="shared" si="6"/>
        <v>26820.731707317071</v>
      </c>
      <c r="H22" s="36">
        <f t="shared" si="6"/>
        <v>27151.85185185185</v>
      </c>
      <c r="I22" s="36">
        <f t="shared" si="6"/>
        <v>27491.25</v>
      </c>
      <c r="J22" s="37">
        <f t="shared" si="6"/>
        <v>27839.240506329112</v>
      </c>
      <c r="K22" s="36">
        <f t="shared" si="6"/>
        <v>28196.153846153844</v>
      </c>
      <c r="L22" s="37">
        <v>28000</v>
      </c>
      <c r="M22" s="36">
        <f t="shared" si="1"/>
        <v>530.69999999999982</v>
      </c>
      <c r="N22" s="36">
        <f t="shared" si="2"/>
        <v>600.69999999999982</v>
      </c>
      <c r="O22" s="30">
        <f t="shared" si="3"/>
        <v>4776.3</v>
      </c>
      <c r="P22" s="30">
        <f t="shared" si="4"/>
        <v>5406.3</v>
      </c>
      <c r="Q22" s="31">
        <f t="shared" si="5"/>
        <v>630</v>
      </c>
      <c r="R22" s="26"/>
    </row>
    <row r="23" spans="1:18" x14ac:dyDescent="0.3">
      <c r="A23" s="26"/>
      <c r="B23" s="29" t="s">
        <v>133</v>
      </c>
      <c r="C23" s="36">
        <v>9000</v>
      </c>
      <c r="D23" s="37">
        <v>11000</v>
      </c>
      <c r="E23" s="36">
        <f t="shared" si="6"/>
        <v>10714.285714285716</v>
      </c>
      <c r="F23" s="36">
        <f t="shared" si="6"/>
        <v>10843.373493975903</v>
      </c>
      <c r="G23" s="36">
        <f t="shared" si="6"/>
        <v>10975.60975609756</v>
      </c>
      <c r="H23" s="36">
        <f t="shared" si="6"/>
        <v>11111.111111111109</v>
      </c>
      <c r="I23" s="36">
        <f t="shared" si="6"/>
        <v>11250</v>
      </c>
      <c r="J23" s="36">
        <f t="shared" si="6"/>
        <v>11392.405063291139</v>
      </c>
      <c r="K23" s="37">
        <f t="shared" si="6"/>
        <v>11538.461538461537</v>
      </c>
      <c r="L23" s="37">
        <v>11500</v>
      </c>
      <c r="M23" s="36">
        <f t="shared" si="1"/>
        <v>200</v>
      </c>
      <c r="N23" s="36">
        <f t="shared" si="2"/>
        <v>250</v>
      </c>
      <c r="O23" s="30">
        <f t="shared" si="3"/>
        <v>1800</v>
      </c>
      <c r="P23" s="30">
        <f t="shared" si="4"/>
        <v>2250</v>
      </c>
      <c r="Q23" s="31">
        <f t="shared" si="5"/>
        <v>450</v>
      </c>
      <c r="R23" s="26"/>
    </row>
    <row r="24" spans="1:18" x14ac:dyDescent="0.3">
      <c r="A24" s="26"/>
      <c r="B24" s="29" t="s">
        <v>134</v>
      </c>
      <c r="C24" s="36">
        <v>16000</v>
      </c>
      <c r="D24" s="37">
        <v>19500</v>
      </c>
      <c r="E24" s="36">
        <f t="shared" si="6"/>
        <v>19047.61904761905</v>
      </c>
      <c r="F24" s="36">
        <f t="shared" si="6"/>
        <v>19277.108433734942</v>
      </c>
      <c r="G24" s="36">
        <f t="shared" si="6"/>
        <v>19512.195121951219</v>
      </c>
      <c r="H24" s="36">
        <f t="shared" si="6"/>
        <v>19753.086419753086</v>
      </c>
      <c r="I24" s="36">
        <f t="shared" si="6"/>
        <v>20000</v>
      </c>
      <c r="J24" s="36">
        <f t="shared" si="6"/>
        <v>20253.164556962023</v>
      </c>
      <c r="K24" s="37">
        <f t="shared" si="6"/>
        <v>20512.820512820512</v>
      </c>
      <c r="L24" s="37">
        <v>20500</v>
      </c>
      <c r="M24" s="36">
        <f t="shared" si="1"/>
        <v>350</v>
      </c>
      <c r="N24" s="36">
        <f t="shared" si="2"/>
        <v>450</v>
      </c>
      <c r="O24" s="30">
        <f t="shared" si="3"/>
        <v>3150</v>
      </c>
      <c r="P24" s="30">
        <f t="shared" si="4"/>
        <v>4050</v>
      </c>
      <c r="Q24" s="31">
        <f t="shared" si="5"/>
        <v>900</v>
      </c>
      <c r="R24" s="26"/>
    </row>
    <row r="25" spans="1:18" x14ac:dyDescent="0.3">
      <c r="A25" s="26"/>
      <c r="B25" s="26"/>
      <c r="C25" s="26"/>
      <c r="D25" s="26"/>
      <c r="E25" s="33"/>
      <c r="F25" s="33"/>
      <c r="G25" s="33"/>
      <c r="H25" s="33"/>
      <c r="I25" s="33"/>
      <c r="J25" s="33"/>
      <c r="K25" s="33"/>
      <c r="L25" s="33"/>
      <c r="M25" s="33"/>
      <c r="N25" s="26"/>
      <c r="O25" s="26"/>
      <c r="P25" s="26"/>
      <c r="Q25" s="26"/>
      <c r="R25" s="26"/>
    </row>
  </sheetData>
  <mergeCells count="8">
    <mergeCell ref="O3:O4"/>
    <mergeCell ref="B2:Q2"/>
    <mergeCell ref="B3:B4"/>
    <mergeCell ref="C3:C4"/>
    <mergeCell ref="M3:M4"/>
    <mergeCell ref="N3:N4"/>
    <mergeCell ref="P3:P4"/>
    <mergeCell ref="E3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용어정리</vt:lpstr>
      <vt:lpstr>비용</vt:lpstr>
      <vt:lpstr>한계이익</vt:lpstr>
      <vt:lpstr>가격조정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2020-03-10T03:00:02Z</dcterms:created>
  <dcterms:modified xsi:type="dcterms:W3CDTF">2020-03-31T07:54:33Z</dcterms:modified>
</cp:coreProperties>
</file>