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AD6C018F-7B0E-49A7-A942-709A074BF83D}" xr6:coauthVersionLast="46" xr6:coauthVersionMax="46" xr10:uidLastSave="{00000000-0000-0000-0000-000000000000}"/>
  <bookViews>
    <workbookView xWindow="28680" yWindow="2490" windowWidth="21840" windowHeight="13140" activeTab="1" xr2:uid="{2202C1BA-8378-4109-9FCC-5C7E0CDB8A0F}"/>
  </bookViews>
  <sheets>
    <sheet name="정보" sheetId="3" r:id="rId1"/>
    <sheet name="원가계산" sheetId="7" r:id="rId2"/>
    <sheet name="Sheet1" sheetId="8" r:id="rId3"/>
    <sheet name="상품가" sheetId="2" r:id="rId4"/>
    <sheet name="쿠팡" sheetId="4" r:id="rId5"/>
    <sheet name="CAFE24" sheetId="6" r:id="rId6"/>
  </sheets>
  <definedNames>
    <definedName name="_xlnm._FilterDatabase" localSheetId="5" hidden="1">CAFE24!$B$9:$C$40</definedName>
    <definedName name="_xlnm._FilterDatabase" localSheetId="4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7" l="1"/>
  <c r="P22" i="7"/>
  <c r="Q22" i="7"/>
  <c r="N22" i="7"/>
  <c r="O21" i="7"/>
  <c r="P21" i="7"/>
  <c r="Q21" i="7"/>
  <c r="N21" i="7"/>
  <c r="P27" i="7"/>
  <c r="P29" i="7"/>
  <c r="P30" i="7"/>
  <c r="P31" i="7"/>
  <c r="P28" i="7"/>
  <c r="L21" i="7"/>
  <c r="L22" i="7"/>
  <c r="E33" i="7"/>
  <c r="K11" i="8"/>
  <c r="K10" i="8"/>
  <c r="K9" i="8"/>
  <c r="J10" i="8"/>
  <c r="J9" i="8"/>
  <c r="J11" i="8"/>
  <c r="I9" i="8"/>
  <c r="I10" i="8"/>
  <c r="I11" i="8"/>
  <c r="H9" i="8"/>
  <c r="H10" i="8"/>
  <c r="H11" i="8"/>
  <c r="G9" i="8"/>
  <c r="G10" i="8"/>
  <c r="G11" i="8"/>
  <c r="F13" i="8" l="1"/>
  <c r="G13" i="8" s="1"/>
  <c r="D13" i="8"/>
  <c r="I5" i="8"/>
  <c r="M15" i="7"/>
  <c r="M16" i="7"/>
  <c r="M17" i="7"/>
  <c r="M18" i="7"/>
  <c r="L16" i="7"/>
  <c r="L17" i="7"/>
  <c r="L18" i="7"/>
  <c r="L15" i="7"/>
  <c r="M14" i="7"/>
  <c r="L14" i="7"/>
  <c r="M13" i="7"/>
  <c r="Q13" i="7"/>
  <c r="L13" i="7"/>
  <c r="L12" i="7"/>
  <c r="M12" i="7"/>
  <c r="V20" i="7"/>
  <c r="M11" i="7"/>
  <c r="L11" i="7"/>
  <c r="X8" i="7"/>
  <c r="V21" i="7"/>
  <c r="W20" i="7" s="1"/>
  <c r="X15" i="7" s="1"/>
  <c r="E14" i="7"/>
  <c r="E13" i="7"/>
  <c r="E12" i="7"/>
  <c r="D36" i="7"/>
  <c r="D35" i="7"/>
  <c r="D37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N16" i="7" s="1"/>
  <c r="E19" i="7"/>
  <c r="Q17" i="7" s="1"/>
  <c r="E18" i="7"/>
  <c r="Q14" i="7" s="1"/>
  <c r="E17" i="7"/>
  <c r="E16" i="7"/>
  <c r="E15" i="7"/>
  <c r="E6" i="7"/>
  <c r="E7" i="7" s="1"/>
  <c r="M5" i="7" s="1"/>
  <c r="Q12" i="7" l="1"/>
  <c r="Q15" i="7"/>
  <c r="Q16" i="7"/>
  <c r="R16" i="7" s="1"/>
  <c r="T16" i="7" s="1"/>
  <c r="U16" i="7" s="1"/>
  <c r="R17" i="7"/>
  <c r="T17" i="7" s="1"/>
  <c r="U17" i="7" s="1"/>
  <c r="N11" i="7"/>
  <c r="N18" i="7"/>
  <c r="X13" i="7"/>
  <c r="N12" i="7"/>
  <c r="R12" i="7" s="1"/>
  <c r="T12" i="7" s="1"/>
  <c r="U12" i="7" s="1"/>
  <c r="N13" i="7"/>
  <c r="R13" i="7" s="1"/>
  <c r="T13" i="7" s="1"/>
  <c r="U13" i="7" s="1"/>
  <c r="N17" i="7"/>
  <c r="Q18" i="7"/>
  <c r="X14" i="7"/>
  <c r="N15" i="7"/>
  <c r="R15" i="7" s="1"/>
  <c r="T15" i="7" s="1"/>
  <c r="U15" i="7" s="1"/>
  <c r="N14" i="7"/>
  <c r="R14" i="7" s="1"/>
  <c r="T14" i="7" s="1"/>
  <c r="U14" i="7" s="1"/>
  <c r="Q11" i="7"/>
  <c r="R11" i="7" s="1"/>
  <c r="T11" i="7" s="1"/>
  <c r="U11" i="7" s="1"/>
  <c r="Y14" i="7"/>
  <c r="Y15" i="7"/>
  <c r="X12" i="7"/>
  <c r="Y12" i="7" s="1"/>
  <c r="Q3" i="7"/>
  <c r="P3" i="7"/>
  <c r="N6" i="7"/>
  <c r="N9" i="7"/>
  <c r="M3" i="7"/>
  <c r="M10" i="7"/>
  <c r="M8" i="7"/>
  <c r="M6" i="7"/>
  <c r="M4" i="7"/>
  <c r="R4" i="7" s="1"/>
  <c r="N3" i="7"/>
  <c r="M9" i="7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R18" i="7" l="1"/>
  <c r="T18" i="7" s="1"/>
  <c r="U18" i="7" s="1"/>
  <c r="R7" i="7"/>
  <c r="R9" i="7"/>
  <c r="L30" i="7" s="1"/>
  <c r="O30" i="7" s="1"/>
  <c r="Y13" i="7"/>
  <c r="Z13" i="7" s="1"/>
  <c r="K24" i="7"/>
  <c r="K25" i="7" s="1"/>
  <c r="J24" i="7"/>
  <c r="J25" i="7" s="1"/>
  <c r="L24" i="7"/>
  <c r="L25" i="7" s="1"/>
  <c r="M24" i="7"/>
  <c r="M25" i="7" s="1"/>
  <c r="K28" i="7"/>
  <c r="N28" i="7" s="1"/>
  <c r="L28" i="7"/>
  <c r="O28" i="7" s="1"/>
  <c r="J28" i="7"/>
  <c r="M28" i="7" s="1"/>
  <c r="J22" i="7"/>
  <c r="K22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J30" i="7" l="1"/>
  <c r="M30" i="7" s="1"/>
  <c r="K30" i="7"/>
  <c r="N30" i="7" s="1"/>
  <c r="L31" i="7"/>
  <c r="O31" i="7" s="1"/>
  <c r="J31" i="7"/>
  <c r="M31" i="7" s="1"/>
  <c r="K31" i="7"/>
  <c r="N31" i="7" s="1"/>
  <c r="L27" i="7"/>
  <c r="O27" i="7" s="1"/>
  <c r="J27" i="7"/>
  <c r="M27" i="7" s="1"/>
  <c r="K27" i="7"/>
  <c r="N27" i="7" s="1"/>
  <c r="L29" i="7"/>
  <c r="O29" i="7" s="1"/>
  <c r="J29" i="7"/>
  <c r="M29" i="7" s="1"/>
  <c r="K29" i="7"/>
  <c r="N29" i="7" s="1"/>
  <c r="K21" i="7"/>
  <c r="J21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<sst xmlns="http://schemas.openxmlformats.org/spreadsheetml/2006/main" count="865" uniqueCount="198">
  <si>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</si>
  <si>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</si>
  <si>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</si>
  <si>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</si>
  <si>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</si>
  <si>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</si>
  <si>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</si>
  <si>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</si>
  <si>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</si>
  <si>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</si>
  <si>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</si>
  <si>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</si>
  <si>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</si>
  <si>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</si>
  <si>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</si>
  <si>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</si>
  <si>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</si>
  <si>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</si>
  <si>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</si>
  <si>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</si>
  <si>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</si>
  <si>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</si>
  <si>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</si>
  <si>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</si>
  <si>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</si>
  <si>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</si>
  <si>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</si>
  <si>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</si>
  <si>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</si>
  <si>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</si>
  <si>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</si>
  <si>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</si>
  <si>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</si>
  <si>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</si>
  <si>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</si>
  <si>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</si>
  <si>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</si>
  <si>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</si>
  <si>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</si>
  <si>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</si>
  <si>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</si>
  <si>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</si>
  <si>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</si>
  <si>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</si>
  <si>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</si>
  <si>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</si>
  <si>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</si>
  <si>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</si>
  <si>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</si>
  <si>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</si>
  <si>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</si>
  <si>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</si>
  <si>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</si>
  <si>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</si>
  <si>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</si>
  <si>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</si>
  <si>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</si>
  <si>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</si>
  <si>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</si>
  <si>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</si>
  <si>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</si>
  <si>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</si>
  <si>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</si>
  <si>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</si>
  <si>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</si>
  <si>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</si>
  <si>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</si>
  <si>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</si>
  <si>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</si>
  <si>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</si>
  <si>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</si>
  <si>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</si>
  <si>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</si>
  <si>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</si>
  <si>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</si>
  <si>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</si>
  <si>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</si>
  <si>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</si>
  <si>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</si>
  <si>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</si>
  <si>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</si>
  <si>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</si>
  <si>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</si>
  <si>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</si>
  <si>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</si>
  <si>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</si>
  <si>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</si>
  <si>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</si>
  <si>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</si>
  <si>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</si>
  <si>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</si>
  <si>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</si>
  <si>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</si>
  <si>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</si>
  <si>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</si>
  <si>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</si>
  <si>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</si>
  <si>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</si>
  <si>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</si>
  <si>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</si>
  <si>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</si>
  <si>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</si>
  <si>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</si>
  <si>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</si>
  <si>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</si>
  <si>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</si>
  <si>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</si>
  <si>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</si>
  <si>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</si>
  <si>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</si>
  <si>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</si>
  <si>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</si>
  <si>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</si>
  <si>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</si>
  <si>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</si>
  <si>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</si>
  <si>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</si>
  <si>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</si>
  <si>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</si>
  <si>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</si>
  <si>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</si>
  <si>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</si>
  <si>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</si>
  <si>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</si>
  <si>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</si>
  <si>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</si>
  <si>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</si>
  <si>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</si>
  <si>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</si>
  <si>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</si>
  <si>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</si>
  <si>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</si>
  <si>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</si>
  <si>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</si>
  <si>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</si>
  <si>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</si>
  <si>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</si>
  <si>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</si>
  <si>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</si>
  <si>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</si>
  <si>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</si>
  <si>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</si>
  <si>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</si>
  <si>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</si>
  <si>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</si>
  <si>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</si>
  <si>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</si>
  <si>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</si>
  <si>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</si>
  <si>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</si>
  <si>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</si>
  <si>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</si>
  <si>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</si>
  <si>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</si>
  <si>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</si>
  <si>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</si>
  <si>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</si>
  <si>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</si>
  <si>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</si>
  <si>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</si>
  <si>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</si>
  <si>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</si>
  <si>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</si>
  <si>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</si>
  <si>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</si>
  <si>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</si>
  <si>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</si>
  <si>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</si>
  <si>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</si>
  <si>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</si>
  <si>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</si>
  <si>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</si>
  <si>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</si>
  <si>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</si>
  <si>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</si>
  <si>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</si>
  <si>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</si>
  <si>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</si>
  <si>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</si>
  <si>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</si>
  <si>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</si>
  <si>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</si>
  <si>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</si>
  <si>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</si>
  <si>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</si>
  <si>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</si>
  <si>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</si>
  <si>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</si>
  <si>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</si>
  <si>
    <t>점보롤 150</t>
    <phoneticPr fontId="3" type="noConversion"/>
  </si>
  <si>
    <t>점보롤 180</t>
    <phoneticPr fontId="3" type="noConversion"/>
  </si>
  <si>
    <t>점보롤 200</t>
    <phoneticPr fontId="3" type="noConversion"/>
  </si>
  <si>
    <t>점보롤 300</t>
    <phoneticPr fontId="3" type="noConversion"/>
  </si>
  <si>
    <t>꽃점보롤 150</t>
    <phoneticPr fontId="3" type="noConversion"/>
  </si>
  <si>
    <t>꽃점보롤 180</t>
    <phoneticPr fontId="3" type="noConversion"/>
  </si>
  <si>
    <t>꽃점보롤 200</t>
    <phoneticPr fontId="3" type="noConversion"/>
  </si>
  <si>
    <t>꽃점보롤 300</t>
    <phoneticPr fontId="3" type="noConversion"/>
  </si>
  <si>
    <t>10롤박스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</si>
</sst>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  <numFmt numFmtId="181" formatCode="#,##0.0000_);[Red]\(#,##0.000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53" t="s">
        <v>64</v>
      </c>
      <c r="C2" s="153"/>
      <c r="E2" s="153" t="s">
        <v>65</v>
      </c>
      <c r="F2" s="153"/>
      <c r="G2" s="153"/>
      <c r="I2" s="154" t="s">
        <v>66</v>
      </c>
      <c r="J2" s="155"/>
      <c r="L2" s="40" t="s">
        <v>67</v>
      </c>
      <c r="M2" s="41"/>
      <c r="N2" s="153" t="s">
        <v>68</v>
      </c>
      <c r="O2" s="153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E37"/>
  <sheetViews>
    <sheetView tabSelected="1" topLeftCell="A7" zoomScale="85" zoomScaleNormal="85" workbookViewId="0">
      <selection activeCell="N14" sqref="N14"/>
    </sheetView>
  </sheetViews>
  <sheetFormatPr defaultRowHeight="16.5" x14ac:dyDescent="0.3"/>
  <cols>
    <col min="1" max="1" width="3.75" customWidth="1"/>
    <col min="2" max="2" width="9.875" bestFit="1" customWidth="1"/>
    <col min="3" max="3" width="7.25" bestFit="1" customWidth="1"/>
    <col min="4" max="4" width="7" bestFit="1" customWidth="1"/>
    <col min="5" max="5" width="9" style="3" bestFit="1" customWidth="1"/>
    <col min="6" max="6" width="4.75" bestFit="1" customWidth="1"/>
    <col min="7" max="7" width="2.75" bestFit="1" customWidth="1"/>
    <col min="8" max="8" width="7.625" bestFit="1" customWidth="1"/>
    <col min="9" max="9" width="10" bestFit="1" customWidth="1"/>
    <col min="10" max="10" width="10.75" bestFit="1" customWidth="1"/>
    <col min="11" max="12" width="8" bestFit="1" customWidth="1"/>
    <col min="13" max="13" width="13.5" bestFit="1" customWidth="1"/>
    <col min="14" max="14" width="9.625" bestFit="1" customWidth="1"/>
    <col min="15" max="15" width="8" bestFit="1" customWidth="1"/>
    <col min="16" max="16" width="14.5" bestFit="1" customWidth="1"/>
    <col min="17" max="17" width="9" bestFit="1" customWidth="1"/>
    <col min="18" max="18" width="7.875" style="1" bestFit="1" customWidth="1"/>
    <col min="19" max="19" width="6.875" bestFit="1" customWidth="1"/>
    <col min="20" max="20" width="9.625" bestFit="1" customWidth="1"/>
    <col min="21" max="21" width="9.625" customWidth="1"/>
    <col min="22" max="23" width="14.25" bestFit="1" customWidth="1"/>
    <col min="24" max="24" width="7.875" bestFit="1" customWidth="1"/>
    <col min="25" max="25" width="14.375" bestFit="1" customWidth="1"/>
    <col min="27" max="27" width="9.625" bestFit="1" customWidth="1"/>
    <col min="28" max="28" width="7.75" bestFit="1" customWidth="1"/>
    <col min="29" max="30" width="6.375" bestFit="1" customWidth="1"/>
    <col min="31" max="31" width="10.625" bestFit="1" customWidth="1"/>
  </cols>
  <sheetData>
    <row r="2" spans="2:31" ht="19.5" x14ac:dyDescent="0.3">
      <c r="B2" s="166" t="s">
        <v>63</v>
      </c>
      <c r="C2" s="166"/>
      <c r="D2" s="166"/>
      <c r="E2" s="166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B2" s="1"/>
    </row>
    <row r="3" spans="2:31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 t="shared" ref="O3:O10" si="0">$E$22*H3</f>
        <v>20</v>
      </c>
      <c r="P3">
        <f t="shared" ref="P3:P10" si="1">-$E$26*H3*$E$4/1000</f>
        <v>-99.230769230769226</v>
      </c>
      <c r="Q3">
        <f>0.1*H3*$E$21</f>
        <v>49.500000000000007</v>
      </c>
      <c r="R3" s="1">
        <f t="shared" ref="R3:R10" si="2">SUM(L3:Q3)</f>
        <v>1773.8834039975773</v>
      </c>
      <c r="AB3" s="1"/>
    </row>
    <row r="4" spans="2:31" x14ac:dyDescent="0.3">
      <c r="B4" s="160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3">$E$4*J4</f>
        <v>1612.5</v>
      </c>
      <c r="M4">
        <f t="shared" ref="M4:M10" si="4">$E$7*H4</f>
        <v>86.614173228346459</v>
      </c>
      <c r="N4" s="3">
        <f>$E$23</f>
        <v>104.50000000000001</v>
      </c>
      <c r="O4">
        <f t="shared" si="0"/>
        <v>20</v>
      </c>
      <c r="P4">
        <f t="shared" si="1"/>
        <v>-99.230769230769226</v>
      </c>
      <c r="Q4">
        <f>0.1*H4*$E$21</f>
        <v>49.500000000000007</v>
      </c>
      <c r="R4" s="1">
        <f t="shared" si="2"/>
        <v>1773.8834039975773</v>
      </c>
      <c r="AB4" s="1"/>
    </row>
    <row r="5" spans="2:31" x14ac:dyDescent="0.3">
      <c r="B5" s="160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3"/>
        <v>3354</v>
      </c>
      <c r="M5">
        <f t="shared" si="4"/>
        <v>207.87401574803152</v>
      </c>
      <c r="N5" s="3">
        <f>$E$24</f>
        <v>220.00000000000003</v>
      </c>
      <c r="O5">
        <f t="shared" si="0"/>
        <v>48</v>
      </c>
      <c r="P5">
        <f t="shared" si="1"/>
        <v>-238.15384615384616</v>
      </c>
      <c r="Q5">
        <v>0</v>
      </c>
      <c r="R5" s="1">
        <f t="shared" si="2"/>
        <v>3591.7201695941853</v>
      </c>
      <c r="AB5" s="1"/>
    </row>
    <row r="6" spans="2:31" x14ac:dyDescent="0.3">
      <c r="B6" s="160" t="s">
        <v>54</v>
      </c>
      <c r="C6" s="161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3"/>
        <v>3096</v>
      </c>
      <c r="M6">
        <f t="shared" si="4"/>
        <v>259.84251968503941</v>
      </c>
      <c r="N6" s="3">
        <f>$E$9</f>
        <v>247.50000000000003</v>
      </c>
      <c r="O6">
        <f t="shared" si="0"/>
        <v>60</v>
      </c>
      <c r="P6">
        <f t="shared" si="1"/>
        <v>-297.69230769230768</v>
      </c>
      <c r="Q6">
        <v>0</v>
      </c>
      <c r="R6" s="1">
        <f t="shared" si="2"/>
        <v>3365.6502119927318</v>
      </c>
      <c r="AB6" s="1"/>
    </row>
    <row r="7" spans="2:31" x14ac:dyDescent="0.3">
      <c r="B7" s="160"/>
      <c r="C7" s="163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3"/>
        <v>3354</v>
      </c>
      <c r="M7">
        <f t="shared" si="4"/>
        <v>259.84251968503941</v>
      </c>
      <c r="N7" s="3">
        <f>$E$9</f>
        <v>247.50000000000003</v>
      </c>
      <c r="O7">
        <f t="shared" si="0"/>
        <v>60</v>
      </c>
      <c r="P7">
        <f t="shared" si="1"/>
        <v>-297.69230769230768</v>
      </c>
      <c r="Q7">
        <v>0</v>
      </c>
      <c r="R7" s="1">
        <f t="shared" si="2"/>
        <v>3623.6502119927318</v>
      </c>
      <c r="AB7" s="1"/>
    </row>
    <row r="8" spans="2:31" x14ac:dyDescent="0.3">
      <c r="B8" s="160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3"/>
        <v>4128</v>
      </c>
      <c r="M8">
        <f t="shared" si="4"/>
        <v>259.84251968503941</v>
      </c>
      <c r="N8" s="3">
        <f>$E$10</f>
        <v>249.70000000000002</v>
      </c>
      <c r="O8">
        <f t="shared" si="0"/>
        <v>60</v>
      </c>
      <c r="P8">
        <f t="shared" si="1"/>
        <v>-297.69230769230768</v>
      </c>
      <c r="Q8">
        <v>0</v>
      </c>
      <c r="R8" s="1">
        <f t="shared" si="2"/>
        <v>4399.8502119927316</v>
      </c>
      <c r="X8">
        <f>30*16</f>
        <v>480</v>
      </c>
      <c r="AB8" s="1"/>
    </row>
    <row r="9" spans="2:31" x14ac:dyDescent="0.3">
      <c r="B9" s="160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3"/>
        <v>4773</v>
      </c>
      <c r="M9">
        <f t="shared" si="4"/>
        <v>259.84251968503941</v>
      </c>
      <c r="N9" s="3">
        <f>$E$11</f>
        <v>255.20000000000002</v>
      </c>
      <c r="O9">
        <f t="shared" si="0"/>
        <v>60</v>
      </c>
      <c r="P9">
        <f t="shared" si="1"/>
        <v>-297.69230769230768</v>
      </c>
      <c r="Q9">
        <v>0</v>
      </c>
      <c r="R9" s="1">
        <f t="shared" si="2"/>
        <v>5050.3502119927316</v>
      </c>
      <c r="AB9" s="1"/>
    </row>
    <row r="10" spans="2:31" x14ac:dyDescent="0.3">
      <c r="B10" s="160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3"/>
        <v>4966.5</v>
      </c>
      <c r="M10">
        <f t="shared" si="4"/>
        <v>259.84251968503941</v>
      </c>
      <c r="N10" s="3">
        <f>$E$11</f>
        <v>255.20000000000002</v>
      </c>
      <c r="O10">
        <f t="shared" si="0"/>
        <v>60</v>
      </c>
      <c r="P10">
        <f t="shared" si="1"/>
        <v>-297.69230769230768</v>
      </c>
      <c r="Q10">
        <v>0</v>
      </c>
      <c r="R10" s="1">
        <f t="shared" si="2"/>
        <v>5243.8502119927316</v>
      </c>
      <c r="AB10" s="1"/>
    </row>
    <row r="11" spans="2:31" x14ac:dyDescent="0.3">
      <c r="B11" s="160"/>
      <c r="C11" s="132" t="s">
        <v>176</v>
      </c>
      <c r="D11" s="133" t="s">
        <v>21</v>
      </c>
      <c r="E11" s="26">
        <f>232*1.1</f>
        <v>255.20000000000002</v>
      </c>
      <c r="G11" s="128">
        <v>9</v>
      </c>
      <c r="H11" s="128">
        <v>16</v>
      </c>
      <c r="I11" t="s">
        <v>189</v>
      </c>
      <c r="J11">
        <v>7.12</v>
      </c>
      <c r="L11">
        <f>$E$4*J11</f>
        <v>9184.7999999999993</v>
      </c>
      <c r="M11">
        <f>$E$8*H11</f>
        <v>800</v>
      </c>
      <c r="N11" s="3">
        <f>$E$20*4</f>
        <v>198.00000000000003</v>
      </c>
      <c r="O11">
        <v>0</v>
      </c>
      <c r="P11">
        <v>0</v>
      </c>
      <c r="Q11" s="3">
        <f>$E$18</f>
        <v>1116.5</v>
      </c>
      <c r="R11" s="1">
        <f>SUM(L11:Q11)</f>
        <v>11299.3</v>
      </c>
      <c r="S11">
        <v>14500</v>
      </c>
      <c r="T11" s="1">
        <f>S11-R11</f>
        <v>3200.7000000000007</v>
      </c>
      <c r="U11" s="3">
        <f>T11/S11</f>
        <v>0.2207379310344828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3">
      <c r="B12" s="156" t="s">
        <v>22</v>
      </c>
      <c r="C12" s="132" t="s">
        <v>186</v>
      </c>
      <c r="D12" s="133" t="s">
        <v>53</v>
      </c>
      <c r="E12" s="26">
        <f>30*1.1</f>
        <v>33</v>
      </c>
      <c r="H12" s="128">
        <v>16</v>
      </c>
      <c r="I12" t="s">
        <v>190</v>
      </c>
      <c r="J12">
        <v>8.57</v>
      </c>
      <c r="L12">
        <f>$E$4*J12</f>
        <v>11055.300000000001</v>
      </c>
      <c r="M12">
        <f>$E$8*H12</f>
        <v>800</v>
      </c>
      <c r="N12" s="3">
        <f>$E$20*4</f>
        <v>198.00000000000003</v>
      </c>
      <c r="O12">
        <v>0</v>
      </c>
      <c r="P12">
        <v>0</v>
      </c>
      <c r="Q12" s="3">
        <f>$E$18</f>
        <v>1116.5</v>
      </c>
      <c r="R12" s="1">
        <f>SUM(L12:Q12)</f>
        <v>13169.800000000001</v>
      </c>
      <c r="S12">
        <v>17500</v>
      </c>
      <c r="T12" s="1">
        <f t="shared" ref="T12:T18" si="5">S12-R12</f>
        <v>4330.1999999999989</v>
      </c>
      <c r="U12" s="3">
        <f t="shared" ref="U12:U18" si="6">T12/S12</f>
        <v>0.24743999999999994</v>
      </c>
      <c r="V12" s="1">
        <v>150</v>
      </c>
      <c r="W12" s="1">
        <v>148</v>
      </c>
      <c r="X12" s="151">
        <f>$W$20*W12</f>
        <v>0.44500000000000001</v>
      </c>
      <c r="Y12" s="151">
        <f>X12*16</f>
        <v>7.12</v>
      </c>
      <c r="Z12" s="1"/>
      <c r="AA12" s="1"/>
      <c r="AB12" s="1"/>
      <c r="AC12" s="1"/>
      <c r="AD12" s="1"/>
      <c r="AE12" s="1"/>
    </row>
    <row r="13" spans="2:31" x14ac:dyDescent="0.3">
      <c r="B13" s="157"/>
      <c r="C13" s="132" t="s">
        <v>187</v>
      </c>
      <c r="D13" s="133" t="s">
        <v>53</v>
      </c>
      <c r="E13" s="26">
        <f>135*1.1</f>
        <v>148.5</v>
      </c>
      <c r="H13" s="128">
        <v>16</v>
      </c>
      <c r="I13" t="s">
        <v>191</v>
      </c>
      <c r="J13">
        <v>9.5299999999999994</v>
      </c>
      <c r="L13">
        <f>$E$4*J13</f>
        <v>12293.699999999999</v>
      </c>
      <c r="M13">
        <f>$E$8*H13</f>
        <v>800</v>
      </c>
      <c r="N13" s="3">
        <f>$E$20*4</f>
        <v>198.00000000000003</v>
      </c>
      <c r="O13">
        <v>0</v>
      </c>
      <c r="P13">
        <v>0</v>
      </c>
      <c r="Q13" s="3">
        <f>$E$18</f>
        <v>1116.5</v>
      </c>
      <c r="R13" s="1">
        <f>SUM(L13:Q13)</f>
        <v>14408.199999999999</v>
      </c>
      <c r="S13">
        <v>19000</v>
      </c>
      <c r="T13" s="1">
        <f t="shared" si="5"/>
        <v>4591.8000000000011</v>
      </c>
      <c r="U13" s="3">
        <f t="shared" si="6"/>
        <v>0.24167368421052637</v>
      </c>
      <c r="V13" s="1">
        <v>180</v>
      </c>
      <c r="W13" s="1">
        <v>178</v>
      </c>
      <c r="X13" s="151">
        <f>$W$20*W13</f>
        <v>0.53520270270270276</v>
      </c>
      <c r="Y13" s="151">
        <f>X13*16</f>
        <v>8.5632432432432442</v>
      </c>
      <c r="Z13" s="151">
        <f>Y13*16</f>
        <v>137.01189189189191</v>
      </c>
      <c r="AA13" s="1"/>
      <c r="AB13" s="1"/>
      <c r="AC13" s="1"/>
      <c r="AD13" s="1"/>
      <c r="AE13" s="1"/>
    </row>
    <row r="14" spans="2:31" x14ac:dyDescent="0.3">
      <c r="B14" s="157"/>
      <c r="C14" s="132" t="s">
        <v>187</v>
      </c>
      <c r="D14" s="133" t="s">
        <v>188</v>
      </c>
      <c r="E14" s="26">
        <f>176*1.1</f>
        <v>193.60000000000002</v>
      </c>
      <c r="H14" s="128">
        <v>16</v>
      </c>
      <c r="I14" t="s">
        <v>192</v>
      </c>
      <c r="J14">
        <v>14.34</v>
      </c>
      <c r="L14">
        <f>$E$4*J14</f>
        <v>18498.599999999999</v>
      </c>
      <c r="M14">
        <f>$E$8*H14</f>
        <v>800</v>
      </c>
      <c r="N14" s="3">
        <f>$E$20*4</f>
        <v>198.00000000000003</v>
      </c>
      <c r="O14">
        <v>0</v>
      </c>
      <c r="P14">
        <v>0</v>
      </c>
      <c r="Q14" s="3">
        <f>$E$18</f>
        <v>1116.5</v>
      </c>
      <c r="R14" s="1">
        <f>SUM(L14:Q14)</f>
        <v>20613.099999999999</v>
      </c>
      <c r="S14">
        <v>27400</v>
      </c>
      <c r="T14" s="1">
        <f t="shared" si="5"/>
        <v>6786.9000000000015</v>
      </c>
      <c r="U14" s="3">
        <f t="shared" si="6"/>
        <v>0.24769708029197085</v>
      </c>
      <c r="V14" s="1">
        <v>200</v>
      </c>
      <c r="W14" s="1">
        <v>198</v>
      </c>
      <c r="X14" s="151">
        <f>$W$20*W14</f>
        <v>0.59533783783783789</v>
      </c>
      <c r="Y14" s="151">
        <f t="shared" ref="Y14:Y15" si="7">X14*16</f>
        <v>9.5254054054054063</v>
      </c>
      <c r="Z14" s="1"/>
      <c r="AA14" s="1"/>
      <c r="AB14" s="1"/>
      <c r="AC14" s="1"/>
      <c r="AD14" s="1"/>
      <c r="AE14" s="1"/>
    </row>
    <row r="15" spans="2:31" x14ac:dyDescent="0.3">
      <c r="B15" s="157"/>
      <c r="C15" s="133" t="s">
        <v>45</v>
      </c>
      <c r="D15" s="133" t="s">
        <v>21</v>
      </c>
      <c r="E15" s="26">
        <f>228*1.1</f>
        <v>250.8</v>
      </c>
      <c r="H15" s="128">
        <v>16</v>
      </c>
      <c r="I15" t="s">
        <v>193</v>
      </c>
      <c r="J15">
        <v>7.12</v>
      </c>
      <c r="L15">
        <f>$E$5*J15</f>
        <v>9683.2000000000007</v>
      </c>
      <c r="M15">
        <f t="shared" ref="M15:M18" si="8">$E$8*H15</f>
        <v>800</v>
      </c>
      <c r="N15" s="3">
        <f t="shared" ref="N15:N18" si="9">$E$20*4</f>
        <v>198.00000000000003</v>
      </c>
      <c r="O15">
        <v>0</v>
      </c>
      <c r="P15">
        <v>0</v>
      </c>
      <c r="Q15" s="3">
        <f>$E$19</f>
        <v>1166</v>
      </c>
      <c r="R15" s="1">
        <f t="shared" ref="R15:R18" si="10">SUM(L15:Q15)</f>
        <v>11847.2</v>
      </c>
      <c r="S15">
        <v>15500</v>
      </c>
      <c r="T15" s="1">
        <f t="shared" si="5"/>
        <v>3652.7999999999993</v>
      </c>
      <c r="U15" s="3">
        <f t="shared" si="6"/>
        <v>0.23566451612903222</v>
      </c>
      <c r="V15" s="1">
        <v>300</v>
      </c>
      <c r="W15" s="1">
        <v>298</v>
      </c>
      <c r="X15" s="151">
        <f>$W$20*W15</f>
        <v>0.89601351351351355</v>
      </c>
      <c r="Y15" s="151">
        <f t="shared" si="7"/>
        <v>14.336216216216217</v>
      </c>
      <c r="Z15" s="1"/>
      <c r="AB15" s="1"/>
    </row>
    <row r="16" spans="2:31" x14ac:dyDescent="0.3">
      <c r="B16" s="157"/>
      <c r="C16" s="133" t="s">
        <v>44</v>
      </c>
      <c r="D16" s="133" t="s">
        <v>21</v>
      </c>
      <c r="E16" s="26">
        <f>230*1.1</f>
        <v>253.00000000000003</v>
      </c>
      <c r="G16" s="145"/>
      <c r="H16" s="128">
        <v>16</v>
      </c>
      <c r="I16" t="s">
        <v>194</v>
      </c>
      <c r="J16">
        <v>8.57</v>
      </c>
      <c r="L16">
        <f t="shared" ref="L16:L18" si="11">$E$5*J16</f>
        <v>11655.2</v>
      </c>
      <c r="M16">
        <f t="shared" si="8"/>
        <v>800</v>
      </c>
      <c r="N16" s="3">
        <f t="shared" si="9"/>
        <v>198.00000000000003</v>
      </c>
      <c r="O16">
        <v>0</v>
      </c>
      <c r="P16">
        <v>0</v>
      </c>
      <c r="Q16" s="3">
        <f t="shared" ref="Q16:Q18" si="12">$E$19</f>
        <v>1166</v>
      </c>
      <c r="R16" s="1">
        <f t="shared" si="10"/>
        <v>13819.2</v>
      </c>
      <c r="S16">
        <v>18500</v>
      </c>
      <c r="T16" s="1">
        <f t="shared" si="5"/>
        <v>4680.7999999999993</v>
      </c>
      <c r="U16" s="3">
        <f t="shared" si="6"/>
        <v>0.25301621621621617</v>
      </c>
      <c r="Z16" s="1"/>
      <c r="AB16" s="1"/>
    </row>
    <row r="17" spans="2:28" x14ac:dyDescent="0.3">
      <c r="B17" s="158"/>
      <c r="C17" s="133" t="s">
        <v>43</v>
      </c>
      <c r="D17" s="133" t="s">
        <v>21</v>
      </c>
      <c r="E17" s="26">
        <f>232*1.1</f>
        <v>255.20000000000002</v>
      </c>
      <c r="G17" s="145"/>
      <c r="H17" s="128">
        <v>16</v>
      </c>
      <c r="I17" t="s">
        <v>195</v>
      </c>
      <c r="J17">
        <v>9.5299999999999994</v>
      </c>
      <c r="L17">
        <f t="shared" si="11"/>
        <v>12960.8</v>
      </c>
      <c r="M17">
        <f t="shared" si="8"/>
        <v>800</v>
      </c>
      <c r="N17" s="3">
        <f t="shared" si="9"/>
        <v>198.00000000000003</v>
      </c>
      <c r="O17">
        <v>0</v>
      </c>
      <c r="P17">
        <v>0</v>
      </c>
      <c r="Q17" s="3">
        <f t="shared" si="12"/>
        <v>1166</v>
      </c>
      <c r="R17" s="1">
        <f t="shared" si="10"/>
        <v>15124.8</v>
      </c>
      <c r="S17">
        <v>20000</v>
      </c>
      <c r="T17" s="1">
        <f t="shared" si="5"/>
        <v>4875.2000000000007</v>
      </c>
      <c r="U17" s="3">
        <f t="shared" si="6"/>
        <v>0.24376000000000003</v>
      </c>
      <c r="Z17" s="1"/>
      <c r="AB17" s="1"/>
    </row>
    <row r="18" spans="2:28" x14ac:dyDescent="0.3">
      <c r="B18" s="159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28">
        <v>16</v>
      </c>
      <c r="I18" t="s">
        <v>196</v>
      </c>
      <c r="J18">
        <v>14.34</v>
      </c>
      <c r="L18">
        <f t="shared" si="11"/>
        <v>19502.400000000001</v>
      </c>
      <c r="M18">
        <f t="shared" si="8"/>
        <v>800</v>
      </c>
      <c r="N18" s="3">
        <f t="shared" si="9"/>
        <v>198.00000000000003</v>
      </c>
      <c r="O18">
        <v>0</v>
      </c>
      <c r="P18">
        <v>0</v>
      </c>
      <c r="Q18" s="3">
        <f t="shared" si="12"/>
        <v>1166</v>
      </c>
      <c r="R18" s="1">
        <f t="shared" si="10"/>
        <v>21666.400000000001</v>
      </c>
      <c r="S18">
        <v>28700</v>
      </c>
      <c r="T18" s="1">
        <f t="shared" si="5"/>
        <v>7033.5999999999985</v>
      </c>
      <c r="U18" s="3">
        <f t="shared" si="6"/>
        <v>0.24507317073170726</v>
      </c>
      <c r="Z18" s="1"/>
      <c r="AB18" s="1"/>
    </row>
    <row r="19" spans="2:28" x14ac:dyDescent="0.3">
      <c r="B19" s="160"/>
      <c r="C19" s="132" t="s">
        <v>38</v>
      </c>
      <c r="D19" s="133" t="s">
        <v>21</v>
      </c>
      <c r="E19" s="26">
        <f>1060*1.1</f>
        <v>1166</v>
      </c>
      <c r="G19" s="145"/>
      <c r="H19" s="144"/>
      <c r="U19" s="3"/>
      <c r="V19">
        <v>1.94</v>
      </c>
      <c r="W19">
        <v>1.78</v>
      </c>
      <c r="Z19" s="1"/>
      <c r="AB19" s="1"/>
    </row>
    <row r="20" spans="2:28" x14ac:dyDescent="0.3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47">
        <v>1</v>
      </c>
      <c r="K20" s="147">
        <v>5</v>
      </c>
      <c r="L20" s="147">
        <v>10</v>
      </c>
      <c r="N20" s="147">
        <v>7</v>
      </c>
      <c r="O20" s="147">
        <v>8</v>
      </c>
      <c r="P20" s="147">
        <v>9</v>
      </c>
      <c r="Q20" s="147">
        <v>10</v>
      </c>
      <c r="V20">
        <f>(V19-E27)*4</f>
        <v>7.12</v>
      </c>
      <c r="W20">
        <f>V21/W12</f>
        <v>3.0067567567567568E-3</v>
      </c>
      <c r="Z20" s="1"/>
      <c r="AB20" s="1"/>
    </row>
    <row r="21" spans="2:28" x14ac:dyDescent="0.3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I21" s="148" t="s">
        <v>19</v>
      </c>
      <c r="J21" s="143">
        <f t="shared" ref="J21:K22" si="13">$R3*J$20</f>
        <v>1773.8834039975773</v>
      </c>
      <c r="K21" s="143">
        <f t="shared" si="13"/>
        <v>8869.4170199878863</v>
      </c>
      <c r="L21" s="143">
        <f>$R3*L$20+E33</f>
        <v>18893.834039975773</v>
      </c>
      <c r="M21" s="144"/>
      <c r="N21" s="144">
        <f t="shared" ref="N21:Q21" si="14">$R3*N$20</f>
        <v>12417.183827983041</v>
      </c>
      <c r="O21" s="144">
        <f t="shared" si="14"/>
        <v>14191.067231980618</v>
      </c>
      <c r="P21" s="144">
        <f t="shared" si="14"/>
        <v>15964.950635978195</v>
      </c>
      <c r="Q21" s="144">
        <f t="shared" si="14"/>
        <v>17738.834039975773</v>
      </c>
      <c r="V21">
        <f>V20/16</f>
        <v>0.44500000000000001</v>
      </c>
      <c r="Z21" s="1"/>
      <c r="AB21" s="1"/>
    </row>
    <row r="22" spans="2:28" x14ac:dyDescent="0.3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3">
        <f t="shared" si="13"/>
        <v>1773.8834039975773</v>
      </c>
      <c r="K22" s="143">
        <f t="shared" si="13"/>
        <v>8869.4170199878863</v>
      </c>
      <c r="L22" s="143">
        <f>$R4*L$20+E33</f>
        <v>18893.834039975773</v>
      </c>
      <c r="M22" s="144"/>
      <c r="N22" s="144">
        <f>N21+$E$33</f>
        <v>13572.183827983041</v>
      </c>
      <c r="O22" s="144">
        <f t="shared" ref="O22:Q22" si="15">O21+$E$33</f>
        <v>15346.067231980618</v>
      </c>
      <c r="P22" s="144">
        <f t="shared" si="15"/>
        <v>17119.950635978195</v>
      </c>
      <c r="Q22" s="144">
        <f t="shared" si="15"/>
        <v>18893.834039975773</v>
      </c>
      <c r="Z22" s="1"/>
      <c r="AB22" s="1"/>
    </row>
    <row r="23" spans="2:28" x14ac:dyDescent="0.3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/>
      <c r="J23" s="147">
        <v>1</v>
      </c>
      <c r="K23" s="147">
        <v>2</v>
      </c>
      <c r="L23" s="147">
        <v>3</v>
      </c>
      <c r="M23" s="147">
        <v>4</v>
      </c>
      <c r="N23" s="144"/>
    </row>
    <row r="24" spans="2:28" x14ac:dyDescent="0.3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19</v>
      </c>
      <c r="J24" s="144">
        <f>$R5*J$23</f>
        <v>3591.7201695941853</v>
      </c>
      <c r="K24" s="144">
        <f>$R5*K$23</f>
        <v>7183.4403391883707</v>
      </c>
      <c r="L24" s="143">
        <f>$R5*L$23</f>
        <v>10775.160508782556</v>
      </c>
      <c r="M24" s="143">
        <f>$R5*M$23</f>
        <v>14366.880678376741</v>
      </c>
      <c r="N24" s="144"/>
      <c r="O24" s="1"/>
    </row>
    <row r="25" spans="2:28" x14ac:dyDescent="0.3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J25" s="1">
        <f>J$24+$E13</f>
        <v>3740.2201695941853</v>
      </c>
      <c r="K25" s="1">
        <f>K$24+$E14</f>
        <v>7377.040339188371</v>
      </c>
      <c r="L25" s="1">
        <f>L$24+$E15</f>
        <v>11025.960508782555</v>
      </c>
      <c r="M25" s="1">
        <f>M$24+$E17</f>
        <v>14622.080678376742</v>
      </c>
      <c r="N25" s="144"/>
    </row>
    <row r="26" spans="2:28" x14ac:dyDescent="0.3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J26" s="147">
        <v>1</v>
      </c>
      <c r="K26" s="147">
        <v>2</v>
      </c>
      <c r="L26" s="144">
        <v>3</v>
      </c>
      <c r="M26" s="144">
        <v>1</v>
      </c>
      <c r="N26" s="144">
        <v>2</v>
      </c>
      <c r="O26" s="144">
        <v>3</v>
      </c>
      <c r="P26" s="144">
        <v>4</v>
      </c>
    </row>
    <row r="27" spans="2:28" x14ac:dyDescent="0.3">
      <c r="B27" s="128"/>
      <c r="C27" s="128"/>
      <c r="D27" s="135"/>
      <c r="E27" s="138">
        <v>0.16</v>
      </c>
      <c r="G27" s="146"/>
      <c r="H27" s="146"/>
      <c r="I27" s="148" t="s">
        <v>16</v>
      </c>
      <c r="J27" s="144">
        <f t="shared" ref="J27:L31" si="16">$R6*J$26</f>
        <v>3365.6502119927318</v>
      </c>
      <c r="K27" s="143">
        <f t="shared" si="16"/>
        <v>6731.3004239854636</v>
      </c>
      <c r="L27" s="143">
        <f t="shared" si="16"/>
        <v>10096.950635978195</v>
      </c>
      <c r="M27" s="144">
        <f>$J27+$E13</f>
        <v>3514.1502119927318</v>
      </c>
      <c r="N27" s="144">
        <f>$K27+$E$14</f>
        <v>6924.9004239854639</v>
      </c>
      <c r="O27" s="144">
        <f>$L27+$E15</f>
        <v>10347.750635978195</v>
      </c>
      <c r="P27" s="122">
        <f>N27*2</f>
        <v>13849.800847970928</v>
      </c>
    </row>
    <row r="28" spans="2:28" x14ac:dyDescent="0.3">
      <c r="B28" s="161" t="s">
        <v>22</v>
      </c>
      <c r="C28" s="132" t="s">
        <v>45</v>
      </c>
      <c r="D28" s="164" t="s">
        <v>173</v>
      </c>
      <c r="E28" s="165"/>
      <c r="I28" s="148" t="s">
        <v>62</v>
      </c>
      <c r="J28" s="144">
        <f t="shared" si="16"/>
        <v>3623.6502119927318</v>
      </c>
      <c r="K28" s="143">
        <f t="shared" si="16"/>
        <v>7247.3004239854636</v>
      </c>
      <c r="L28" s="143">
        <f t="shared" si="16"/>
        <v>10870.950635978195</v>
      </c>
      <c r="M28" s="144">
        <f>$J28+$E13</f>
        <v>3772.1502119927318</v>
      </c>
      <c r="N28" s="144">
        <f>$K28+$E$14</f>
        <v>7440.9004239854639</v>
      </c>
      <c r="O28" s="144">
        <f>$L28+$E15</f>
        <v>11121.750635978195</v>
      </c>
      <c r="P28" s="122">
        <f>N28*2</f>
        <v>14881.800847970928</v>
      </c>
    </row>
    <row r="29" spans="2:28" x14ac:dyDescent="0.3">
      <c r="B29" s="162"/>
      <c r="C29" s="132" t="s">
        <v>174</v>
      </c>
      <c r="D29" s="164" t="s">
        <v>175</v>
      </c>
      <c r="E29" s="165"/>
      <c r="I29" s="148" t="s">
        <v>82</v>
      </c>
      <c r="J29" s="144">
        <f t="shared" si="16"/>
        <v>4399.8502119927316</v>
      </c>
      <c r="K29" s="143">
        <f t="shared" si="16"/>
        <v>8799.7004239854632</v>
      </c>
      <c r="L29" s="143">
        <f t="shared" si="16"/>
        <v>13199.550635978194</v>
      </c>
      <c r="M29" s="144">
        <f>$J29+$E13</f>
        <v>4548.3502119927316</v>
      </c>
      <c r="N29" s="144">
        <f>$K29+$E$14</f>
        <v>8993.3004239854636</v>
      </c>
      <c r="O29" s="144">
        <f>$L29+$E16</f>
        <v>13452.550635978194</v>
      </c>
      <c r="P29" s="122">
        <f t="shared" ref="P29:P31" si="17">N29*2</f>
        <v>17986.600847970927</v>
      </c>
    </row>
    <row r="30" spans="2:28" x14ac:dyDescent="0.3">
      <c r="B30" s="163"/>
      <c r="C30" s="132" t="s">
        <v>176</v>
      </c>
      <c r="D30" s="164" t="s">
        <v>177</v>
      </c>
      <c r="E30" s="165"/>
      <c r="I30" s="148" t="s">
        <v>32</v>
      </c>
      <c r="J30" s="144">
        <f t="shared" si="16"/>
        <v>5050.3502119927316</v>
      </c>
      <c r="K30" s="143">
        <f t="shared" si="16"/>
        <v>10100.700423985463</v>
      </c>
      <c r="L30" s="143">
        <f t="shared" si="16"/>
        <v>15151.050635978194</v>
      </c>
      <c r="M30" s="144">
        <f>$J30+$E13</f>
        <v>5198.8502119927316</v>
      </c>
      <c r="N30" s="144">
        <f>$K30+$E$14</f>
        <v>10294.300423985464</v>
      </c>
      <c r="O30" s="144">
        <f>$L30+$E17</f>
        <v>15406.250635978195</v>
      </c>
      <c r="P30" s="122">
        <f t="shared" si="17"/>
        <v>20588.600847970927</v>
      </c>
    </row>
    <row r="31" spans="2:28" x14ac:dyDescent="0.3">
      <c r="B31" s="136" t="s">
        <v>54</v>
      </c>
      <c r="C31" s="136" t="s">
        <v>49</v>
      </c>
      <c r="D31" s="137" t="s">
        <v>178</v>
      </c>
      <c r="E31" s="139">
        <v>0.18</v>
      </c>
      <c r="I31" s="148" t="s">
        <v>149</v>
      </c>
      <c r="J31" s="144">
        <f t="shared" si="16"/>
        <v>5243.8502119927316</v>
      </c>
      <c r="K31" s="143">
        <f t="shared" si="16"/>
        <v>10487.700423985463</v>
      </c>
      <c r="L31" s="143">
        <f t="shared" si="16"/>
        <v>15731.550635978194</v>
      </c>
      <c r="M31" s="144">
        <f>$J31+$E13</f>
        <v>5392.3502119927316</v>
      </c>
      <c r="N31" s="144">
        <f>$K31+$E$14</f>
        <v>10681.300423985464</v>
      </c>
      <c r="O31" s="144">
        <f>$L31+$E17</f>
        <v>15986.750635978195</v>
      </c>
      <c r="P31" s="122">
        <f t="shared" si="17"/>
        <v>21362.600847970927</v>
      </c>
      <c r="R31" s="150"/>
    </row>
    <row r="33" spans="2:5" x14ac:dyDescent="0.3">
      <c r="B33" t="s">
        <v>197</v>
      </c>
      <c r="C33" s="152" t="s">
        <v>186</v>
      </c>
      <c r="D33" t="s">
        <v>21</v>
      </c>
      <c r="E33" s="3">
        <f>1050*1.1</f>
        <v>1155</v>
      </c>
    </row>
    <row r="35" spans="2:5" x14ac:dyDescent="0.3">
      <c r="B35" s="149" t="s">
        <v>185</v>
      </c>
      <c r="C35" s="149">
        <v>30</v>
      </c>
      <c r="D35" s="149">
        <f>C35*1.1</f>
        <v>33</v>
      </c>
    </row>
    <row r="36" spans="2:5" x14ac:dyDescent="0.3">
      <c r="B36" s="149" t="s">
        <v>184</v>
      </c>
      <c r="C36" s="149">
        <v>135</v>
      </c>
      <c r="D36" s="149">
        <f>C36*1.1</f>
        <v>148.5</v>
      </c>
    </row>
    <row r="37" spans="2:5" x14ac:dyDescent="0.3">
      <c r="B37" s="149" t="s">
        <v>183</v>
      </c>
      <c r="C37" s="149">
        <v>176</v>
      </c>
      <c r="D37" s="149">
        <f>C37*1.1</f>
        <v>193.60000000000002</v>
      </c>
    </row>
  </sheetData>
  <mergeCells count="11">
    <mergeCell ref="B2:E2"/>
    <mergeCell ref="B4:B5"/>
    <mergeCell ref="B6:B8"/>
    <mergeCell ref="C6:C7"/>
    <mergeCell ref="B9:B11"/>
    <mergeCell ref="B12:B17"/>
    <mergeCell ref="B18:B19"/>
    <mergeCell ref="B28:B30"/>
    <mergeCell ref="D28:E28"/>
    <mergeCell ref="D29:E29"/>
    <mergeCell ref="D30:E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F08-3708-49D6-9F46-0E569E819530}">
  <dimension ref="C5:K13"/>
  <sheetViews>
    <sheetView workbookViewId="0">
      <selection activeCell="K12" sqref="K12"/>
    </sheetView>
  </sheetViews>
  <sheetFormatPr defaultRowHeight="16.5" x14ac:dyDescent="0.3"/>
  <sheetData>
    <row r="5" spans="3:11" x14ac:dyDescent="0.3">
      <c r="C5">
        <v>15500</v>
      </c>
      <c r="D5">
        <v>1330</v>
      </c>
      <c r="E5">
        <v>402</v>
      </c>
      <c r="F5">
        <v>161</v>
      </c>
      <c r="G5">
        <v>2300</v>
      </c>
      <c r="H5">
        <v>7450</v>
      </c>
      <c r="I5">
        <f>C5-D5-E5-F5-G5-H5</f>
        <v>3857</v>
      </c>
    </row>
    <row r="9" spans="3:11" x14ac:dyDescent="0.3">
      <c r="G9">
        <f>9400*0.07</f>
        <v>658.00000000000011</v>
      </c>
      <c r="H9">
        <f>10500*0.07</f>
        <v>735.00000000000011</v>
      </c>
      <c r="I9">
        <f>11500*0.07</f>
        <v>805.00000000000011</v>
      </c>
      <c r="J9">
        <f>11800*0.07</f>
        <v>826.00000000000011</v>
      </c>
      <c r="K9">
        <f>8900*0.07</f>
        <v>623.00000000000011</v>
      </c>
    </row>
    <row r="10" spans="3:11" x14ac:dyDescent="0.3">
      <c r="G10">
        <f>15000*0.07</f>
        <v>1050</v>
      </c>
      <c r="H10">
        <f>18000*0.07</f>
        <v>1260.0000000000002</v>
      </c>
      <c r="I10">
        <f>20000*0.07</f>
        <v>1400.0000000000002</v>
      </c>
      <c r="J10">
        <f>20600*0.07</f>
        <v>1442.0000000000002</v>
      </c>
      <c r="K10">
        <f>14000*0.07</f>
        <v>980.00000000000011</v>
      </c>
    </row>
    <row r="11" spans="3:11" x14ac:dyDescent="0.3">
      <c r="G11">
        <f>20500*0.07</f>
        <v>1435.0000000000002</v>
      </c>
      <c r="H11">
        <f>24640*0.07</f>
        <v>1724.8000000000002</v>
      </c>
      <c r="I11">
        <f>27600*0.07</f>
        <v>1932.0000000000002</v>
      </c>
      <c r="J11">
        <f>28400*0.07</f>
        <v>1988.0000000000002</v>
      </c>
      <c r="K11">
        <f>19400*0.07</f>
        <v>1358.0000000000002</v>
      </c>
    </row>
    <row r="13" spans="3:11" x14ac:dyDescent="0.3">
      <c r="C13">
        <v>10000</v>
      </c>
      <c r="D13">
        <f>C13*0.0858</f>
        <v>858</v>
      </c>
      <c r="E13">
        <v>12100</v>
      </c>
      <c r="F13">
        <f>E13-C13-D13</f>
        <v>1242</v>
      </c>
      <c r="G13">
        <f>F13/E13</f>
        <v>0.10264462809917356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AE4" sqref="AE4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95" t="s">
        <v>63</v>
      </c>
      <c r="C2" s="195"/>
      <c r="D2" s="195"/>
      <c r="E2" s="195"/>
      <c r="G2" s="188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75" t="s">
        <v>17</v>
      </c>
      <c r="R2" s="175"/>
      <c r="S2" s="176"/>
      <c r="U2" s="170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67" t="s">
        <v>17</v>
      </c>
      <c r="AF2" s="168"/>
      <c r="AG2" s="169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89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71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87" t="s">
        <v>56</v>
      </c>
      <c r="C4" s="28" t="s">
        <v>41</v>
      </c>
      <c r="D4" s="28" t="s">
        <v>55</v>
      </c>
      <c r="E4" s="26">
        <v>1290</v>
      </c>
      <c r="G4" s="189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71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87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87" t="s">
        <v>54</v>
      </c>
      <c r="C6" s="196" t="s">
        <v>27</v>
      </c>
      <c r="D6" s="28" t="s">
        <v>53</v>
      </c>
      <c r="E6" s="26">
        <f>110</f>
        <v>110</v>
      </c>
      <c r="G6" s="190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75" t="s">
        <v>11</v>
      </c>
      <c r="R6" s="175"/>
      <c r="S6" s="176"/>
      <c r="U6" s="170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67" t="s">
        <v>17</v>
      </c>
      <c r="AF6" s="168"/>
      <c r="AG6" s="169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87"/>
      <c r="C7" s="197"/>
      <c r="D7" s="28" t="s">
        <v>50</v>
      </c>
      <c r="E7" s="26">
        <f>E6/12.7</f>
        <v>8.6614173228346463</v>
      </c>
      <c r="G7" s="191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71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87"/>
      <c r="C8" s="28" t="s">
        <v>49</v>
      </c>
      <c r="D8" s="28" t="s">
        <v>21</v>
      </c>
      <c r="E8" s="26">
        <v>50</v>
      </c>
      <c r="G8" s="191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71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87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87"/>
      <c r="C10" s="28"/>
      <c r="D10" s="28"/>
      <c r="E10" s="26"/>
      <c r="G10" s="181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75" t="s">
        <v>11</v>
      </c>
      <c r="R10" s="175"/>
      <c r="S10" s="176"/>
      <c r="U10" s="170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67" t="s">
        <v>17</v>
      </c>
      <c r="AF10" s="168"/>
      <c r="AG10" s="169"/>
    </row>
    <row r="11" spans="2:51" ht="16.5" customHeight="1" x14ac:dyDescent="0.3">
      <c r="B11" s="187" t="s">
        <v>22</v>
      </c>
      <c r="C11" s="28" t="s">
        <v>45</v>
      </c>
      <c r="D11" s="28" t="s">
        <v>21</v>
      </c>
      <c r="E11" s="26">
        <f>225*1.1</f>
        <v>247.50000000000003</v>
      </c>
      <c r="G11" s="182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71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87"/>
      <c r="C12" s="28" t="s">
        <v>44</v>
      </c>
      <c r="D12" s="28" t="s">
        <v>21</v>
      </c>
      <c r="E12" s="26">
        <f>227*1.1</f>
        <v>249.70000000000002</v>
      </c>
      <c r="G12" s="182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71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87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94" t="s">
        <v>42</v>
      </c>
      <c r="C14" s="28" t="s">
        <v>41</v>
      </c>
      <c r="D14" s="28" t="s">
        <v>21</v>
      </c>
      <c r="E14" s="26">
        <f>1015*1.1</f>
        <v>1116.5</v>
      </c>
      <c r="G14" s="192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75" t="s">
        <v>11</v>
      </c>
      <c r="R14" s="175"/>
      <c r="S14" s="176"/>
      <c r="U14" s="170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67" t="s">
        <v>17</v>
      </c>
      <c r="AF14" s="168"/>
      <c r="AG14" s="169"/>
    </row>
    <row r="15" spans="2:51" ht="16.5" customHeight="1" x14ac:dyDescent="0.3">
      <c r="B15" s="187"/>
      <c r="C15" s="28" t="s">
        <v>38</v>
      </c>
      <c r="D15" s="28" t="s">
        <v>21</v>
      </c>
      <c r="E15" s="26">
        <f>1060*1.1</f>
        <v>1166</v>
      </c>
      <c r="G15" s="193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71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93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71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77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75" t="s">
        <v>11</v>
      </c>
      <c r="R18" s="175"/>
      <c r="S18" s="176"/>
      <c r="U18" s="172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67" t="s">
        <v>17</v>
      </c>
      <c r="AF18" s="168"/>
      <c r="AG18" s="169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78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73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78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73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79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75" t="s">
        <v>11</v>
      </c>
      <c r="R22" s="175"/>
      <c r="S22" s="176"/>
      <c r="U22" s="172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67" t="s">
        <v>17</v>
      </c>
      <c r="AF22" s="168"/>
      <c r="AG22" s="169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80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73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80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73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81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75" t="s">
        <v>17</v>
      </c>
      <c r="R26" s="175"/>
      <c r="S26" s="176"/>
      <c r="U26" s="172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75" t="s">
        <v>17</v>
      </c>
      <c r="AF26" s="175"/>
      <c r="AG26" s="176"/>
    </row>
    <row r="27" spans="2:33" ht="16.5" customHeight="1" x14ac:dyDescent="0.3">
      <c r="G27" s="182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74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82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74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83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75" t="s">
        <v>17</v>
      </c>
      <c r="R30" s="175"/>
      <c r="S30" s="176"/>
      <c r="U30" s="172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75" t="s">
        <v>17</v>
      </c>
      <c r="AF30" s="175"/>
      <c r="AG30" s="176"/>
    </row>
    <row r="31" spans="2:33" ht="16.5" customHeight="1" x14ac:dyDescent="0.3">
      <c r="G31" s="184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74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84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74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85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75" t="s">
        <v>11</v>
      </c>
      <c r="R34" s="175"/>
      <c r="S34" s="176"/>
    </row>
    <row r="35" spans="7:19" x14ac:dyDescent="0.3">
      <c r="G35" s="186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86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88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75" t="s">
        <v>17</v>
      </c>
      <c r="R38" s="175"/>
      <c r="S38" s="176"/>
    </row>
    <row r="39" spans="7:19" x14ac:dyDescent="0.3">
      <c r="G39" s="189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89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77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75" t="s">
        <v>11</v>
      </c>
      <c r="R42" s="175"/>
      <c r="S42" s="176"/>
    </row>
    <row r="43" spans="7:19" x14ac:dyDescent="0.3">
      <c r="G43" s="178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78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V12" sqref="V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220" t="s">
        <v>101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</row>
    <row r="4" spans="2:32" x14ac:dyDescent="0.3"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</row>
    <row r="5" spans="2:32" x14ac:dyDescent="0.3"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221" t="s">
        <v>102</v>
      </c>
      <c r="C8" s="222"/>
      <c r="D8" s="222"/>
      <c r="E8" s="222"/>
      <c r="F8" s="222"/>
      <c r="G8" s="222"/>
      <c r="H8" s="222"/>
      <c r="I8" s="222"/>
      <c r="J8" s="222"/>
      <c r="K8" s="223"/>
      <c r="L8" s="224"/>
      <c r="M8" s="225"/>
      <c r="N8" s="226" t="s">
        <v>73</v>
      </c>
      <c r="O8" s="227"/>
      <c r="P8" s="227"/>
      <c r="Q8" s="228"/>
      <c r="R8" s="229" t="s">
        <v>103</v>
      </c>
      <c r="S8" s="230"/>
      <c r="T8" s="231"/>
      <c r="U8" s="70" t="s">
        <v>104</v>
      </c>
      <c r="V8" s="232" t="s">
        <v>0</v>
      </c>
      <c r="W8" s="233"/>
      <c r="X8" s="233"/>
      <c r="Y8" s="233"/>
      <c r="Z8" s="233"/>
      <c r="AA8" s="233"/>
      <c r="AB8" s="233"/>
      <c r="AC8" s="234"/>
    </row>
    <row r="9" spans="2:32" ht="16.5" customHeight="1" x14ac:dyDescent="0.3">
      <c r="B9" s="209" t="s">
        <v>72</v>
      </c>
      <c r="C9" s="210" t="s">
        <v>105</v>
      </c>
      <c r="D9" s="210" t="s">
        <v>69</v>
      </c>
      <c r="E9" s="212" t="s">
        <v>70</v>
      </c>
      <c r="F9" s="213"/>
      <c r="G9" s="210" t="s">
        <v>106</v>
      </c>
      <c r="H9" s="214" t="s">
        <v>102</v>
      </c>
      <c r="I9" s="215" t="s">
        <v>71</v>
      </c>
      <c r="J9" s="216" t="s">
        <v>107</v>
      </c>
      <c r="K9" s="215" t="s">
        <v>108</v>
      </c>
      <c r="L9" s="218" t="s">
        <v>109</v>
      </c>
      <c r="M9" s="207" t="s">
        <v>110</v>
      </c>
      <c r="N9" s="203" t="s">
        <v>111</v>
      </c>
      <c r="O9" s="204" t="s">
        <v>73</v>
      </c>
      <c r="P9" s="203" t="s">
        <v>112</v>
      </c>
      <c r="Q9" s="205" t="s">
        <v>113</v>
      </c>
      <c r="R9" s="198" t="s">
        <v>114</v>
      </c>
      <c r="S9" s="198" t="s">
        <v>115</v>
      </c>
      <c r="T9" s="198" t="s">
        <v>116</v>
      </c>
      <c r="U9" s="200" t="s">
        <v>117</v>
      </c>
      <c r="V9" s="201" t="s">
        <v>118</v>
      </c>
      <c r="W9" s="201"/>
      <c r="X9" s="201"/>
      <c r="Y9" s="201"/>
      <c r="Z9" s="201" t="s">
        <v>119</v>
      </c>
      <c r="AA9" s="201"/>
      <c r="AB9" s="201"/>
      <c r="AC9" s="202"/>
    </row>
    <row r="10" spans="2:32" ht="17.25" thickBot="1" x14ac:dyDescent="0.35">
      <c r="B10" s="209"/>
      <c r="C10" s="211"/>
      <c r="D10" s="211"/>
      <c r="E10" s="71" t="s">
        <v>120</v>
      </c>
      <c r="F10" s="71" t="s">
        <v>121</v>
      </c>
      <c r="G10" s="211"/>
      <c r="H10" s="214"/>
      <c r="I10" s="215"/>
      <c r="J10" s="217"/>
      <c r="K10" s="215"/>
      <c r="L10" s="219"/>
      <c r="M10" s="208"/>
      <c r="N10" s="204"/>
      <c r="O10" s="204"/>
      <c r="P10" s="204"/>
      <c r="Q10" s="206"/>
      <c r="R10" s="199"/>
      <c r="S10" s="199"/>
      <c r="T10" s="199"/>
      <c r="U10" s="200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220" t="s">
        <v>101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</row>
    <row r="4" spans="2:30" x14ac:dyDescent="0.3"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</row>
    <row r="5" spans="2:30" x14ac:dyDescent="0.3"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221" t="s">
        <v>102</v>
      </c>
      <c r="C8" s="222"/>
      <c r="D8" s="222"/>
      <c r="E8" s="222"/>
      <c r="F8" s="222"/>
      <c r="G8" s="222"/>
      <c r="H8" s="222"/>
      <c r="I8" s="223"/>
      <c r="J8" s="224"/>
      <c r="K8" s="225"/>
      <c r="L8" s="226" t="s">
        <v>73</v>
      </c>
      <c r="M8" s="227"/>
      <c r="N8" s="227"/>
      <c r="O8" s="228"/>
      <c r="P8" s="229" t="s">
        <v>103</v>
      </c>
      <c r="Q8" s="230"/>
      <c r="R8" s="231"/>
      <c r="S8" s="70" t="s">
        <v>104</v>
      </c>
      <c r="T8" s="232" t="s">
        <v>0</v>
      </c>
      <c r="U8" s="233"/>
      <c r="V8" s="233"/>
      <c r="W8" s="233"/>
      <c r="X8" s="233"/>
      <c r="Y8" s="233"/>
      <c r="Z8" s="233"/>
      <c r="AA8" s="234"/>
    </row>
    <row r="9" spans="2:30" ht="16.5" customHeight="1" x14ac:dyDescent="0.3">
      <c r="B9" s="209" t="s">
        <v>72</v>
      </c>
      <c r="C9" s="210" t="s">
        <v>69</v>
      </c>
      <c r="D9" s="210" t="s">
        <v>70</v>
      </c>
      <c r="E9" s="210" t="s">
        <v>106</v>
      </c>
      <c r="F9" s="214" t="s">
        <v>102</v>
      </c>
      <c r="G9" s="215" t="s">
        <v>71</v>
      </c>
      <c r="H9" s="216" t="s">
        <v>107</v>
      </c>
      <c r="I9" s="215" t="s">
        <v>108</v>
      </c>
      <c r="J9" s="218" t="s">
        <v>109</v>
      </c>
      <c r="K9" s="207" t="s">
        <v>110</v>
      </c>
      <c r="L9" s="203" t="s">
        <v>111</v>
      </c>
      <c r="M9" s="204" t="s">
        <v>73</v>
      </c>
      <c r="N9" s="203" t="s">
        <v>112</v>
      </c>
      <c r="O9" s="205" t="s">
        <v>113</v>
      </c>
      <c r="P9" s="198" t="s">
        <v>114</v>
      </c>
      <c r="Q9" s="198" t="s">
        <v>115</v>
      </c>
      <c r="R9" s="198" t="s">
        <v>116</v>
      </c>
      <c r="S9" s="200" t="s">
        <v>117</v>
      </c>
      <c r="T9" s="201" t="s">
        <v>118</v>
      </c>
      <c r="U9" s="201"/>
      <c r="V9" s="201"/>
      <c r="W9" s="201"/>
      <c r="X9" s="201" t="s">
        <v>119</v>
      </c>
      <c r="Y9" s="201"/>
      <c r="Z9" s="201"/>
      <c r="AA9" s="202"/>
    </row>
    <row r="10" spans="2:30" ht="17.25" thickBot="1" x14ac:dyDescent="0.35">
      <c r="B10" s="209"/>
      <c r="C10" s="211"/>
      <c r="D10" s="211"/>
      <c r="E10" s="211"/>
      <c r="F10" s="214"/>
      <c r="G10" s="215"/>
      <c r="H10" s="217"/>
      <c r="I10" s="215"/>
      <c r="J10" s="219"/>
      <c r="K10" s="208"/>
      <c r="L10" s="204"/>
      <c r="M10" s="204"/>
      <c r="N10" s="204"/>
      <c r="O10" s="206"/>
      <c r="P10" s="199"/>
      <c r="Q10" s="199"/>
      <c r="R10" s="199"/>
      <c r="S10" s="200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정보</vt:lpstr>
      <vt:lpstr>원가계산</vt:lpstr>
      <vt:lpstr>Sheet1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2021-02-08T08:43:09Z</dcterms:modified>
</cp:coreProperties>
</file>