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20" windowWidth="19065" windowHeight="11850"/>
  </bookViews>
  <sheets>
    <sheet name="Summary Tables" sheetId="1" r:id="rId1"/>
    <sheet name="Workings Out" sheetId="2" r:id="rId2"/>
    <sheet name="Cost Effectiveness Plane" sheetId="4" r:id="rId3"/>
  </sheets>
  <definedNames>
    <definedName name="A.ben">'Summary Tables'!$D$4</definedName>
    <definedName name="A.cost">'Summary Tables'!$C$4</definedName>
    <definedName name="B.ben">'Summary Tables'!$D$5</definedName>
    <definedName name="B.cost">'Summary Tables'!$C$5</definedName>
    <definedName name="C.ben">'Summary Tables'!$D$6</definedName>
    <definedName name="C.cost">'Summary Tables'!$C$6</definedName>
    <definedName name="D.ben">'Summary Tables'!$D$7</definedName>
    <definedName name="D.cost">'Summary Tables'!$C$7</definedName>
    <definedName name="E.ben">'Summary Tables'!$D$8</definedName>
    <definedName name="E.cost">'Summary Tables'!$C$8</definedName>
    <definedName name="F.ben">'Summary Tables'!$D$9</definedName>
    <definedName name="F.cost">'Summary Tables'!$C$9</definedName>
    <definedName name="G.ben">'Summary Tables'!$D$10</definedName>
    <definedName name="G.cost">'Summary Tables'!$C$10</definedName>
    <definedName name="H.ben">'Summary Tables'!$D$11</definedName>
    <definedName name="H.cost">'Summary Tables'!$C$11</definedName>
    <definedName name="I.ben">'Summary Tables'!$D$12</definedName>
    <definedName name="I.cost">'Summary Tables'!$C$12</definedName>
    <definedName name="J.ben">'Summary Tables'!$D$13</definedName>
    <definedName name="J.cost">'Summary Tables'!$C$13</definedName>
    <definedName name="K.ben">'Summary Tables'!$D$14</definedName>
    <definedName name="K.cost">'Summary Tables'!$C$14</definedName>
    <definedName name="L.ben">'Summary Tables'!$D$15</definedName>
    <definedName name="L.cost">'Summary Tables'!$C$15</definedName>
    <definedName name="M.ben">'Summary Tables'!$D$16</definedName>
    <definedName name="M.cost">'Summary Tables'!$C$16</definedName>
    <definedName name="N.ben">'Summary Tables'!$D$17</definedName>
    <definedName name="N.cost">'Summary Tables'!$C$17</definedName>
    <definedName name="O.ben">'Summary Tables'!$D$18</definedName>
    <definedName name="O.cost">'Summary Tables'!$C$18</definedName>
    <definedName name="P.ben">'Summary Tables'!$D$19</definedName>
    <definedName name="P.cost">'Summary Tables'!$C$19</definedName>
    <definedName name="Q.ben">'Summary Tables'!$D$20</definedName>
    <definedName name="Q.cost">'Summary Tables'!$C$20</definedName>
    <definedName name="R.ben">'Summary Tables'!$D$21</definedName>
    <definedName name="R.cost">'Summary Tables'!$C$21</definedName>
    <definedName name="S.ben">'Summary Tables'!$D$22</definedName>
    <definedName name="S.cost">'Summary Tables'!$C$22</definedName>
    <definedName name="T.ben">'Summary Tables'!$D$23</definedName>
    <definedName name="T.cost">'Summary Tables'!$C$23</definedName>
    <definedName name="U.ben">'Summary Tables'!$D$24</definedName>
    <definedName name="U.cost">'Summary Tables'!$C$24</definedName>
    <definedName name="V.ben">'Summary Tables'!$D$25</definedName>
    <definedName name="V.cost">'Summary Tables'!$C$25</definedName>
    <definedName name="W.ben">'Summary Tables'!$D$26</definedName>
    <definedName name="W.cost">'Summary Tables'!$C$26</definedName>
    <definedName name="X.ben">'Summary Tables'!$D$27</definedName>
    <definedName name="X.cost">'Summary Tables'!$C$27</definedName>
    <definedName name="Y.ben">'Summary Tables'!$D$28</definedName>
    <definedName name="Y.cost">'Summary Tables'!$C$28</definedName>
    <definedName name="Z.ben">'Summary Tables'!$D$29</definedName>
    <definedName name="Z.cost">'Summary Tables'!$C$29</definedName>
  </definedNames>
  <calcPr calcId="145621"/>
</workbook>
</file>

<file path=xl/calcChain.xml><?xml version="1.0" encoding="utf-8"?>
<calcChain xmlns="http://schemas.openxmlformats.org/spreadsheetml/2006/main">
  <c r="AG3" i="1" l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H4" i="1"/>
  <c r="C4" i="2"/>
  <c r="C33" i="2"/>
  <c r="AE4" i="2"/>
  <c r="AE33" i="2"/>
  <c r="H5" i="1"/>
  <c r="C5" i="2"/>
  <c r="C34" i="2"/>
  <c r="AE5" i="2"/>
  <c r="AE34" i="2"/>
  <c r="H6" i="1"/>
  <c r="C6" i="2"/>
  <c r="C35" i="2"/>
  <c r="AE6" i="2"/>
  <c r="AE35" i="2"/>
  <c r="H7" i="1"/>
  <c r="C7" i="2"/>
  <c r="C36" i="2"/>
  <c r="AE7" i="2"/>
  <c r="AE36" i="2"/>
  <c r="H8" i="1"/>
  <c r="C8" i="2"/>
  <c r="C37" i="2"/>
  <c r="AE8" i="2"/>
  <c r="AE37" i="2"/>
  <c r="H9" i="1"/>
  <c r="C9" i="2"/>
  <c r="C38" i="2"/>
  <c r="AE9" i="2"/>
  <c r="AE38" i="2"/>
  <c r="H10" i="1"/>
  <c r="C10" i="2"/>
  <c r="C39" i="2"/>
  <c r="AE10" i="2"/>
  <c r="AE39" i="2"/>
  <c r="H11" i="1"/>
  <c r="C11" i="2"/>
  <c r="C40" i="2"/>
  <c r="AE11" i="2"/>
  <c r="AE40" i="2"/>
  <c r="H12" i="1"/>
  <c r="C12" i="2"/>
  <c r="C41" i="2"/>
  <c r="AE12" i="2"/>
  <c r="AE41" i="2"/>
  <c r="H13" i="1"/>
  <c r="C13" i="2"/>
  <c r="C42" i="2"/>
  <c r="AE13" i="2"/>
  <c r="AE42" i="2"/>
  <c r="H14" i="1"/>
  <c r="C14" i="2"/>
  <c r="C43" i="2"/>
  <c r="AE14" i="2"/>
  <c r="AE43" i="2"/>
  <c r="H15" i="1"/>
  <c r="C15" i="2"/>
  <c r="C44" i="2"/>
  <c r="AE15" i="2"/>
  <c r="AE44" i="2"/>
  <c r="H16" i="1"/>
  <c r="C16" i="2"/>
  <c r="C45" i="2"/>
  <c r="AE16" i="2"/>
  <c r="AE45" i="2"/>
  <c r="H17" i="1"/>
  <c r="C17" i="2"/>
  <c r="C46" i="2"/>
  <c r="AE17" i="2"/>
  <c r="AE46" i="2"/>
  <c r="H18" i="1"/>
  <c r="C18" i="2"/>
  <c r="C47" i="2"/>
  <c r="AE18" i="2"/>
  <c r="AE47" i="2"/>
  <c r="H19" i="1"/>
  <c r="C19" i="2"/>
  <c r="C48" i="2"/>
  <c r="AE19" i="2"/>
  <c r="AE48" i="2"/>
  <c r="H20" i="1"/>
  <c r="C20" i="2"/>
  <c r="C49" i="2"/>
  <c r="AE20" i="2"/>
  <c r="AE49" i="2"/>
  <c r="H21" i="1"/>
  <c r="C21" i="2"/>
  <c r="C50" i="2"/>
  <c r="AE21" i="2"/>
  <c r="AE50" i="2"/>
  <c r="H22" i="1"/>
  <c r="C22" i="2"/>
  <c r="C51" i="2"/>
  <c r="AE22" i="2"/>
  <c r="AE51" i="2"/>
  <c r="H23" i="1"/>
  <c r="C23" i="2"/>
  <c r="C52" i="2"/>
  <c r="AE23" i="2"/>
  <c r="AE52" i="2"/>
  <c r="H24" i="1"/>
  <c r="C24" i="2"/>
  <c r="C53" i="2"/>
  <c r="AE24" i="2"/>
  <c r="AE53" i="2"/>
  <c r="H25" i="1"/>
  <c r="C25" i="2"/>
  <c r="C54" i="2"/>
  <c r="AE25" i="2"/>
  <c r="AE54" i="2"/>
  <c r="H26" i="1"/>
  <c r="C26" i="2"/>
  <c r="C55" i="2"/>
  <c r="AE26" i="2"/>
  <c r="AE55" i="2"/>
  <c r="H27" i="1"/>
  <c r="C27" i="2"/>
  <c r="C56" i="2"/>
  <c r="AE27" i="2"/>
  <c r="AE56" i="2"/>
  <c r="H28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10" i="1"/>
  <c r="G9" i="1"/>
  <c r="G8" i="1"/>
  <c r="G7" i="1"/>
  <c r="G6" i="1"/>
  <c r="G5" i="1"/>
  <c r="G4" i="1"/>
  <c r="D3" i="2"/>
  <c r="D32" i="2"/>
  <c r="AF3" i="2"/>
  <c r="AF32" i="2"/>
  <c r="E3" i="2"/>
  <c r="E32" i="2"/>
  <c r="AG3" i="2"/>
  <c r="AG32" i="2"/>
  <c r="F3" i="2"/>
  <c r="F32" i="2"/>
  <c r="AH3" i="2"/>
  <c r="AH32" i="2"/>
  <c r="G3" i="2"/>
  <c r="G32" i="2"/>
  <c r="AI3" i="2"/>
  <c r="AI32" i="2"/>
  <c r="H3" i="2"/>
  <c r="H32" i="2"/>
  <c r="AJ3" i="2"/>
  <c r="AJ32" i="2"/>
  <c r="I3" i="2"/>
  <c r="I32" i="2"/>
  <c r="AK3" i="2"/>
  <c r="AK32" i="2"/>
  <c r="J3" i="2"/>
  <c r="J32" i="2"/>
  <c r="AL3" i="2"/>
  <c r="AL32" i="2"/>
  <c r="K3" i="2"/>
  <c r="K32" i="2"/>
  <c r="AM3" i="2"/>
  <c r="AM32" i="2"/>
  <c r="L3" i="2"/>
  <c r="L32" i="2"/>
  <c r="AN3" i="2"/>
  <c r="AN32" i="2"/>
  <c r="M3" i="2"/>
  <c r="M32" i="2"/>
  <c r="AO3" i="2"/>
  <c r="AO32" i="2"/>
  <c r="N3" i="2"/>
  <c r="N32" i="2"/>
  <c r="AP3" i="2"/>
  <c r="AP32" i="2"/>
  <c r="O3" i="2"/>
  <c r="O32" i="2"/>
  <c r="AQ3" i="2"/>
  <c r="AQ32" i="2"/>
  <c r="P3" i="2"/>
  <c r="P32" i="2"/>
  <c r="AR3" i="2"/>
  <c r="AR32" i="2"/>
  <c r="Q3" i="2"/>
  <c r="Q32" i="2"/>
  <c r="AS3" i="2"/>
  <c r="AS32" i="2"/>
  <c r="R3" i="2"/>
  <c r="R32" i="2"/>
  <c r="AT3" i="2"/>
  <c r="AT32" i="2"/>
  <c r="S3" i="2"/>
  <c r="S32" i="2"/>
  <c r="AU3" i="2"/>
  <c r="AU32" i="2"/>
  <c r="T3" i="2"/>
  <c r="T32" i="2"/>
  <c r="AV3" i="2"/>
  <c r="AV32" i="2"/>
  <c r="U3" i="2"/>
  <c r="U32" i="2"/>
  <c r="AW3" i="2"/>
  <c r="AW32" i="2"/>
  <c r="V3" i="2"/>
  <c r="V32" i="2"/>
  <c r="AX3" i="2"/>
  <c r="AX32" i="2"/>
  <c r="W3" i="2"/>
  <c r="W32" i="2"/>
  <c r="AY3" i="2"/>
  <c r="AY32" i="2"/>
  <c r="X3" i="2"/>
  <c r="X32" i="2"/>
  <c r="AZ3" i="2"/>
  <c r="AZ32" i="2"/>
  <c r="Y3" i="2"/>
  <c r="Y32" i="2"/>
  <c r="BA3" i="2"/>
  <c r="BA32" i="2"/>
  <c r="Z3" i="2"/>
  <c r="Z32" i="2"/>
  <c r="BB3" i="2"/>
  <c r="BB32" i="2"/>
  <c r="AA3" i="2"/>
  <c r="AA32" i="2"/>
  <c r="BC3" i="2"/>
  <c r="BC32" i="2"/>
  <c r="AB3" i="2"/>
  <c r="AB32" i="2"/>
  <c r="BD3" i="2"/>
  <c r="BD32" i="2"/>
  <c r="AF4" i="2"/>
  <c r="AF33" i="2"/>
  <c r="E33" i="2"/>
  <c r="E4" i="2"/>
  <c r="AG4" i="2"/>
  <c r="AG33" i="2"/>
  <c r="F33" i="2"/>
  <c r="F4" i="2"/>
  <c r="AH4" i="2"/>
  <c r="AH33" i="2"/>
  <c r="G33" i="2"/>
  <c r="G4" i="2"/>
  <c r="AI4" i="2"/>
  <c r="AI33" i="2"/>
  <c r="H33" i="2"/>
  <c r="H4" i="2"/>
  <c r="AJ4" i="2"/>
  <c r="AJ33" i="2"/>
  <c r="I33" i="2"/>
  <c r="I4" i="2"/>
  <c r="AK4" i="2"/>
  <c r="AK33" i="2"/>
  <c r="J33" i="2"/>
  <c r="J4" i="2"/>
  <c r="AL4" i="2"/>
  <c r="AL33" i="2"/>
  <c r="K33" i="2"/>
  <c r="K4" i="2"/>
  <c r="AM4" i="2"/>
  <c r="AM33" i="2"/>
  <c r="L33" i="2"/>
  <c r="L4" i="2"/>
  <c r="AN4" i="2"/>
  <c r="AN33" i="2"/>
  <c r="M33" i="2"/>
  <c r="M4" i="2"/>
  <c r="AO4" i="2"/>
  <c r="AO33" i="2"/>
  <c r="N33" i="2"/>
  <c r="N4" i="2"/>
  <c r="AP4" i="2"/>
  <c r="AP33" i="2"/>
  <c r="O33" i="2"/>
  <c r="O4" i="2"/>
  <c r="AQ4" i="2"/>
  <c r="AQ33" i="2"/>
  <c r="P33" i="2"/>
  <c r="P4" i="2"/>
  <c r="AR4" i="2"/>
  <c r="AR33" i="2"/>
  <c r="Q33" i="2"/>
  <c r="Q4" i="2"/>
  <c r="AS4" i="2"/>
  <c r="AS33" i="2"/>
  <c r="R33" i="2"/>
  <c r="R4" i="2"/>
  <c r="AT4" i="2"/>
  <c r="AT33" i="2"/>
  <c r="S33" i="2"/>
  <c r="S4" i="2"/>
  <c r="AU4" i="2"/>
  <c r="AU33" i="2"/>
  <c r="T33" i="2"/>
  <c r="T4" i="2"/>
  <c r="AV4" i="2"/>
  <c r="AV33" i="2"/>
  <c r="U33" i="2"/>
  <c r="U4" i="2"/>
  <c r="AW4" i="2"/>
  <c r="AW33" i="2"/>
  <c r="V33" i="2"/>
  <c r="V4" i="2"/>
  <c r="AX4" i="2"/>
  <c r="AX33" i="2"/>
  <c r="W33" i="2"/>
  <c r="W4" i="2"/>
  <c r="AY4" i="2"/>
  <c r="AY33" i="2"/>
  <c r="X33" i="2"/>
  <c r="X4" i="2"/>
  <c r="AZ4" i="2"/>
  <c r="AZ33" i="2"/>
  <c r="Y33" i="2"/>
  <c r="Y4" i="2"/>
  <c r="BA4" i="2"/>
  <c r="BA33" i="2"/>
  <c r="Z33" i="2"/>
  <c r="Z4" i="2"/>
  <c r="BB4" i="2"/>
  <c r="BB33" i="2"/>
  <c r="AA33" i="2"/>
  <c r="AA4" i="2"/>
  <c r="BC4" i="2"/>
  <c r="BC33" i="2"/>
  <c r="AB33" i="2"/>
  <c r="AB4" i="2"/>
  <c r="BD4" i="2"/>
  <c r="BD33" i="2"/>
  <c r="D34" i="2"/>
  <c r="D5" i="2"/>
  <c r="AF5" i="2"/>
  <c r="AF34" i="2"/>
  <c r="AG5" i="2"/>
  <c r="AG34" i="2"/>
  <c r="F5" i="2"/>
  <c r="F34" i="2"/>
  <c r="AH5" i="2"/>
  <c r="AH34" i="2"/>
  <c r="G5" i="2"/>
  <c r="G34" i="2"/>
  <c r="AI5" i="2"/>
  <c r="AI34" i="2"/>
  <c r="H5" i="2"/>
  <c r="H34" i="2"/>
  <c r="AJ5" i="2"/>
  <c r="AJ34" i="2"/>
  <c r="I5" i="2"/>
  <c r="I34" i="2"/>
  <c r="AK5" i="2"/>
  <c r="AK34" i="2"/>
  <c r="J5" i="2"/>
  <c r="J34" i="2"/>
  <c r="AL5" i="2"/>
  <c r="AL34" i="2"/>
  <c r="K5" i="2"/>
  <c r="K34" i="2"/>
  <c r="AM5" i="2"/>
  <c r="AM34" i="2"/>
  <c r="L5" i="2"/>
  <c r="L34" i="2"/>
  <c r="AN5" i="2"/>
  <c r="AN34" i="2"/>
  <c r="M5" i="2"/>
  <c r="M34" i="2"/>
  <c r="AO5" i="2"/>
  <c r="AO34" i="2"/>
  <c r="N5" i="2"/>
  <c r="N34" i="2"/>
  <c r="AP5" i="2"/>
  <c r="AP34" i="2"/>
  <c r="O5" i="2"/>
  <c r="O34" i="2"/>
  <c r="AQ5" i="2"/>
  <c r="AQ34" i="2"/>
  <c r="P5" i="2"/>
  <c r="P34" i="2"/>
  <c r="AR5" i="2"/>
  <c r="AR34" i="2"/>
  <c r="Q5" i="2"/>
  <c r="Q34" i="2"/>
  <c r="AS5" i="2"/>
  <c r="AS34" i="2"/>
  <c r="R5" i="2"/>
  <c r="R34" i="2"/>
  <c r="AT5" i="2"/>
  <c r="AT34" i="2"/>
  <c r="S5" i="2"/>
  <c r="S34" i="2"/>
  <c r="AU5" i="2"/>
  <c r="AU34" i="2"/>
  <c r="T5" i="2"/>
  <c r="T34" i="2"/>
  <c r="AV5" i="2"/>
  <c r="AV34" i="2"/>
  <c r="U5" i="2"/>
  <c r="U34" i="2"/>
  <c r="AW5" i="2"/>
  <c r="AW34" i="2"/>
  <c r="V5" i="2"/>
  <c r="V34" i="2"/>
  <c r="AX5" i="2"/>
  <c r="AX34" i="2"/>
  <c r="W5" i="2"/>
  <c r="W34" i="2"/>
  <c r="AY5" i="2"/>
  <c r="AY34" i="2"/>
  <c r="X5" i="2"/>
  <c r="X34" i="2"/>
  <c r="AZ5" i="2"/>
  <c r="AZ34" i="2"/>
  <c r="Y5" i="2"/>
  <c r="Y34" i="2"/>
  <c r="BA5" i="2"/>
  <c r="BA34" i="2"/>
  <c r="Z5" i="2"/>
  <c r="Z34" i="2"/>
  <c r="BB5" i="2"/>
  <c r="BB34" i="2"/>
  <c r="AA5" i="2"/>
  <c r="AA34" i="2"/>
  <c r="BC5" i="2"/>
  <c r="BC34" i="2"/>
  <c r="AB5" i="2"/>
  <c r="AB34" i="2"/>
  <c r="BD5" i="2"/>
  <c r="BD34" i="2"/>
  <c r="D35" i="2"/>
  <c r="D6" i="2"/>
  <c r="AF6" i="2"/>
  <c r="AF35" i="2"/>
  <c r="E6" i="2"/>
  <c r="E35" i="2"/>
  <c r="AG6" i="2"/>
  <c r="AG35" i="2"/>
  <c r="AH6" i="2"/>
  <c r="AH35" i="2"/>
  <c r="G6" i="2"/>
  <c r="G35" i="2"/>
  <c r="AI6" i="2"/>
  <c r="AI35" i="2"/>
  <c r="H6" i="2"/>
  <c r="H35" i="2"/>
  <c r="AJ6" i="2"/>
  <c r="AJ35" i="2"/>
  <c r="I6" i="2"/>
  <c r="I35" i="2"/>
  <c r="AK6" i="2"/>
  <c r="AK35" i="2"/>
  <c r="J6" i="2"/>
  <c r="J35" i="2"/>
  <c r="AL6" i="2"/>
  <c r="AL35" i="2"/>
  <c r="K6" i="2"/>
  <c r="K35" i="2"/>
  <c r="AM6" i="2"/>
  <c r="AM35" i="2"/>
  <c r="L6" i="2"/>
  <c r="L35" i="2"/>
  <c r="AN6" i="2"/>
  <c r="AN35" i="2"/>
  <c r="M6" i="2"/>
  <c r="M35" i="2"/>
  <c r="AO6" i="2"/>
  <c r="AO35" i="2"/>
  <c r="N6" i="2"/>
  <c r="N35" i="2"/>
  <c r="AP6" i="2"/>
  <c r="AP35" i="2"/>
  <c r="O6" i="2"/>
  <c r="O35" i="2"/>
  <c r="AQ6" i="2"/>
  <c r="AQ35" i="2"/>
  <c r="P6" i="2"/>
  <c r="P35" i="2"/>
  <c r="AR6" i="2"/>
  <c r="AR35" i="2"/>
  <c r="Q6" i="2"/>
  <c r="Q35" i="2"/>
  <c r="AS6" i="2"/>
  <c r="AS35" i="2"/>
  <c r="R6" i="2"/>
  <c r="R35" i="2"/>
  <c r="AT6" i="2"/>
  <c r="AT35" i="2"/>
  <c r="S6" i="2"/>
  <c r="S35" i="2"/>
  <c r="AU6" i="2"/>
  <c r="AU35" i="2"/>
  <c r="T6" i="2"/>
  <c r="T35" i="2"/>
  <c r="AV6" i="2"/>
  <c r="AV35" i="2"/>
  <c r="U6" i="2"/>
  <c r="U35" i="2"/>
  <c r="AW6" i="2"/>
  <c r="AW35" i="2"/>
  <c r="V6" i="2"/>
  <c r="V35" i="2"/>
  <c r="AX6" i="2"/>
  <c r="AX35" i="2"/>
  <c r="W6" i="2"/>
  <c r="W35" i="2"/>
  <c r="AY6" i="2"/>
  <c r="AY35" i="2"/>
  <c r="X6" i="2"/>
  <c r="X35" i="2"/>
  <c r="AZ6" i="2"/>
  <c r="AZ35" i="2"/>
  <c r="Y6" i="2"/>
  <c r="Y35" i="2"/>
  <c r="BA6" i="2"/>
  <c r="BA35" i="2"/>
  <c r="Z6" i="2"/>
  <c r="Z35" i="2"/>
  <c r="BB6" i="2"/>
  <c r="BB35" i="2"/>
  <c r="AA6" i="2"/>
  <c r="AA35" i="2"/>
  <c r="BC6" i="2"/>
  <c r="BC35" i="2"/>
  <c r="AB6" i="2"/>
  <c r="AB35" i="2"/>
  <c r="BD6" i="2"/>
  <c r="BD35" i="2"/>
  <c r="D36" i="2"/>
  <c r="D7" i="2"/>
  <c r="AF7" i="2"/>
  <c r="AF36" i="2"/>
  <c r="E7" i="2"/>
  <c r="E36" i="2"/>
  <c r="AG7" i="2"/>
  <c r="AG36" i="2"/>
  <c r="F7" i="2"/>
  <c r="F36" i="2"/>
  <c r="AH7" i="2"/>
  <c r="AH36" i="2"/>
  <c r="AI7" i="2"/>
  <c r="AI36" i="2"/>
  <c r="H7" i="2"/>
  <c r="H36" i="2"/>
  <c r="AJ7" i="2"/>
  <c r="AJ36" i="2"/>
  <c r="I7" i="2"/>
  <c r="I36" i="2"/>
  <c r="AK7" i="2"/>
  <c r="AK36" i="2"/>
  <c r="J7" i="2"/>
  <c r="J36" i="2"/>
  <c r="AL7" i="2"/>
  <c r="AL36" i="2"/>
  <c r="K7" i="2"/>
  <c r="K36" i="2"/>
  <c r="AM7" i="2"/>
  <c r="AM36" i="2"/>
  <c r="L7" i="2"/>
  <c r="L36" i="2"/>
  <c r="AN7" i="2"/>
  <c r="AN36" i="2"/>
  <c r="M7" i="2"/>
  <c r="M36" i="2"/>
  <c r="AO7" i="2"/>
  <c r="AO36" i="2"/>
  <c r="N7" i="2"/>
  <c r="N36" i="2"/>
  <c r="AP7" i="2"/>
  <c r="AP36" i="2"/>
  <c r="O7" i="2"/>
  <c r="O36" i="2"/>
  <c r="AQ7" i="2"/>
  <c r="AQ36" i="2"/>
  <c r="P7" i="2"/>
  <c r="P36" i="2"/>
  <c r="AR7" i="2"/>
  <c r="AR36" i="2"/>
  <c r="Q7" i="2"/>
  <c r="Q36" i="2"/>
  <c r="AS7" i="2"/>
  <c r="AS36" i="2"/>
  <c r="R7" i="2"/>
  <c r="R36" i="2"/>
  <c r="AT7" i="2"/>
  <c r="AT36" i="2"/>
  <c r="S7" i="2"/>
  <c r="S36" i="2"/>
  <c r="AU7" i="2"/>
  <c r="AU36" i="2"/>
  <c r="T7" i="2"/>
  <c r="T36" i="2"/>
  <c r="AV7" i="2"/>
  <c r="AV36" i="2"/>
  <c r="U7" i="2"/>
  <c r="U36" i="2"/>
  <c r="AW7" i="2"/>
  <c r="AW36" i="2"/>
  <c r="V7" i="2"/>
  <c r="V36" i="2"/>
  <c r="AX7" i="2"/>
  <c r="AX36" i="2"/>
  <c r="W7" i="2"/>
  <c r="W36" i="2"/>
  <c r="AY7" i="2"/>
  <c r="AY36" i="2"/>
  <c r="X7" i="2"/>
  <c r="X36" i="2"/>
  <c r="AZ7" i="2"/>
  <c r="AZ36" i="2"/>
  <c r="Y7" i="2"/>
  <c r="Y36" i="2"/>
  <c r="BA7" i="2"/>
  <c r="BA36" i="2"/>
  <c r="Z7" i="2"/>
  <c r="Z36" i="2"/>
  <c r="BB7" i="2"/>
  <c r="BB36" i="2"/>
  <c r="AA7" i="2"/>
  <c r="AA36" i="2"/>
  <c r="BC7" i="2"/>
  <c r="BC36" i="2"/>
  <c r="AB7" i="2"/>
  <c r="AB36" i="2"/>
  <c r="BD7" i="2"/>
  <c r="BD36" i="2"/>
  <c r="D37" i="2"/>
  <c r="D8" i="2"/>
  <c r="AF8" i="2"/>
  <c r="AF37" i="2"/>
  <c r="E8" i="2"/>
  <c r="E37" i="2"/>
  <c r="AG8" i="2"/>
  <c r="AG37" i="2"/>
  <c r="F8" i="2"/>
  <c r="F37" i="2"/>
  <c r="AH8" i="2"/>
  <c r="AH37" i="2"/>
  <c r="G8" i="2"/>
  <c r="G37" i="2"/>
  <c r="AI8" i="2"/>
  <c r="AI37" i="2"/>
  <c r="AJ8" i="2"/>
  <c r="AJ37" i="2"/>
  <c r="I37" i="2"/>
  <c r="I8" i="2"/>
  <c r="AK8" i="2"/>
  <c r="AK37" i="2"/>
  <c r="J37" i="2"/>
  <c r="J8" i="2"/>
  <c r="AL8" i="2"/>
  <c r="AL37" i="2"/>
  <c r="K37" i="2"/>
  <c r="K8" i="2"/>
  <c r="AM8" i="2"/>
  <c r="AM37" i="2"/>
  <c r="L37" i="2"/>
  <c r="L8" i="2"/>
  <c r="AN8" i="2"/>
  <c r="AN37" i="2"/>
  <c r="M37" i="2"/>
  <c r="M8" i="2"/>
  <c r="AO8" i="2"/>
  <c r="AO37" i="2"/>
  <c r="N37" i="2"/>
  <c r="N8" i="2"/>
  <c r="AP8" i="2"/>
  <c r="AP37" i="2"/>
  <c r="O37" i="2"/>
  <c r="O8" i="2"/>
  <c r="AQ8" i="2"/>
  <c r="AQ37" i="2"/>
  <c r="P37" i="2"/>
  <c r="P8" i="2"/>
  <c r="AR8" i="2"/>
  <c r="AR37" i="2"/>
  <c r="Q37" i="2"/>
  <c r="Q8" i="2"/>
  <c r="AS8" i="2"/>
  <c r="AS37" i="2"/>
  <c r="R37" i="2"/>
  <c r="R8" i="2"/>
  <c r="AT8" i="2"/>
  <c r="AT37" i="2"/>
  <c r="S37" i="2"/>
  <c r="S8" i="2"/>
  <c r="AU8" i="2"/>
  <c r="AU37" i="2"/>
  <c r="T37" i="2"/>
  <c r="T8" i="2"/>
  <c r="AV8" i="2"/>
  <c r="AV37" i="2"/>
  <c r="U37" i="2"/>
  <c r="U8" i="2"/>
  <c r="AW8" i="2"/>
  <c r="AW37" i="2"/>
  <c r="V37" i="2"/>
  <c r="V8" i="2"/>
  <c r="AX8" i="2"/>
  <c r="AX37" i="2"/>
  <c r="W37" i="2"/>
  <c r="W8" i="2"/>
  <c r="AY8" i="2"/>
  <c r="AY37" i="2"/>
  <c r="X37" i="2"/>
  <c r="X8" i="2"/>
  <c r="AZ8" i="2"/>
  <c r="AZ37" i="2"/>
  <c r="Y37" i="2"/>
  <c r="Y8" i="2"/>
  <c r="BA8" i="2"/>
  <c r="BA37" i="2"/>
  <c r="Z37" i="2"/>
  <c r="Z8" i="2"/>
  <c r="BB8" i="2"/>
  <c r="BB37" i="2"/>
  <c r="AA37" i="2"/>
  <c r="AA8" i="2"/>
  <c r="BC8" i="2"/>
  <c r="BC37" i="2"/>
  <c r="AB37" i="2"/>
  <c r="AB8" i="2"/>
  <c r="BD8" i="2"/>
  <c r="BD37" i="2"/>
  <c r="D38" i="2"/>
  <c r="D9" i="2"/>
  <c r="AF9" i="2"/>
  <c r="AF38" i="2"/>
  <c r="E9" i="2"/>
  <c r="E38" i="2"/>
  <c r="AG9" i="2"/>
  <c r="AG38" i="2"/>
  <c r="F9" i="2"/>
  <c r="F38" i="2"/>
  <c r="AH9" i="2"/>
  <c r="AH38" i="2"/>
  <c r="G9" i="2"/>
  <c r="G38" i="2"/>
  <c r="AI9" i="2"/>
  <c r="AI38" i="2"/>
  <c r="H38" i="2"/>
  <c r="H9" i="2"/>
  <c r="AJ9" i="2"/>
  <c r="AJ38" i="2"/>
  <c r="AK9" i="2"/>
  <c r="AK38" i="2"/>
  <c r="J38" i="2"/>
  <c r="J9" i="2"/>
  <c r="AL9" i="2"/>
  <c r="AL38" i="2"/>
  <c r="K38" i="2"/>
  <c r="K9" i="2"/>
  <c r="AM9" i="2"/>
  <c r="AM38" i="2"/>
  <c r="L38" i="2"/>
  <c r="L9" i="2"/>
  <c r="AN9" i="2"/>
  <c r="AN38" i="2"/>
  <c r="M38" i="2"/>
  <c r="M9" i="2"/>
  <c r="AO9" i="2"/>
  <c r="AO38" i="2"/>
  <c r="N38" i="2"/>
  <c r="N9" i="2"/>
  <c r="AP9" i="2"/>
  <c r="AP38" i="2"/>
  <c r="O38" i="2"/>
  <c r="O9" i="2"/>
  <c r="AQ9" i="2"/>
  <c r="AQ38" i="2"/>
  <c r="P38" i="2"/>
  <c r="P9" i="2"/>
  <c r="AR9" i="2"/>
  <c r="AR38" i="2"/>
  <c r="Q38" i="2"/>
  <c r="Q9" i="2"/>
  <c r="AS9" i="2"/>
  <c r="AS38" i="2"/>
  <c r="R38" i="2"/>
  <c r="R9" i="2"/>
  <c r="AT9" i="2"/>
  <c r="AT38" i="2"/>
  <c r="S38" i="2"/>
  <c r="S9" i="2"/>
  <c r="AU9" i="2"/>
  <c r="AU38" i="2"/>
  <c r="T38" i="2"/>
  <c r="T9" i="2"/>
  <c r="AV9" i="2"/>
  <c r="AV38" i="2"/>
  <c r="U38" i="2"/>
  <c r="U9" i="2"/>
  <c r="AW9" i="2"/>
  <c r="AW38" i="2"/>
  <c r="V38" i="2"/>
  <c r="V9" i="2"/>
  <c r="AX9" i="2"/>
  <c r="AX38" i="2"/>
  <c r="W38" i="2"/>
  <c r="W9" i="2"/>
  <c r="AY9" i="2"/>
  <c r="AY38" i="2"/>
  <c r="X38" i="2"/>
  <c r="X9" i="2"/>
  <c r="AZ9" i="2"/>
  <c r="AZ38" i="2"/>
  <c r="Y38" i="2"/>
  <c r="Y9" i="2"/>
  <c r="BA9" i="2"/>
  <c r="BA38" i="2"/>
  <c r="Z38" i="2"/>
  <c r="Z9" i="2"/>
  <c r="BB9" i="2"/>
  <c r="BB38" i="2"/>
  <c r="AA38" i="2"/>
  <c r="AA9" i="2"/>
  <c r="BC9" i="2"/>
  <c r="BC38" i="2"/>
  <c r="AB38" i="2"/>
  <c r="AB9" i="2"/>
  <c r="BD9" i="2"/>
  <c r="BD38" i="2"/>
  <c r="D39" i="2"/>
  <c r="D10" i="2"/>
  <c r="AF10" i="2"/>
  <c r="AF39" i="2"/>
  <c r="E10" i="2"/>
  <c r="E39" i="2"/>
  <c r="AG10" i="2"/>
  <c r="AG39" i="2"/>
  <c r="F10" i="2"/>
  <c r="F39" i="2"/>
  <c r="AH10" i="2"/>
  <c r="AH39" i="2"/>
  <c r="G10" i="2"/>
  <c r="G39" i="2"/>
  <c r="AI10" i="2"/>
  <c r="AI39" i="2"/>
  <c r="H39" i="2"/>
  <c r="H10" i="2"/>
  <c r="AJ10" i="2"/>
  <c r="AJ39" i="2"/>
  <c r="I39" i="2"/>
  <c r="I10" i="2"/>
  <c r="AK10" i="2"/>
  <c r="AK39" i="2"/>
  <c r="AL10" i="2"/>
  <c r="AL39" i="2"/>
  <c r="K39" i="2"/>
  <c r="K10" i="2"/>
  <c r="AM10" i="2"/>
  <c r="AM39" i="2"/>
  <c r="L39" i="2"/>
  <c r="L10" i="2"/>
  <c r="AN10" i="2"/>
  <c r="AN39" i="2"/>
  <c r="M39" i="2"/>
  <c r="M10" i="2"/>
  <c r="AO10" i="2"/>
  <c r="AO39" i="2"/>
  <c r="N39" i="2"/>
  <c r="N10" i="2"/>
  <c r="AP10" i="2"/>
  <c r="AP39" i="2"/>
  <c r="O39" i="2"/>
  <c r="O10" i="2"/>
  <c r="AQ10" i="2"/>
  <c r="AQ39" i="2"/>
  <c r="P39" i="2"/>
  <c r="P10" i="2"/>
  <c r="AR10" i="2"/>
  <c r="AR39" i="2"/>
  <c r="Q39" i="2"/>
  <c r="Q10" i="2"/>
  <c r="AS10" i="2"/>
  <c r="AS39" i="2"/>
  <c r="R39" i="2"/>
  <c r="R10" i="2"/>
  <c r="AT10" i="2"/>
  <c r="AT39" i="2"/>
  <c r="S39" i="2"/>
  <c r="S10" i="2"/>
  <c r="AU10" i="2"/>
  <c r="AU39" i="2"/>
  <c r="T39" i="2"/>
  <c r="T10" i="2"/>
  <c r="AV10" i="2"/>
  <c r="AV39" i="2"/>
  <c r="U39" i="2"/>
  <c r="U10" i="2"/>
  <c r="AW10" i="2"/>
  <c r="AW39" i="2"/>
  <c r="V39" i="2"/>
  <c r="V10" i="2"/>
  <c r="AX10" i="2"/>
  <c r="AX39" i="2"/>
  <c r="W39" i="2"/>
  <c r="W10" i="2"/>
  <c r="AY10" i="2"/>
  <c r="AY39" i="2"/>
  <c r="X39" i="2"/>
  <c r="X10" i="2"/>
  <c r="AZ10" i="2"/>
  <c r="AZ39" i="2"/>
  <c r="Y39" i="2"/>
  <c r="Y10" i="2"/>
  <c r="BA10" i="2"/>
  <c r="BA39" i="2"/>
  <c r="Z39" i="2"/>
  <c r="Z10" i="2"/>
  <c r="BB10" i="2"/>
  <c r="BB39" i="2"/>
  <c r="AA39" i="2"/>
  <c r="AA10" i="2"/>
  <c r="BC10" i="2"/>
  <c r="BC39" i="2"/>
  <c r="AB39" i="2"/>
  <c r="AB10" i="2"/>
  <c r="BD10" i="2"/>
  <c r="BD39" i="2"/>
  <c r="D40" i="2"/>
  <c r="D11" i="2"/>
  <c r="AF11" i="2"/>
  <c r="AF40" i="2"/>
  <c r="E11" i="2"/>
  <c r="E40" i="2"/>
  <c r="AG11" i="2"/>
  <c r="AG40" i="2"/>
  <c r="F11" i="2"/>
  <c r="F40" i="2"/>
  <c r="AH11" i="2"/>
  <c r="AH40" i="2"/>
  <c r="G11" i="2"/>
  <c r="G40" i="2"/>
  <c r="AI11" i="2"/>
  <c r="AI40" i="2"/>
  <c r="H40" i="2"/>
  <c r="H11" i="2"/>
  <c r="AJ11" i="2"/>
  <c r="AJ40" i="2"/>
  <c r="I40" i="2"/>
  <c r="I11" i="2"/>
  <c r="AK11" i="2"/>
  <c r="AK40" i="2"/>
  <c r="J40" i="2"/>
  <c r="J11" i="2"/>
  <c r="AL11" i="2"/>
  <c r="AL40" i="2"/>
  <c r="AM11" i="2"/>
  <c r="AM40" i="2"/>
  <c r="L40" i="2"/>
  <c r="L11" i="2"/>
  <c r="AN11" i="2"/>
  <c r="AN40" i="2"/>
  <c r="M40" i="2"/>
  <c r="M11" i="2"/>
  <c r="AO11" i="2"/>
  <c r="AO40" i="2"/>
  <c r="N40" i="2"/>
  <c r="N11" i="2"/>
  <c r="AP11" i="2"/>
  <c r="AP40" i="2"/>
  <c r="O40" i="2"/>
  <c r="O11" i="2"/>
  <c r="AQ11" i="2"/>
  <c r="AQ40" i="2"/>
  <c r="P40" i="2"/>
  <c r="P11" i="2"/>
  <c r="AR11" i="2"/>
  <c r="AR40" i="2"/>
  <c r="Q40" i="2"/>
  <c r="Q11" i="2"/>
  <c r="AS11" i="2"/>
  <c r="AS40" i="2"/>
  <c r="R40" i="2"/>
  <c r="R11" i="2"/>
  <c r="AT11" i="2"/>
  <c r="AT40" i="2"/>
  <c r="S40" i="2"/>
  <c r="S11" i="2"/>
  <c r="AU11" i="2"/>
  <c r="AU40" i="2"/>
  <c r="T40" i="2"/>
  <c r="T11" i="2"/>
  <c r="AV11" i="2"/>
  <c r="AV40" i="2"/>
  <c r="U40" i="2"/>
  <c r="U11" i="2"/>
  <c r="AW11" i="2"/>
  <c r="AW40" i="2"/>
  <c r="V40" i="2"/>
  <c r="V11" i="2"/>
  <c r="AX11" i="2"/>
  <c r="AX40" i="2"/>
  <c r="W40" i="2"/>
  <c r="W11" i="2"/>
  <c r="AY11" i="2"/>
  <c r="AY40" i="2"/>
  <c r="X40" i="2"/>
  <c r="X11" i="2"/>
  <c r="AZ11" i="2"/>
  <c r="AZ40" i="2"/>
  <c r="Y40" i="2"/>
  <c r="Y11" i="2"/>
  <c r="BA11" i="2"/>
  <c r="BA40" i="2"/>
  <c r="Z40" i="2"/>
  <c r="Z11" i="2"/>
  <c r="BB11" i="2"/>
  <c r="BB40" i="2"/>
  <c r="AA40" i="2"/>
  <c r="AA11" i="2"/>
  <c r="BC11" i="2"/>
  <c r="BC40" i="2"/>
  <c r="AB40" i="2"/>
  <c r="AB11" i="2"/>
  <c r="BD11" i="2"/>
  <c r="BD40" i="2"/>
  <c r="D41" i="2"/>
  <c r="D12" i="2"/>
  <c r="AF12" i="2"/>
  <c r="AF41" i="2"/>
  <c r="E12" i="2"/>
  <c r="E41" i="2"/>
  <c r="AG12" i="2"/>
  <c r="AG41" i="2"/>
  <c r="F12" i="2"/>
  <c r="F41" i="2"/>
  <c r="AH12" i="2"/>
  <c r="AH41" i="2"/>
  <c r="G12" i="2"/>
  <c r="G41" i="2"/>
  <c r="AI12" i="2"/>
  <c r="AI41" i="2"/>
  <c r="H41" i="2"/>
  <c r="H12" i="2"/>
  <c r="AJ12" i="2"/>
  <c r="AJ41" i="2"/>
  <c r="I41" i="2"/>
  <c r="I12" i="2"/>
  <c r="AK12" i="2"/>
  <c r="AK41" i="2"/>
  <c r="J41" i="2"/>
  <c r="J12" i="2"/>
  <c r="AL12" i="2"/>
  <c r="AL41" i="2"/>
  <c r="K41" i="2"/>
  <c r="K12" i="2"/>
  <c r="AM12" i="2"/>
  <c r="AM41" i="2"/>
  <c r="AN12" i="2"/>
  <c r="AN41" i="2"/>
  <c r="M41" i="2"/>
  <c r="M12" i="2"/>
  <c r="AO12" i="2"/>
  <c r="AO41" i="2"/>
  <c r="N41" i="2"/>
  <c r="N12" i="2"/>
  <c r="AP12" i="2"/>
  <c r="AP41" i="2"/>
  <c r="O41" i="2"/>
  <c r="O12" i="2"/>
  <c r="AQ12" i="2"/>
  <c r="AQ41" i="2"/>
  <c r="P41" i="2"/>
  <c r="P12" i="2"/>
  <c r="AR12" i="2"/>
  <c r="AR41" i="2"/>
  <c r="Q41" i="2"/>
  <c r="Q12" i="2"/>
  <c r="AS12" i="2"/>
  <c r="AS41" i="2"/>
  <c r="R41" i="2"/>
  <c r="R12" i="2"/>
  <c r="AT12" i="2"/>
  <c r="AT41" i="2"/>
  <c r="S41" i="2"/>
  <c r="S12" i="2"/>
  <c r="AU12" i="2"/>
  <c r="AU41" i="2"/>
  <c r="T41" i="2"/>
  <c r="T12" i="2"/>
  <c r="AV12" i="2"/>
  <c r="AV41" i="2"/>
  <c r="U41" i="2"/>
  <c r="U12" i="2"/>
  <c r="AW12" i="2"/>
  <c r="AW41" i="2"/>
  <c r="V41" i="2"/>
  <c r="V12" i="2"/>
  <c r="AX12" i="2"/>
  <c r="AX41" i="2"/>
  <c r="W41" i="2"/>
  <c r="W12" i="2"/>
  <c r="AY12" i="2"/>
  <c r="AY41" i="2"/>
  <c r="X41" i="2"/>
  <c r="X12" i="2"/>
  <c r="AZ12" i="2"/>
  <c r="AZ41" i="2"/>
  <c r="Y41" i="2"/>
  <c r="Y12" i="2"/>
  <c r="BA12" i="2"/>
  <c r="BA41" i="2"/>
  <c r="Z41" i="2"/>
  <c r="Z12" i="2"/>
  <c r="BB12" i="2"/>
  <c r="BB41" i="2"/>
  <c r="AA41" i="2"/>
  <c r="AA12" i="2"/>
  <c r="BC12" i="2"/>
  <c r="BC41" i="2"/>
  <c r="AB41" i="2"/>
  <c r="AB12" i="2"/>
  <c r="BD12" i="2"/>
  <c r="BD41" i="2"/>
  <c r="D42" i="2"/>
  <c r="D13" i="2"/>
  <c r="AF13" i="2"/>
  <c r="AF42" i="2"/>
  <c r="E13" i="2"/>
  <c r="E42" i="2"/>
  <c r="AG13" i="2"/>
  <c r="AG42" i="2"/>
  <c r="F13" i="2"/>
  <c r="F42" i="2"/>
  <c r="AH13" i="2"/>
  <c r="AH42" i="2"/>
  <c r="G13" i="2"/>
  <c r="G42" i="2"/>
  <c r="AI13" i="2"/>
  <c r="AI42" i="2"/>
  <c r="H42" i="2"/>
  <c r="H13" i="2"/>
  <c r="AJ13" i="2"/>
  <c r="AJ42" i="2"/>
  <c r="I42" i="2"/>
  <c r="I13" i="2"/>
  <c r="AK13" i="2"/>
  <c r="AK42" i="2"/>
  <c r="J42" i="2"/>
  <c r="J13" i="2"/>
  <c r="AL13" i="2"/>
  <c r="AL42" i="2"/>
  <c r="K42" i="2"/>
  <c r="K13" i="2"/>
  <c r="AM13" i="2"/>
  <c r="AM42" i="2"/>
  <c r="L42" i="2"/>
  <c r="L13" i="2"/>
  <c r="AN13" i="2"/>
  <c r="AN42" i="2"/>
  <c r="AO13" i="2"/>
  <c r="AO42" i="2"/>
  <c r="N42" i="2"/>
  <c r="N13" i="2"/>
  <c r="AP13" i="2"/>
  <c r="AP42" i="2"/>
  <c r="O42" i="2"/>
  <c r="O13" i="2"/>
  <c r="AQ13" i="2"/>
  <c r="AQ42" i="2"/>
  <c r="P42" i="2"/>
  <c r="P13" i="2"/>
  <c r="AR13" i="2"/>
  <c r="AR42" i="2"/>
  <c r="Q42" i="2"/>
  <c r="Q13" i="2"/>
  <c r="AS13" i="2"/>
  <c r="AS42" i="2"/>
  <c r="R42" i="2"/>
  <c r="R13" i="2"/>
  <c r="AT13" i="2"/>
  <c r="AT42" i="2"/>
  <c r="S42" i="2"/>
  <c r="S13" i="2"/>
  <c r="AU13" i="2"/>
  <c r="AU42" i="2"/>
  <c r="T42" i="2"/>
  <c r="T13" i="2"/>
  <c r="AV13" i="2"/>
  <c r="AV42" i="2"/>
  <c r="U42" i="2"/>
  <c r="U13" i="2"/>
  <c r="AW13" i="2"/>
  <c r="AW42" i="2"/>
  <c r="V42" i="2"/>
  <c r="V13" i="2"/>
  <c r="AX13" i="2"/>
  <c r="AX42" i="2"/>
  <c r="W42" i="2"/>
  <c r="W13" i="2"/>
  <c r="AY13" i="2"/>
  <c r="AY42" i="2"/>
  <c r="X42" i="2"/>
  <c r="X13" i="2"/>
  <c r="AZ13" i="2"/>
  <c r="AZ42" i="2"/>
  <c r="Y42" i="2"/>
  <c r="Y13" i="2"/>
  <c r="BA13" i="2"/>
  <c r="BA42" i="2"/>
  <c r="Z42" i="2"/>
  <c r="Z13" i="2"/>
  <c r="BB13" i="2"/>
  <c r="BB42" i="2"/>
  <c r="AA42" i="2"/>
  <c r="AA13" i="2"/>
  <c r="BC13" i="2"/>
  <c r="BC42" i="2"/>
  <c r="AB42" i="2"/>
  <c r="AB13" i="2"/>
  <c r="BD13" i="2"/>
  <c r="BD42" i="2"/>
  <c r="D43" i="2"/>
  <c r="D14" i="2"/>
  <c r="AF14" i="2"/>
  <c r="AF43" i="2"/>
  <c r="E14" i="2"/>
  <c r="E43" i="2"/>
  <c r="AG14" i="2"/>
  <c r="AG43" i="2"/>
  <c r="F14" i="2"/>
  <c r="F43" i="2"/>
  <c r="AH14" i="2"/>
  <c r="AH43" i="2"/>
  <c r="G14" i="2"/>
  <c r="G43" i="2"/>
  <c r="AI14" i="2"/>
  <c r="AI43" i="2"/>
  <c r="H43" i="2"/>
  <c r="H14" i="2"/>
  <c r="AJ14" i="2"/>
  <c r="AJ43" i="2"/>
  <c r="I43" i="2"/>
  <c r="I14" i="2"/>
  <c r="AK14" i="2"/>
  <c r="AK43" i="2"/>
  <c r="J43" i="2"/>
  <c r="J14" i="2"/>
  <c r="AL14" i="2"/>
  <c r="AL43" i="2"/>
  <c r="K43" i="2"/>
  <c r="K14" i="2"/>
  <c r="AM14" i="2"/>
  <c r="AM43" i="2"/>
  <c r="L43" i="2"/>
  <c r="L14" i="2"/>
  <c r="AN14" i="2"/>
  <c r="AN43" i="2"/>
  <c r="M43" i="2"/>
  <c r="M14" i="2"/>
  <c r="AO14" i="2"/>
  <c r="AO43" i="2"/>
  <c r="AP14" i="2"/>
  <c r="AP43" i="2"/>
  <c r="O43" i="2"/>
  <c r="O14" i="2"/>
  <c r="AQ14" i="2"/>
  <c r="AQ43" i="2"/>
  <c r="P43" i="2"/>
  <c r="P14" i="2"/>
  <c r="AR14" i="2"/>
  <c r="AR43" i="2"/>
  <c r="Q43" i="2"/>
  <c r="Q14" i="2"/>
  <c r="AS14" i="2"/>
  <c r="AS43" i="2"/>
  <c r="R43" i="2"/>
  <c r="R14" i="2"/>
  <c r="AT14" i="2"/>
  <c r="AT43" i="2"/>
  <c r="S43" i="2"/>
  <c r="S14" i="2"/>
  <c r="AU14" i="2"/>
  <c r="AU43" i="2"/>
  <c r="T43" i="2"/>
  <c r="T14" i="2"/>
  <c r="AV14" i="2"/>
  <c r="AV43" i="2"/>
  <c r="U43" i="2"/>
  <c r="U14" i="2"/>
  <c r="AW14" i="2"/>
  <c r="AW43" i="2"/>
  <c r="V43" i="2"/>
  <c r="V14" i="2"/>
  <c r="AX14" i="2"/>
  <c r="AX43" i="2"/>
  <c r="W43" i="2"/>
  <c r="W14" i="2"/>
  <c r="AY14" i="2"/>
  <c r="AY43" i="2"/>
  <c r="X43" i="2"/>
  <c r="X14" i="2"/>
  <c r="AZ14" i="2"/>
  <c r="AZ43" i="2"/>
  <c r="Y43" i="2"/>
  <c r="Y14" i="2"/>
  <c r="BA14" i="2"/>
  <c r="BA43" i="2"/>
  <c r="Z43" i="2"/>
  <c r="Z14" i="2"/>
  <c r="BB14" i="2"/>
  <c r="BB43" i="2"/>
  <c r="AA43" i="2"/>
  <c r="AA14" i="2"/>
  <c r="BC14" i="2"/>
  <c r="BC43" i="2"/>
  <c r="AB43" i="2"/>
  <c r="AB14" i="2"/>
  <c r="BD14" i="2"/>
  <c r="BD43" i="2"/>
  <c r="D44" i="2"/>
  <c r="D15" i="2"/>
  <c r="AF15" i="2"/>
  <c r="AF44" i="2"/>
  <c r="E15" i="2"/>
  <c r="E44" i="2"/>
  <c r="AG15" i="2"/>
  <c r="AG44" i="2"/>
  <c r="F15" i="2"/>
  <c r="F44" i="2"/>
  <c r="AH15" i="2"/>
  <c r="AH44" i="2"/>
  <c r="G15" i="2"/>
  <c r="G44" i="2"/>
  <c r="AI15" i="2"/>
  <c r="AI44" i="2"/>
  <c r="H44" i="2"/>
  <c r="H15" i="2"/>
  <c r="AJ15" i="2"/>
  <c r="AJ44" i="2"/>
  <c r="I44" i="2"/>
  <c r="I15" i="2"/>
  <c r="AK15" i="2"/>
  <c r="AK44" i="2"/>
  <c r="J44" i="2"/>
  <c r="J15" i="2"/>
  <c r="AL15" i="2"/>
  <c r="AL44" i="2"/>
  <c r="K44" i="2"/>
  <c r="K15" i="2"/>
  <c r="AM15" i="2"/>
  <c r="AM44" i="2"/>
  <c r="L44" i="2"/>
  <c r="L15" i="2"/>
  <c r="AN15" i="2"/>
  <c r="AN44" i="2"/>
  <c r="M44" i="2"/>
  <c r="M15" i="2"/>
  <c r="AO15" i="2"/>
  <c r="AO44" i="2"/>
  <c r="N44" i="2"/>
  <c r="N15" i="2"/>
  <c r="AP15" i="2"/>
  <c r="AP44" i="2"/>
  <c r="AQ15" i="2"/>
  <c r="AQ44" i="2"/>
  <c r="P44" i="2"/>
  <c r="P15" i="2"/>
  <c r="AR15" i="2"/>
  <c r="AR44" i="2"/>
  <c r="Q44" i="2"/>
  <c r="Q15" i="2"/>
  <c r="AS15" i="2"/>
  <c r="AS44" i="2"/>
  <c r="R44" i="2"/>
  <c r="R15" i="2"/>
  <c r="AT15" i="2"/>
  <c r="AT44" i="2"/>
  <c r="S44" i="2"/>
  <c r="S15" i="2"/>
  <c r="AU15" i="2"/>
  <c r="AU44" i="2"/>
  <c r="T44" i="2"/>
  <c r="T15" i="2"/>
  <c r="AV15" i="2"/>
  <c r="AV44" i="2"/>
  <c r="U44" i="2"/>
  <c r="U15" i="2"/>
  <c r="AW15" i="2"/>
  <c r="AW44" i="2"/>
  <c r="V44" i="2"/>
  <c r="V15" i="2"/>
  <c r="AX15" i="2"/>
  <c r="AX44" i="2"/>
  <c r="W44" i="2"/>
  <c r="W15" i="2"/>
  <c r="AY15" i="2"/>
  <c r="AY44" i="2"/>
  <c r="X44" i="2"/>
  <c r="X15" i="2"/>
  <c r="AZ15" i="2"/>
  <c r="AZ44" i="2"/>
  <c r="Y44" i="2"/>
  <c r="Y15" i="2"/>
  <c r="BA15" i="2"/>
  <c r="BA44" i="2"/>
  <c r="Z44" i="2"/>
  <c r="Z15" i="2"/>
  <c r="BB15" i="2"/>
  <c r="BB44" i="2"/>
  <c r="AA44" i="2"/>
  <c r="AA15" i="2"/>
  <c r="BC15" i="2"/>
  <c r="BC44" i="2"/>
  <c r="AB44" i="2"/>
  <c r="AB15" i="2"/>
  <c r="BD15" i="2"/>
  <c r="BD44" i="2"/>
  <c r="D45" i="2"/>
  <c r="D16" i="2"/>
  <c r="AF16" i="2"/>
  <c r="AF45" i="2"/>
  <c r="E16" i="2"/>
  <c r="E45" i="2"/>
  <c r="AG16" i="2"/>
  <c r="AG45" i="2"/>
  <c r="F16" i="2"/>
  <c r="F45" i="2"/>
  <c r="AH16" i="2"/>
  <c r="AH45" i="2"/>
  <c r="G16" i="2"/>
  <c r="G45" i="2"/>
  <c r="AI16" i="2"/>
  <c r="AI45" i="2"/>
  <c r="H45" i="2"/>
  <c r="H16" i="2"/>
  <c r="AJ16" i="2"/>
  <c r="AJ45" i="2"/>
  <c r="I45" i="2"/>
  <c r="I16" i="2"/>
  <c r="AK16" i="2"/>
  <c r="AK45" i="2"/>
  <c r="J45" i="2"/>
  <c r="J16" i="2"/>
  <c r="AL16" i="2"/>
  <c r="AL45" i="2"/>
  <c r="K45" i="2"/>
  <c r="K16" i="2"/>
  <c r="AM16" i="2"/>
  <c r="AM45" i="2"/>
  <c r="L45" i="2"/>
  <c r="L16" i="2"/>
  <c r="AN16" i="2"/>
  <c r="AN45" i="2"/>
  <c r="M45" i="2"/>
  <c r="M16" i="2"/>
  <c r="AO16" i="2"/>
  <c r="AO45" i="2"/>
  <c r="N45" i="2"/>
  <c r="N16" i="2"/>
  <c r="AP16" i="2"/>
  <c r="AP45" i="2"/>
  <c r="O45" i="2"/>
  <c r="O16" i="2"/>
  <c r="AQ16" i="2"/>
  <c r="AQ45" i="2"/>
  <c r="AR16" i="2"/>
  <c r="AR45" i="2"/>
  <c r="Q45" i="2"/>
  <c r="Q16" i="2"/>
  <c r="AS16" i="2"/>
  <c r="AS45" i="2"/>
  <c r="R45" i="2"/>
  <c r="R16" i="2"/>
  <c r="AT16" i="2"/>
  <c r="AT45" i="2"/>
  <c r="S45" i="2"/>
  <c r="S16" i="2"/>
  <c r="AU16" i="2"/>
  <c r="AU45" i="2"/>
  <c r="T45" i="2"/>
  <c r="T16" i="2"/>
  <c r="AV16" i="2"/>
  <c r="AV45" i="2"/>
  <c r="U45" i="2"/>
  <c r="U16" i="2"/>
  <c r="AW16" i="2"/>
  <c r="AW45" i="2"/>
  <c r="V45" i="2"/>
  <c r="V16" i="2"/>
  <c r="AX16" i="2"/>
  <c r="AX45" i="2"/>
  <c r="W45" i="2"/>
  <c r="W16" i="2"/>
  <c r="AY16" i="2"/>
  <c r="AY45" i="2"/>
  <c r="X45" i="2"/>
  <c r="X16" i="2"/>
  <c r="AZ16" i="2"/>
  <c r="AZ45" i="2"/>
  <c r="Y45" i="2"/>
  <c r="Y16" i="2"/>
  <c r="BA16" i="2"/>
  <c r="BA45" i="2"/>
  <c r="Z45" i="2"/>
  <c r="Z16" i="2"/>
  <c r="BB16" i="2"/>
  <c r="BB45" i="2"/>
  <c r="AA45" i="2"/>
  <c r="AA16" i="2"/>
  <c r="BC16" i="2"/>
  <c r="BC45" i="2"/>
  <c r="AB45" i="2"/>
  <c r="AB16" i="2"/>
  <c r="BD16" i="2"/>
  <c r="BD45" i="2"/>
  <c r="D46" i="2"/>
  <c r="D17" i="2"/>
  <c r="AF17" i="2"/>
  <c r="AF46" i="2"/>
  <c r="E17" i="2"/>
  <c r="E46" i="2"/>
  <c r="AG17" i="2"/>
  <c r="AG46" i="2"/>
  <c r="F17" i="2"/>
  <c r="F46" i="2"/>
  <c r="AH17" i="2"/>
  <c r="AH46" i="2"/>
  <c r="G17" i="2"/>
  <c r="G46" i="2"/>
  <c r="AI17" i="2"/>
  <c r="AI46" i="2"/>
  <c r="H46" i="2"/>
  <c r="H17" i="2"/>
  <c r="AJ17" i="2"/>
  <c r="AJ46" i="2"/>
  <c r="I46" i="2"/>
  <c r="I17" i="2"/>
  <c r="AK17" i="2"/>
  <c r="AK46" i="2"/>
  <c r="J46" i="2"/>
  <c r="J17" i="2"/>
  <c r="AL17" i="2"/>
  <c r="AL46" i="2"/>
  <c r="K46" i="2"/>
  <c r="K17" i="2"/>
  <c r="AM17" i="2"/>
  <c r="AM46" i="2"/>
  <c r="L46" i="2"/>
  <c r="L17" i="2"/>
  <c r="AN17" i="2"/>
  <c r="AN46" i="2"/>
  <c r="M46" i="2"/>
  <c r="M17" i="2"/>
  <c r="AO17" i="2"/>
  <c r="AO46" i="2"/>
  <c r="N46" i="2"/>
  <c r="N17" i="2"/>
  <c r="AP17" i="2"/>
  <c r="AP46" i="2"/>
  <c r="O46" i="2"/>
  <c r="O17" i="2"/>
  <c r="AQ17" i="2"/>
  <c r="AQ46" i="2"/>
  <c r="P46" i="2"/>
  <c r="P17" i="2"/>
  <c r="AR17" i="2"/>
  <c r="AR46" i="2"/>
  <c r="AS17" i="2"/>
  <c r="AS46" i="2"/>
  <c r="R46" i="2"/>
  <c r="R17" i="2"/>
  <c r="AT17" i="2"/>
  <c r="AT46" i="2"/>
  <c r="S46" i="2"/>
  <c r="S17" i="2"/>
  <c r="AU17" i="2"/>
  <c r="AU46" i="2"/>
  <c r="T46" i="2"/>
  <c r="T17" i="2"/>
  <c r="AV17" i="2"/>
  <c r="AV46" i="2"/>
  <c r="U46" i="2"/>
  <c r="U17" i="2"/>
  <c r="AW17" i="2"/>
  <c r="AW46" i="2"/>
  <c r="V46" i="2"/>
  <c r="V17" i="2"/>
  <c r="AX17" i="2"/>
  <c r="AX46" i="2"/>
  <c r="W46" i="2"/>
  <c r="W17" i="2"/>
  <c r="AY17" i="2"/>
  <c r="AY46" i="2"/>
  <c r="X46" i="2"/>
  <c r="X17" i="2"/>
  <c r="AZ17" i="2"/>
  <c r="AZ46" i="2"/>
  <c r="Y46" i="2"/>
  <c r="Y17" i="2"/>
  <c r="BA17" i="2"/>
  <c r="BA46" i="2"/>
  <c r="Z46" i="2"/>
  <c r="Z17" i="2"/>
  <c r="BB17" i="2"/>
  <c r="BB46" i="2"/>
  <c r="AA46" i="2"/>
  <c r="AA17" i="2"/>
  <c r="BC17" i="2"/>
  <c r="BC46" i="2"/>
  <c r="AB46" i="2"/>
  <c r="AB17" i="2"/>
  <c r="BD17" i="2"/>
  <c r="BD46" i="2"/>
  <c r="D47" i="2"/>
  <c r="D18" i="2"/>
  <c r="AF18" i="2"/>
  <c r="AF47" i="2"/>
  <c r="E18" i="2"/>
  <c r="E47" i="2"/>
  <c r="AG18" i="2"/>
  <c r="AG47" i="2"/>
  <c r="F18" i="2"/>
  <c r="F47" i="2"/>
  <c r="AH18" i="2"/>
  <c r="AH47" i="2"/>
  <c r="G18" i="2"/>
  <c r="G47" i="2"/>
  <c r="AI18" i="2"/>
  <c r="AI47" i="2"/>
  <c r="H47" i="2"/>
  <c r="H18" i="2"/>
  <c r="AJ18" i="2"/>
  <c r="AJ47" i="2"/>
  <c r="I47" i="2"/>
  <c r="I18" i="2"/>
  <c r="AK18" i="2"/>
  <c r="AK47" i="2"/>
  <c r="J47" i="2"/>
  <c r="J18" i="2"/>
  <c r="AL18" i="2"/>
  <c r="AL47" i="2"/>
  <c r="K47" i="2"/>
  <c r="K18" i="2"/>
  <c r="AM18" i="2"/>
  <c r="AM47" i="2"/>
  <c r="L47" i="2"/>
  <c r="L18" i="2"/>
  <c r="AN18" i="2"/>
  <c r="AN47" i="2"/>
  <c r="M47" i="2"/>
  <c r="M18" i="2"/>
  <c r="AO18" i="2"/>
  <c r="AO47" i="2"/>
  <c r="N47" i="2"/>
  <c r="N18" i="2"/>
  <c r="AP18" i="2"/>
  <c r="AP47" i="2"/>
  <c r="O47" i="2"/>
  <c r="O18" i="2"/>
  <c r="AQ18" i="2"/>
  <c r="AQ47" i="2"/>
  <c r="P47" i="2"/>
  <c r="P18" i="2"/>
  <c r="AR18" i="2"/>
  <c r="AR47" i="2"/>
  <c r="Q47" i="2"/>
  <c r="Q18" i="2"/>
  <c r="AS18" i="2"/>
  <c r="AS47" i="2"/>
  <c r="AT18" i="2"/>
  <c r="AT47" i="2"/>
  <c r="S47" i="2"/>
  <c r="S18" i="2"/>
  <c r="AU18" i="2"/>
  <c r="AU47" i="2"/>
  <c r="T47" i="2"/>
  <c r="T18" i="2"/>
  <c r="AV18" i="2"/>
  <c r="AV47" i="2"/>
  <c r="U47" i="2"/>
  <c r="U18" i="2"/>
  <c r="AW18" i="2"/>
  <c r="AW47" i="2"/>
  <c r="V47" i="2"/>
  <c r="V18" i="2"/>
  <c r="AX18" i="2"/>
  <c r="AX47" i="2"/>
  <c r="W47" i="2"/>
  <c r="W18" i="2"/>
  <c r="AY18" i="2"/>
  <c r="AY47" i="2"/>
  <c r="X47" i="2"/>
  <c r="X18" i="2"/>
  <c r="AZ18" i="2"/>
  <c r="AZ47" i="2"/>
  <c r="Y47" i="2"/>
  <c r="Y18" i="2"/>
  <c r="BA18" i="2"/>
  <c r="BA47" i="2"/>
  <c r="Z47" i="2"/>
  <c r="Z18" i="2"/>
  <c r="BB18" i="2"/>
  <c r="BB47" i="2"/>
  <c r="AA47" i="2"/>
  <c r="AA18" i="2"/>
  <c r="BC18" i="2"/>
  <c r="BC47" i="2"/>
  <c r="AB47" i="2"/>
  <c r="AB18" i="2"/>
  <c r="BD18" i="2"/>
  <c r="BD47" i="2"/>
  <c r="D48" i="2"/>
  <c r="D19" i="2"/>
  <c r="AF19" i="2"/>
  <c r="AF48" i="2"/>
  <c r="E19" i="2"/>
  <c r="E48" i="2"/>
  <c r="AG19" i="2"/>
  <c r="AG48" i="2"/>
  <c r="F19" i="2"/>
  <c r="F48" i="2"/>
  <c r="AH19" i="2"/>
  <c r="AH48" i="2"/>
  <c r="G19" i="2"/>
  <c r="G48" i="2"/>
  <c r="AI19" i="2"/>
  <c r="AI48" i="2"/>
  <c r="H48" i="2"/>
  <c r="H19" i="2"/>
  <c r="AJ19" i="2"/>
  <c r="AJ48" i="2"/>
  <c r="I48" i="2"/>
  <c r="I19" i="2"/>
  <c r="AK19" i="2"/>
  <c r="AK48" i="2"/>
  <c r="J48" i="2"/>
  <c r="J19" i="2"/>
  <c r="AL19" i="2"/>
  <c r="AL48" i="2"/>
  <c r="K48" i="2"/>
  <c r="K19" i="2"/>
  <c r="AM19" i="2"/>
  <c r="AM48" i="2"/>
  <c r="L48" i="2"/>
  <c r="L19" i="2"/>
  <c r="AN19" i="2"/>
  <c r="AN48" i="2"/>
  <c r="M48" i="2"/>
  <c r="M19" i="2"/>
  <c r="AO19" i="2"/>
  <c r="AO48" i="2"/>
  <c r="N48" i="2"/>
  <c r="N19" i="2"/>
  <c r="AP19" i="2"/>
  <c r="AP48" i="2"/>
  <c r="O48" i="2"/>
  <c r="O19" i="2"/>
  <c r="AQ19" i="2"/>
  <c r="AQ48" i="2"/>
  <c r="P48" i="2"/>
  <c r="P19" i="2"/>
  <c r="AR19" i="2"/>
  <c r="AR48" i="2"/>
  <c r="Q48" i="2"/>
  <c r="Q19" i="2"/>
  <c r="AS19" i="2"/>
  <c r="AS48" i="2"/>
  <c r="R48" i="2"/>
  <c r="R19" i="2"/>
  <c r="AT19" i="2"/>
  <c r="AT48" i="2"/>
  <c r="AU19" i="2"/>
  <c r="AU48" i="2"/>
  <c r="T48" i="2"/>
  <c r="T19" i="2"/>
  <c r="AV19" i="2"/>
  <c r="AV48" i="2"/>
  <c r="U48" i="2"/>
  <c r="U19" i="2"/>
  <c r="AW19" i="2"/>
  <c r="AW48" i="2"/>
  <c r="V48" i="2"/>
  <c r="V19" i="2"/>
  <c r="AX19" i="2"/>
  <c r="AX48" i="2"/>
  <c r="W48" i="2"/>
  <c r="W19" i="2"/>
  <c r="AY19" i="2"/>
  <c r="AY48" i="2"/>
  <c r="X48" i="2"/>
  <c r="X19" i="2"/>
  <c r="AZ19" i="2"/>
  <c r="AZ48" i="2"/>
  <c r="Y48" i="2"/>
  <c r="Y19" i="2"/>
  <c r="BA19" i="2"/>
  <c r="BA48" i="2"/>
  <c r="Z48" i="2"/>
  <c r="Z19" i="2"/>
  <c r="BB19" i="2"/>
  <c r="BB48" i="2"/>
  <c r="AA48" i="2"/>
  <c r="AA19" i="2"/>
  <c r="BC19" i="2"/>
  <c r="BC48" i="2"/>
  <c r="AB48" i="2"/>
  <c r="AB19" i="2"/>
  <c r="BD19" i="2"/>
  <c r="BD48" i="2"/>
  <c r="D49" i="2"/>
  <c r="D20" i="2"/>
  <c r="AF20" i="2"/>
  <c r="AF49" i="2"/>
  <c r="E20" i="2"/>
  <c r="E49" i="2"/>
  <c r="AG20" i="2"/>
  <c r="AG49" i="2"/>
  <c r="F20" i="2"/>
  <c r="F49" i="2"/>
  <c r="AH20" i="2"/>
  <c r="AH49" i="2"/>
  <c r="G20" i="2"/>
  <c r="G49" i="2"/>
  <c r="AI20" i="2"/>
  <c r="AI49" i="2"/>
  <c r="H49" i="2"/>
  <c r="H20" i="2"/>
  <c r="AJ20" i="2"/>
  <c r="AJ49" i="2"/>
  <c r="I49" i="2"/>
  <c r="I20" i="2"/>
  <c r="AK20" i="2"/>
  <c r="AK49" i="2"/>
  <c r="J49" i="2"/>
  <c r="J20" i="2"/>
  <c r="AL20" i="2"/>
  <c r="AL49" i="2"/>
  <c r="K49" i="2"/>
  <c r="K20" i="2"/>
  <c r="AM20" i="2"/>
  <c r="AM49" i="2"/>
  <c r="L49" i="2"/>
  <c r="L20" i="2"/>
  <c r="AN20" i="2"/>
  <c r="AN49" i="2"/>
  <c r="M49" i="2"/>
  <c r="M20" i="2"/>
  <c r="AO20" i="2"/>
  <c r="AO49" i="2"/>
  <c r="N49" i="2"/>
  <c r="N20" i="2"/>
  <c r="AP20" i="2"/>
  <c r="AP49" i="2"/>
  <c r="O49" i="2"/>
  <c r="O20" i="2"/>
  <c r="AQ20" i="2"/>
  <c r="AQ49" i="2"/>
  <c r="P49" i="2"/>
  <c r="P20" i="2"/>
  <c r="AR20" i="2"/>
  <c r="AR49" i="2"/>
  <c r="Q49" i="2"/>
  <c r="Q20" i="2"/>
  <c r="AS20" i="2"/>
  <c r="AS49" i="2"/>
  <c r="R49" i="2"/>
  <c r="R20" i="2"/>
  <c r="AT20" i="2"/>
  <c r="AT49" i="2"/>
  <c r="S49" i="2"/>
  <c r="S20" i="2"/>
  <c r="AU20" i="2"/>
  <c r="AU49" i="2"/>
  <c r="AV20" i="2"/>
  <c r="AV49" i="2"/>
  <c r="U49" i="2"/>
  <c r="U20" i="2"/>
  <c r="AW20" i="2"/>
  <c r="AW49" i="2"/>
  <c r="V49" i="2"/>
  <c r="V20" i="2"/>
  <c r="AX20" i="2"/>
  <c r="AX49" i="2"/>
  <c r="W49" i="2"/>
  <c r="W20" i="2"/>
  <c r="AY20" i="2"/>
  <c r="AY49" i="2"/>
  <c r="X49" i="2"/>
  <c r="X20" i="2"/>
  <c r="AZ20" i="2"/>
  <c r="AZ49" i="2"/>
  <c r="Y49" i="2"/>
  <c r="Y20" i="2"/>
  <c r="BA20" i="2"/>
  <c r="BA49" i="2"/>
  <c r="Z49" i="2"/>
  <c r="Z20" i="2"/>
  <c r="BB20" i="2"/>
  <c r="BB49" i="2"/>
  <c r="AA49" i="2"/>
  <c r="AA20" i="2"/>
  <c r="BC20" i="2"/>
  <c r="BC49" i="2"/>
  <c r="AB49" i="2"/>
  <c r="AB20" i="2"/>
  <c r="BD20" i="2"/>
  <c r="BD49" i="2"/>
  <c r="D50" i="2"/>
  <c r="D21" i="2"/>
  <c r="AF21" i="2"/>
  <c r="AF50" i="2"/>
  <c r="E21" i="2"/>
  <c r="E50" i="2"/>
  <c r="AG21" i="2"/>
  <c r="AG50" i="2"/>
  <c r="F21" i="2"/>
  <c r="F50" i="2"/>
  <c r="AH21" i="2"/>
  <c r="AH50" i="2"/>
  <c r="G21" i="2"/>
  <c r="G50" i="2"/>
  <c r="AI21" i="2"/>
  <c r="AI50" i="2"/>
  <c r="H50" i="2"/>
  <c r="H21" i="2"/>
  <c r="AJ21" i="2"/>
  <c r="AJ50" i="2"/>
  <c r="I50" i="2"/>
  <c r="I21" i="2"/>
  <c r="AK21" i="2"/>
  <c r="AK50" i="2"/>
  <c r="J50" i="2"/>
  <c r="J21" i="2"/>
  <c r="AL21" i="2"/>
  <c r="AL50" i="2"/>
  <c r="K50" i="2"/>
  <c r="K21" i="2"/>
  <c r="AM21" i="2"/>
  <c r="AM50" i="2"/>
  <c r="L50" i="2"/>
  <c r="L21" i="2"/>
  <c r="AN21" i="2"/>
  <c r="AN50" i="2"/>
  <c r="M50" i="2"/>
  <c r="M21" i="2"/>
  <c r="AO21" i="2"/>
  <c r="AO50" i="2"/>
  <c r="N50" i="2"/>
  <c r="N21" i="2"/>
  <c r="AP21" i="2"/>
  <c r="AP50" i="2"/>
  <c r="O50" i="2"/>
  <c r="O21" i="2"/>
  <c r="AQ21" i="2"/>
  <c r="AQ50" i="2"/>
  <c r="P50" i="2"/>
  <c r="P21" i="2"/>
  <c r="AR21" i="2"/>
  <c r="AR50" i="2"/>
  <c r="Q50" i="2"/>
  <c r="Q21" i="2"/>
  <c r="AS21" i="2"/>
  <c r="AS50" i="2"/>
  <c r="R50" i="2"/>
  <c r="R21" i="2"/>
  <c r="AT21" i="2"/>
  <c r="AT50" i="2"/>
  <c r="S50" i="2"/>
  <c r="S21" i="2"/>
  <c r="AU21" i="2"/>
  <c r="AU50" i="2"/>
  <c r="T50" i="2"/>
  <c r="T21" i="2"/>
  <c r="AV21" i="2"/>
  <c r="AV50" i="2"/>
  <c r="AW21" i="2"/>
  <c r="AW50" i="2"/>
  <c r="V50" i="2"/>
  <c r="V21" i="2"/>
  <c r="AX21" i="2"/>
  <c r="AX50" i="2"/>
  <c r="W50" i="2"/>
  <c r="W21" i="2"/>
  <c r="AY21" i="2"/>
  <c r="AY50" i="2"/>
  <c r="X50" i="2"/>
  <c r="X21" i="2"/>
  <c r="AZ21" i="2"/>
  <c r="AZ50" i="2"/>
  <c r="Y50" i="2"/>
  <c r="Y21" i="2"/>
  <c r="BA21" i="2"/>
  <c r="BA50" i="2"/>
  <c r="Z50" i="2"/>
  <c r="Z21" i="2"/>
  <c r="BB21" i="2"/>
  <c r="BB50" i="2"/>
  <c r="AA50" i="2"/>
  <c r="AA21" i="2"/>
  <c r="BC21" i="2"/>
  <c r="BC50" i="2"/>
  <c r="AB50" i="2"/>
  <c r="AB21" i="2"/>
  <c r="BD21" i="2"/>
  <c r="BD50" i="2"/>
  <c r="D51" i="2"/>
  <c r="D22" i="2"/>
  <c r="AF22" i="2"/>
  <c r="AF51" i="2"/>
  <c r="E22" i="2"/>
  <c r="E51" i="2"/>
  <c r="AG22" i="2"/>
  <c r="AG51" i="2"/>
  <c r="F22" i="2"/>
  <c r="F51" i="2"/>
  <c r="AH22" i="2"/>
  <c r="AH51" i="2"/>
  <c r="G22" i="2"/>
  <c r="G51" i="2"/>
  <c r="AI22" i="2"/>
  <c r="AI51" i="2"/>
  <c r="H51" i="2"/>
  <c r="H22" i="2"/>
  <c r="AJ22" i="2"/>
  <c r="AJ51" i="2"/>
  <c r="I51" i="2"/>
  <c r="I22" i="2"/>
  <c r="AK22" i="2"/>
  <c r="AK51" i="2"/>
  <c r="J51" i="2"/>
  <c r="J22" i="2"/>
  <c r="AL22" i="2"/>
  <c r="AL51" i="2"/>
  <c r="K51" i="2"/>
  <c r="K22" i="2"/>
  <c r="AM22" i="2"/>
  <c r="AM51" i="2"/>
  <c r="L51" i="2"/>
  <c r="L22" i="2"/>
  <c r="AN22" i="2"/>
  <c r="AN51" i="2"/>
  <c r="M51" i="2"/>
  <c r="M22" i="2"/>
  <c r="AO22" i="2"/>
  <c r="AO51" i="2"/>
  <c r="N51" i="2"/>
  <c r="N22" i="2"/>
  <c r="AP22" i="2"/>
  <c r="AP51" i="2"/>
  <c r="O51" i="2"/>
  <c r="O22" i="2"/>
  <c r="AQ22" i="2"/>
  <c r="AQ51" i="2"/>
  <c r="P51" i="2"/>
  <c r="P22" i="2"/>
  <c r="AR22" i="2"/>
  <c r="AR51" i="2"/>
  <c r="Q51" i="2"/>
  <c r="Q22" i="2"/>
  <c r="AS22" i="2"/>
  <c r="AS51" i="2"/>
  <c r="R51" i="2"/>
  <c r="R22" i="2"/>
  <c r="AT22" i="2"/>
  <c r="AT51" i="2"/>
  <c r="S51" i="2"/>
  <c r="S22" i="2"/>
  <c r="AU22" i="2"/>
  <c r="AU51" i="2"/>
  <c r="T51" i="2"/>
  <c r="T22" i="2"/>
  <c r="AV22" i="2"/>
  <c r="AV51" i="2"/>
  <c r="U51" i="2"/>
  <c r="U22" i="2"/>
  <c r="AW22" i="2"/>
  <c r="AW51" i="2"/>
  <c r="AX22" i="2"/>
  <c r="AX51" i="2"/>
  <c r="W51" i="2"/>
  <c r="W22" i="2"/>
  <c r="AY22" i="2"/>
  <c r="AY51" i="2"/>
  <c r="X51" i="2"/>
  <c r="X22" i="2"/>
  <c r="AZ22" i="2"/>
  <c r="AZ51" i="2"/>
  <c r="Y51" i="2"/>
  <c r="Y22" i="2"/>
  <c r="BA22" i="2"/>
  <c r="BA51" i="2"/>
  <c r="Z51" i="2"/>
  <c r="Z22" i="2"/>
  <c r="BB22" i="2"/>
  <c r="BB51" i="2"/>
  <c r="AA51" i="2"/>
  <c r="AA22" i="2"/>
  <c r="BC22" i="2"/>
  <c r="BC51" i="2"/>
  <c r="AB51" i="2"/>
  <c r="AB22" i="2"/>
  <c r="BD22" i="2"/>
  <c r="BD51" i="2"/>
  <c r="D52" i="2"/>
  <c r="D23" i="2"/>
  <c r="AF23" i="2"/>
  <c r="AF52" i="2"/>
  <c r="E23" i="2"/>
  <c r="E52" i="2"/>
  <c r="AG23" i="2"/>
  <c r="AG52" i="2"/>
  <c r="F23" i="2"/>
  <c r="F52" i="2"/>
  <c r="AH23" i="2"/>
  <c r="AH52" i="2"/>
  <c r="G23" i="2"/>
  <c r="G52" i="2"/>
  <c r="AI23" i="2"/>
  <c r="AI52" i="2"/>
  <c r="H52" i="2"/>
  <c r="H23" i="2"/>
  <c r="AJ23" i="2"/>
  <c r="AJ52" i="2"/>
  <c r="I52" i="2"/>
  <c r="I23" i="2"/>
  <c r="AK23" i="2"/>
  <c r="AK52" i="2"/>
  <c r="J52" i="2"/>
  <c r="J23" i="2"/>
  <c r="AL23" i="2"/>
  <c r="AL52" i="2"/>
  <c r="K52" i="2"/>
  <c r="K23" i="2"/>
  <c r="AM23" i="2"/>
  <c r="AM52" i="2"/>
  <c r="L52" i="2"/>
  <c r="L23" i="2"/>
  <c r="AN23" i="2"/>
  <c r="AN52" i="2"/>
  <c r="M52" i="2"/>
  <c r="M23" i="2"/>
  <c r="AO23" i="2"/>
  <c r="AO52" i="2"/>
  <c r="N52" i="2"/>
  <c r="N23" i="2"/>
  <c r="AP23" i="2"/>
  <c r="AP52" i="2"/>
  <c r="O52" i="2"/>
  <c r="O23" i="2"/>
  <c r="AQ23" i="2"/>
  <c r="AQ52" i="2"/>
  <c r="P52" i="2"/>
  <c r="P23" i="2"/>
  <c r="AR23" i="2"/>
  <c r="AR52" i="2"/>
  <c r="Q52" i="2"/>
  <c r="Q23" i="2"/>
  <c r="AS23" i="2"/>
  <c r="AS52" i="2"/>
  <c r="R52" i="2"/>
  <c r="R23" i="2"/>
  <c r="AT23" i="2"/>
  <c r="AT52" i="2"/>
  <c r="S52" i="2"/>
  <c r="S23" i="2"/>
  <c r="AU23" i="2"/>
  <c r="AU52" i="2"/>
  <c r="T52" i="2"/>
  <c r="T23" i="2"/>
  <c r="AV23" i="2"/>
  <c r="AV52" i="2"/>
  <c r="U52" i="2"/>
  <c r="U23" i="2"/>
  <c r="AW23" i="2"/>
  <c r="AW52" i="2"/>
  <c r="V52" i="2"/>
  <c r="V23" i="2"/>
  <c r="AX23" i="2"/>
  <c r="AX52" i="2"/>
  <c r="AY23" i="2"/>
  <c r="AY52" i="2"/>
  <c r="X52" i="2"/>
  <c r="X23" i="2"/>
  <c r="AZ23" i="2"/>
  <c r="AZ52" i="2"/>
  <c r="Y52" i="2"/>
  <c r="Y23" i="2"/>
  <c r="BA23" i="2"/>
  <c r="BA52" i="2"/>
  <c r="Z52" i="2"/>
  <c r="Z23" i="2"/>
  <c r="BB23" i="2"/>
  <c r="BB52" i="2"/>
  <c r="AA52" i="2"/>
  <c r="AA23" i="2"/>
  <c r="BC23" i="2"/>
  <c r="BC52" i="2"/>
  <c r="AB52" i="2"/>
  <c r="AB23" i="2"/>
  <c r="BD23" i="2"/>
  <c r="BD52" i="2"/>
  <c r="D53" i="2"/>
  <c r="D24" i="2"/>
  <c r="AF24" i="2"/>
  <c r="AF53" i="2"/>
  <c r="E24" i="2"/>
  <c r="E53" i="2"/>
  <c r="AG24" i="2"/>
  <c r="AG53" i="2"/>
  <c r="F24" i="2"/>
  <c r="F53" i="2"/>
  <c r="AH24" i="2"/>
  <c r="AH53" i="2"/>
  <c r="G24" i="2"/>
  <c r="G53" i="2"/>
  <c r="AI24" i="2"/>
  <c r="AI53" i="2"/>
  <c r="H53" i="2"/>
  <c r="H24" i="2"/>
  <c r="AJ24" i="2"/>
  <c r="AJ53" i="2"/>
  <c r="I53" i="2"/>
  <c r="I24" i="2"/>
  <c r="AK24" i="2"/>
  <c r="AK53" i="2"/>
  <c r="J53" i="2"/>
  <c r="J24" i="2"/>
  <c r="AL24" i="2"/>
  <c r="AL53" i="2"/>
  <c r="K53" i="2"/>
  <c r="K24" i="2"/>
  <c r="AM24" i="2"/>
  <c r="AM53" i="2"/>
  <c r="L53" i="2"/>
  <c r="L24" i="2"/>
  <c r="AN24" i="2"/>
  <c r="AN53" i="2"/>
  <c r="M53" i="2"/>
  <c r="M24" i="2"/>
  <c r="AO24" i="2"/>
  <c r="AO53" i="2"/>
  <c r="N53" i="2"/>
  <c r="N24" i="2"/>
  <c r="AP24" i="2"/>
  <c r="AP53" i="2"/>
  <c r="O53" i="2"/>
  <c r="O24" i="2"/>
  <c r="AQ24" i="2"/>
  <c r="AQ53" i="2"/>
  <c r="P53" i="2"/>
  <c r="P24" i="2"/>
  <c r="AR24" i="2"/>
  <c r="AR53" i="2"/>
  <c r="Q53" i="2"/>
  <c r="Q24" i="2"/>
  <c r="AS24" i="2"/>
  <c r="AS53" i="2"/>
  <c r="R53" i="2"/>
  <c r="R24" i="2"/>
  <c r="AT24" i="2"/>
  <c r="AT53" i="2"/>
  <c r="S53" i="2"/>
  <c r="S24" i="2"/>
  <c r="AU24" i="2"/>
  <c r="AU53" i="2"/>
  <c r="T53" i="2"/>
  <c r="T24" i="2"/>
  <c r="AV24" i="2"/>
  <c r="AV53" i="2"/>
  <c r="U53" i="2"/>
  <c r="U24" i="2"/>
  <c r="AW24" i="2"/>
  <c r="AW53" i="2"/>
  <c r="V53" i="2"/>
  <c r="V24" i="2"/>
  <c r="AX24" i="2"/>
  <c r="AX53" i="2"/>
  <c r="W53" i="2"/>
  <c r="W24" i="2"/>
  <c r="AY24" i="2"/>
  <c r="AY53" i="2"/>
  <c r="AZ24" i="2"/>
  <c r="AZ53" i="2"/>
  <c r="Y53" i="2"/>
  <c r="Y24" i="2"/>
  <c r="BA24" i="2"/>
  <c r="BA53" i="2"/>
  <c r="Z53" i="2"/>
  <c r="Z24" i="2"/>
  <c r="BB24" i="2"/>
  <c r="BB53" i="2"/>
  <c r="AA53" i="2"/>
  <c r="AA24" i="2"/>
  <c r="BC24" i="2"/>
  <c r="BC53" i="2"/>
  <c r="AB53" i="2"/>
  <c r="AB24" i="2"/>
  <c r="BD24" i="2"/>
  <c r="BD53" i="2"/>
  <c r="D54" i="2"/>
  <c r="D25" i="2"/>
  <c r="AF25" i="2"/>
  <c r="AF54" i="2"/>
  <c r="E25" i="2"/>
  <c r="E54" i="2"/>
  <c r="AG25" i="2"/>
  <c r="AG54" i="2"/>
  <c r="F25" i="2"/>
  <c r="F54" i="2"/>
  <c r="AH25" i="2"/>
  <c r="AH54" i="2"/>
  <c r="G25" i="2"/>
  <c r="G54" i="2"/>
  <c r="AI25" i="2"/>
  <c r="AI54" i="2"/>
  <c r="H54" i="2"/>
  <c r="H25" i="2"/>
  <c r="AJ25" i="2"/>
  <c r="AJ54" i="2"/>
  <c r="I54" i="2"/>
  <c r="I25" i="2"/>
  <c r="AK25" i="2"/>
  <c r="AK54" i="2"/>
  <c r="J54" i="2"/>
  <c r="J25" i="2"/>
  <c r="AL25" i="2"/>
  <c r="AL54" i="2"/>
  <c r="K54" i="2"/>
  <c r="K25" i="2"/>
  <c r="AM25" i="2"/>
  <c r="AM54" i="2"/>
  <c r="L54" i="2"/>
  <c r="L25" i="2"/>
  <c r="AN25" i="2"/>
  <c r="AN54" i="2"/>
  <c r="M54" i="2"/>
  <c r="M25" i="2"/>
  <c r="AO25" i="2"/>
  <c r="AO54" i="2"/>
  <c r="N54" i="2"/>
  <c r="N25" i="2"/>
  <c r="AP25" i="2"/>
  <c r="AP54" i="2"/>
  <c r="O54" i="2"/>
  <c r="O25" i="2"/>
  <c r="AQ25" i="2"/>
  <c r="AQ54" i="2"/>
  <c r="P54" i="2"/>
  <c r="P25" i="2"/>
  <c r="AR25" i="2"/>
  <c r="AR54" i="2"/>
  <c r="Q54" i="2"/>
  <c r="Q25" i="2"/>
  <c r="AS25" i="2"/>
  <c r="AS54" i="2"/>
  <c r="R54" i="2"/>
  <c r="R25" i="2"/>
  <c r="AT25" i="2"/>
  <c r="AT54" i="2"/>
  <c r="S54" i="2"/>
  <c r="S25" i="2"/>
  <c r="AU25" i="2"/>
  <c r="AU54" i="2"/>
  <c r="T54" i="2"/>
  <c r="T25" i="2"/>
  <c r="AV25" i="2"/>
  <c r="AV54" i="2"/>
  <c r="U54" i="2"/>
  <c r="U25" i="2"/>
  <c r="AW25" i="2"/>
  <c r="AW54" i="2"/>
  <c r="V54" i="2"/>
  <c r="V25" i="2"/>
  <c r="AX25" i="2"/>
  <c r="AX54" i="2"/>
  <c r="W54" i="2"/>
  <c r="W25" i="2"/>
  <c r="AY25" i="2"/>
  <c r="AY54" i="2"/>
  <c r="X54" i="2"/>
  <c r="X25" i="2"/>
  <c r="AZ25" i="2"/>
  <c r="AZ54" i="2"/>
  <c r="BA25" i="2"/>
  <c r="BA54" i="2"/>
  <c r="Z54" i="2"/>
  <c r="Z25" i="2"/>
  <c r="BB25" i="2"/>
  <c r="BB54" i="2"/>
  <c r="AA54" i="2"/>
  <c r="AA25" i="2"/>
  <c r="BC25" i="2"/>
  <c r="BC54" i="2"/>
  <c r="AB54" i="2"/>
  <c r="AB25" i="2"/>
  <c r="BD25" i="2"/>
  <c r="BD54" i="2"/>
  <c r="D55" i="2"/>
  <c r="D26" i="2"/>
  <c r="AF26" i="2"/>
  <c r="AF55" i="2"/>
  <c r="E26" i="2"/>
  <c r="E55" i="2"/>
  <c r="AG26" i="2"/>
  <c r="AG55" i="2"/>
  <c r="F26" i="2"/>
  <c r="F55" i="2"/>
  <c r="AH26" i="2"/>
  <c r="AH55" i="2"/>
  <c r="G26" i="2"/>
  <c r="G55" i="2"/>
  <c r="AI26" i="2"/>
  <c r="AI55" i="2"/>
  <c r="H55" i="2"/>
  <c r="H26" i="2"/>
  <c r="AJ26" i="2"/>
  <c r="AJ55" i="2"/>
  <c r="I55" i="2"/>
  <c r="I26" i="2"/>
  <c r="AK26" i="2"/>
  <c r="AK55" i="2"/>
  <c r="J55" i="2"/>
  <c r="J26" i="2"/>
  <c r="AL26" i="2"/>
  <c r="AL55" i="2"/>
  <c r="K55" i="2"/>
  <c r="K26" i="2"/>
  <c r="AM26" i="2"/>
  <c r="AM55" i="2"/>
  <c r="L55" i="2"/>
  <c r="L26" i="2"/>
  <c r="AN26" i="2"/>
  <c r="AN55" i="2"/>
  <c r="M55" i="2"/>
  <c r="M26" i="2"/>
  <c r="AO26" i="2"/>
  <c r="AO55" i="2"/>
  <c r="N55" i="2"/>
  <c r="N26" i="2"/>
  <c r="AP26" i="2"/>
  <c r="AP55" i="2"/>
  <c r="O55" i="2"/>
  <c r="O26" i="2"/>
  <c r="AQ26" i="2"/>
  <c r="AQ55" i="2"/>
  <c r="P55" i="2"/>
  <c r="P26" i="2"/>
  <c r="AR26" i="2"/>
  <c r="AR55" i="2"/>
  <c r="Q55" i="2"/>
  <c r="Q26" i="2"/>
  <c r="AS26" i="2"/>
  <c r="AS55" i="2"/>
  <c r="R55" i="2"/>
  <c r="R26" i="2"/>
  <c r="AT26" i="2"/>
  <c r="AT55" i="2"/>
  <c r="S55" i="2"/>
  <c r="S26" i="2"/>
  <c r="AU26" i="2"/>
  <c r="AU55" i="2"/>
  <c r="T55" i="2"/>
  <c r="T26" i="2"/>
  <c r="AV26" i="2"/>
  <c r="AV55" i="2"/>
  <c r="U55" i="2"/>
  <c r="U26" i="2"/>
  <c r="AW26" i="2"/>
  <c r="AW55" i="2"/>
  <c r="V55" i="2"/>
  <c r="V26" i="2"/>
  <c r="AX26" i="2"/>
  <c r="AX55" i="2"/>
  <c r="W55" i="2"/>
  <c r="W26" i="2"/>
  <c r="AY26" i="2"/>
  <c r="AY55" i="2"/>
  <c r="X55" i="2"/>
  <c r="X26" i="2"/>
  <c r="AZ26" i="2"/>
  <c r="AZ55" i="2"/>
  <c r="Y55" i="2"/>
  <c r="Y26" i="2"/>
  <c r="BA26" i="2"/>
  <c r="BA55" i="2"/>
  <c r="BB26" i="2"/>
  <c r="BB55" i="2"/>
  <c r="AA55" i="2"/>
  <c r="AA26" i="2"/>
  <c r="BC26" i="2"/>
  <c r="BC55" i="2"/>
  <c r="AB55" i="2"/>
  <c r="AB26" i="2"/>
  <c r="BD26" i="2"/>
  <c r="BD55" i="2"/>
  <c r="D56" i="2"/>
  <c r="D27" i="2"/>
  <c r="AF27" i="2"/>
  <c r="AF56" i="2"/>
  <c r="E27" i="2"/>
  <c r="E56" i="2"/>
  <c r="AG27" i="2"/>
  <c r="AG56" i="2"/>
  <c r="F27" i="2"/>
  <c r="F56" i="2"/>
  <c r="AH27" i="2"/>
  <c r="AH56" i="2"/>
  <c r="G27" i="2"/>
  <c r="G56" i="2"/>
  <c r="AI27" i="2"/>
  <c r="AI56" i="2"/>
  <c r="H56" i="2"/>
  <c r="H27" i="2"/>
  <c r="AJ27" i="2"/>
  <c r="AJ56" i="2"/>
  <c r="I56" i="2"/>
  <c r="I27" i="2"/>
  <c r="AK27" i="2"/>
  <c r="AK56" i="2"/>
  <c r="J56" i="2"/>
  <c r="J27" i="2"/>
  <c r="AL27" i="2"/>
  <c r="AL56" i="2"/>
  <c r="K56" i="2"/>
  <c r="K27" i="2"/>
  <c r="AM27" i="2"/>
  <c r="AM56" i="2"/>
  <c r="L56" i="2"/>
  <c r="L27" i="2"/>
  <c r="AN27" i="2"/>
  <c r="AN56" i="2"/>
  <c r="M56" i="2"/>
  <c r="M27" i="2"/>
  <c r="AO27" i="2"/>
  <c r="AO56" i="2"/>
  <c r="N56" i="2"/>
  <c r="N27" i="2"/>
  <c r="AP27" i="2"/>
  <c r="AP56" i="2"/>
  <c r="O56" i="2"/>
  <c r="O27" i="2"/>
  <c r="AQ27" i="2"/>
  <c r="AQ56" i="2"/>
  <c r="P56" i="2"/>
  <c r="P27" i="2"/>
  <c r="AR27" i="2"/>
  <c r="AR56" i="2"/>
  <c r="Q56" i="2"/>
  <c r="Q27" i="2"/>
  <c r="AS27" i="2"/>
  <c r="AS56" i="2"/>
  <c r="R56" i="2"/>
  <c r="R27" i="2"/>
  <c r="AT27" i="2"/>
  <c r="AT56" i="2"/>
  <c r="S56" i="2"/>
  <c r="S27" i="2"/>
  <c r="AU27" i="2"/>
  <c r="AU56" i="2"/>
  <c r="T56" i="2"/>
  <c r="T27" i="2"/>
  <c r="AV27" i="2"/>
  <c r="AV56" i="2"/>
  <c r="U56" i="2"/>
  <c r="U27" i="2"/>
  <c r="AW27" i="2"/>
  <c r="AW56" i="2"/>
  <c r="V56" i="2"/>
  <c r="V27" i="2"/>
  <c r="AX27" i="2"/>
  <c r="AX56" i="2"/>
  <c r="W56" i="2"/>
  <c r="W27" i="2"/>
  <c r="AY27" i="2"/>
  <c r="AY56" i="2"/>
  <c r="X56" i="2"/>
  <c r="X27" i="2"/>
  <c r="AZ27" i="2"/>
  <c r="AZ56" i="2"/>
  <c r="Y56" i="2"/>
  <c r="Y27" i="2"/>
  <c r="BA27" i="2"/>
  <c r="BA56" i="2"/>
  <c r="Z56" i="2"/>
  <c r="Z27" i="2"/>
  <c r="BB27" i="2"/>
  <c r="BB56" i="2"/>
  <c r="BC27" i="2"/>
  <c r="BC56" i="2"/>
  <c r="AB56" i="2"/>
  <c r="AB27" i="2"/>
  <c r="BD27" i="2"/>
  <c r="BD56" i="2"/>
  <c r="D57" i="2"/>
  <c r="D28" i="2"/>
  <c r="AF28" i="2"/>
  <c r="AF57" i="2"/>
  <c r="E28" i="2"/>
  <c r="E57" i="2"/>
  <c r="AG28" i="2"/>
  <c r="AG57" i="2"/>
  <c r="F28" i="2"/>
  <c r="F57" i="2"/>
  <c r="AH28" i="2"/>
  <c r="AH57" i="2"/>
  <c r="G28" i="2"/>
  <c r="G57" i="2"/>
  <c r="AI28" i="2"/>
  <c r="AI57" i="2"/>
  <c r="H57" i="2"/>
  <c r="H28" i="2"/>
  <c r="AJ28" i="2"/>
  <c r="AJ57" i="2"/>
  <c r="I57" i="2"/>
  <c r="I28" i="2"/>
  <c r="AK28" i="2"/>
  <c r="AK57" i="2"/>
  <c r="J57" i="2"/>
  <c r="J28" i="2"/>
  <c r="AL28" i="2"/>
  <c r="AL57" i="2"/>
  <c r="K57" i="2"/>
  <c r="K28" i="2"/>
  <c r="AM28" i="2"/>
  <c r="AM57" i="2"/>
  <c r="L57" i="2"/>
  <c r="L28" i="2"/>
  <c r="AN28" i="2"/>
  <c r="AN57" i="2"/>
  <c r="M57" i="2"/>
  <c r="M28" i="2"/>
  <c r="AO28" i="2"/>
  <c r="AO57" i="2"/>
  <c r="N57" i="2"/>
  <c r="N28" i="2"/>
  <c r="AP28" i="2"/>
  <c r="AP57" i="2"/>
  <c r="O57" i="2"/>
  <c r="O28" i="2"/>
  <c r="AQ28" i="2"/>
  <c r="AQ57" i="2"/>
  <c r="P57" i="2"/>
  <c r="P28" i="2"/>
  <c r="AR28" i="2"/>
  <c r="AR57" i="2"/>
  <c r="Q57" i="2"/>
  <c r="Q28" i="2"/>
  <c r="AS28" i="2"/>
  <c r="AS57" i="2"/>
  <c r="R57" i="2"/>
  <c r="R28" i="2"/>
  <c r="AT28" i="2"/>
  <c r="AT57" i="2"/>
  <c r="S57" i="2"/>
  <c r="S28" i="2"/>
  <c r="AU28" i="2"/>
  <c r="AU57" i="2"/>
  <c r="T57" i="2"/>
  <c r="T28" i="2"/>
  <c r="AV28" i="2"/>
  <c r="AV57" i="2"/>
  <c r="U57" i="2"/>
  <c r="U28" i="2"/>
  <c r="AW28" i="2"/>
  <c r="AW57" i="2"/>
  <c r="V57" i="2"/>
  <c r="V28" i="2"/>
  <c r="AX28" i="2"/>
  <c r="AX57" i="2"/>
  <c r="W57" i="2"/>
  <c r="W28" i="2"/>
  <c r="AY28" i="2"/>
  <c r="AY57" i="2"/>
  <c r="X57" i="2"/>
  <c r="X28" i="2"/>
  <c r="AZ28" i="2"/>
  <c r="AZ57" i="2"/>
  <c r="Y57" i="2"/>
  <c r="Y28" i="2"/>
  <c r="BA28" i="2"/>
  <c r="BA57" i="2"/>
  <c r="Z57" i="2"/>
  <c r="Z28" i="2"/>
  <c r="BB28" i="2"/>
  <c r="BB57" i="2"/>
  <c r="AA57" i="2"/>
  <c r="AA28" i="2"/>
  <c r="BC28" i="2"/>
  <c r="BC57" i="2"/>
  <c r="BD28" i="2"/>
  <c r="BD57" i="2"/>
  <c r="C28" i="2"/>
  <c r="C57" i="2"/>
  <c r="AE28" i="2"/>
  <c r="AE57" i="2"/>
  <c r="AE32" i="2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H29" i="1"/>
  <c r="AE3" i="2"/>
</calcChain>
</file>

<file path=xl/sharedStrings.xml><?xml version="1.0" encoding="utf-8"?>
<sst xmlns="http://schemas.openxmlformats.org/spreadsheetml/2006/main" count="244" uniqueCount="36">
  <si>
    <t>Table 1 - Summary Table</t>
  </si>
  <si>
    <t>Cost</t>
  </si>
  <si>
    <t>Benefit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</si>
  <si>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</si>
  <si>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</si>
  <si>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</si>
  <si>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</si>
  <si>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</si>
  <si>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</si>
  <si>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</si>
  <si>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</si>
  <si>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</si>
  <si>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</si>
  <si>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</si>
  <si>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</si>
  <si>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</si>
  <si>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</si>
  <si>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P</t>
  </si>
  <si>
    <t>O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</si>
  <si>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</si>
  <si>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</si>
  <si>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</si>
  <si>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</si>
  <si>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</si>
  <si>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</si>
  <si>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</si>
  <si>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</si>
  <si>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</si>
  <si>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</si>
  <si>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Option Name</t>
  </si>
  <si>
    <t>Code</t>
  </si>
  <si>
    <t>dcosts</t>
  </si>
  <si>
    <t>dbens</t>
  </si>
  <si>
    <t>Angles</t>
  </si>
  <si>
    <t>Interpretation</t>
  </si>
  <si>
    <t>Table 2 - Cost Effectiveness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</si>
</sst>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0" borderId="0" xfId="0" applyFill="1"/>
    <xf numFmtId="164" fontId="0" fillId="0" borderId="2" xfId="0" applyNumberFormat="1" applyBorder="1" applyAlignment="1">
      <alignment wrapText="1"/>
    </xf>
    <xf numFmtId="1" fontId="0" fillId="0" borderId="0" xfId="0" applyNumberFormat="1" applyBorder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1" fillId="0" borderId="5" xfId="0" applyFont="1" applyBorder="1"/>
    <xf numFmtId="0" fontId="2" fillId="0" borderId="0" xfId="0" applyFont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values</c:v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tx>
                <c:strRef>
                  <c:f>'Summary Tables'!$B$4</c:f>
                  <c:strCache>
                    <c:ptCount val="1"/>
                    <c:pt idx="0">
                      <c:v>A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strRef>
                  <c:f>'Summary Tables'!$B$5</c:f>
                  <c:strCache>
                    <c:ptCount val="1"/>
                    <c:pt idx="0">
                      <c:v>B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strRef>
                  <c:f>'Summary Tables'!$B$6</c:f>
                  <c:strCache>
                    <c:ptCount val="1"/>
                    <c:pt idx="0">
                      <c:v>C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strRef>
                  <c:f>'Summary Tables'!$B$7</c:f>
                  <c:strCache>
                    <c:ptCount val="1"/>
                    <c:pt idx="0">
                      <c:v>D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strRef>
                  <c:f>'Summary Tables'!$B$8</c:f>
                  <c:strCache>
                    <c:ptCount val="1"/>
                    <c:pt idx="0">
                      <c:v>E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tx>
                <c:strRef>
                  <c:f>'Summary Tables'!$B$9</c:f>
                  <c:strCache>
                    <c:ptCount val="1"/>
                    <c:pt idx="0">
                      <c:v>F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tx>
                <c:strRef>
                  <c:f>'Summary Tables'!$B$10</c:f>
                  <c:strCache>
                    <c:ptCount val="1"/>
                    <c:pt idx="0">
                      <c:v>G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tx>
                <c:strRef>
                  <c:f>'Summary Tables'!$B$11</c:f>
                  <c:strCache>
                    <c:ptCount val="1"/>
                    <c:pt idx="0">
                      <c:v>H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tx>
                <c:strRef>
                  <c:f>'Summary Tables'!$B$12</c:f>
                  <c:strCache>
                    <c:ptCount val="1"/>
                    <c:pt idx="0">
                      <c:v>I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tx>
                <c:strRef>
                  <c:f>'Summary Tables'!$B$13</c:f>
                  <c:strCache>
                    <c:ptCount val="1"/>
                    <c:pt idx="0">
                      <c:v>J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tx>
                <c:strRef>
                  <c:f>'Summary Tables'!$B$14</c:f>
                  <c:strCache>
                    <c:ptCount val="1"/>
                    <c:pt idx="0">
                      <c:v>K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tx>
                <c:strRef>
                  <c:f>'Summary Tables'!$B$15</c:f>
                  <c:strCache>
                    <c:ptCount val="1"/>
                    <c:pt idx="0">
                      <c:v>L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tx>
                <c:strRef>
                  <c:f>'Summary Tables'!$B$16</c:f>
                  <c:strCache>
                    <c:ptCount val="1"/>
                    <c:pt idx="0">
                      <c:v>M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tx>
                <c:strRef>
                  <c:f>'Summary Tables'!$B$17</c:f>
                  <c:strCache>
                    <c:ptCount val="1"/>
                    <c:pt idx="0">
                      <c:v>N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tx>
                <c:strRef>
                  <c:f>'Summary Tables'!$B$18</c:f>
                  <c:strCache>
                    <c:ptCount val="1"/>
                    <c:pt idx="0">
                      <c:v>O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tx>
                <c:strRef>
                  <c:f>'Summary Tables'!$B$19</c:f>
                  <c:strCache>
                    <c:ptCount val="1"/>
                    <c:pt idx="0">
                      <c:v>P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tx>
                <c:strRef>
                  <c:f>'Summary Tables'!$B$20</c:f>
                  <c:strCache>
                    <c:ptCount val="1"/>
                    <c:pt idx="0">
                      <c:v>Q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tx>
                <c:strRef>
                  <c:f>'Summary Tables'!$B$21</c:f>
                  <c:strCache>
                    <c:ptCount val="1"/>
                    <c:pt idx="0">
                      <c:v>R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tx>
                <c:strRef>
                  <c:f>'Summary Tables'!$B$22</c:f>
                  <c:strCache>
                    <c:ptCount val="1"/>
                    <c:pt idx="0">
                      <c:v>S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tx>
                <c:strRef>
                  <c:f>'Summary Tables'!$B$23</c:f>
                  <c:strCache>
                    <c:ptCount val="1"/>
                    <c:pt idx="0">
                      <c:v>T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tx>
                <c:strRef>
                  <c:f>'Summary Tables'!$B$24</c:f>
                  <c:strCache>
                    <c:ptCount val="1"/>
                    <c:pt idx="0">
                      <c:v>U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tx>
                <c:strRef>
                  <c:f>'Summary Tables'!$B$25</c:f>
                  <c:strCache>
                    <c:ptCount val="1"/>
                    <c:pt idx="0">
                      <c:v>V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2"/>
              <c:tx>
                <c:strRef>
                  <c:f>'Summary Tables'!$B$26</c:f>
                  <c:strCache>
                    <c:ptCount val="1"/>
                    <c:pt idx="0">
                      <c:v>W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3"/>
              <c:tx>
                <c:strRef>
                  <c:f>'Summary Tables'!$B$27</c:f>
                  <c:strCache>
                    <c:ptCount val="1"/>
                    <c:pt idx="0">
                      <c:v>X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4"/>
              <c:tx>
                <c:strRef>
                  <c:f>'Summary Tables'!$B$28</c:f>
                  <c:strCache>
                    <c:ptCount val="1"/>
                    <c:pt idx="0">
                      <c:v>Y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5"/>
              <c:tx>
                <c:strRef>
                  <c:f>'Summary Tables'!$B$29</c:f>
                  <c:strCache>
                    <c:ptCount val="1"/>
                    <c:pt idx="0">
                      <c:v>Z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'Summary Tables'!$D$4:$D$29</c:f>
              <c:numCache>
                <c:formatCode>General</c:formatCode>
                <c:ptCount val="26"/>
              </c:numCache>
            </c:numRef>
          </c:xVal>
          <c:yVal>
            <c:numRef>
              <c:f>'Summary Tables'!$C$4:$C$29</c:f>
              <c:numCache>
                <c:formatCode>General</c:formatCode>
                <c:ptCount val="26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898560"/>
        <c:axId val="254900480"/>
      </c:scatterChart>
      <c:valAx>
        <c:axId val="25489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Benefit (e.g. QALYs)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4900480"/>
        <c:crosses val="autoZero"/>
        <c:crossBetween val="midCat"/>
      </c:valAx>
      <c:valAx>
        <c:axId val="2549004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(e.g. £)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489856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29"/>
  <sheetViews>
    <sheetView showGridLines="0" tabSelected="1" workbookViewId="0">
      <selection activeCell="C4" sqref="C4"/>
    </sheetView>
  </sheetViews>
  <sheetFormatPr defaultRowHeight="15" x14ac:dyDescent="0.25"/>
  <cols>
    <col min="1" max="1" width="45.85546875" customWidth="1"/>
    <col min="3" max="3" width="9.85546875" customWidth="1"/>
    <col min="4" max="4" width="10.28515625" customWidth="1"/>
    <col min="7" max="7" width="13.7109375" customWidth="1"/>
    <col min="8" max="33" width="8.7109375" customWidth="1"/>
  </cols>
  <sheetData>
    <row r="1" spans="1:33" x14ac:dyDescent="0.25">
      <c r="A1" s="13" t="s">
        <v>0</v>
      </c>
      <c r="G1" s="13" t="s">
        <v>35</v>
      </c>
    </row>
    <row r="3" spans="1:33" x14ac:dyDescent="0.25">
      <c r="A3" s="14" t="s">
        <v>29</v>
      </c>
      <c r="B3" s="15" t="s">
        <v>30</v>
      </c>
      <c r="C3" s="15" t="s">
        <v>1</v>
      </c>
      <c r="D3" s="16" t="s">
        <v>2</v>
      </c>
      <c r="G3" s="11"/>
      <c r="H3" s="12" t="str">
        <f>G4</f>
        <v>A</v>
      </c>
      <c r="I3" s="12" t="str">
        <f>G5</f>
        <v>B</v>
      </c>
      <c r="J3" s="12" t="str">
        <f>G6</f>
        <v>C</v>
      </c>
      <c r="K3" s="12" t="str">
        <f>G7</f>
        <v>D</v>
      </c>
      <c r="L3" s="12" t="str">
        <f>G8</f>
        <v>E</v>
      </c>
      <c r="M3" s="12" t="str">
        <f>G9</f>
        <v>F</v>
      </c>
      <c r="N3" s="12" t="str">
        <f>G10</f>
        <v>G</v>
      </c>
      <c r="O3" s="12" t="str">
        <f>G11</f>
        <v>H</v>
      </c>
      <c r="P3" s="12" t="str">
        <f>G12</f>
        <v>I</v>
      </c>
      <c r="Q3" s="12" t="str">
        <f>G13</f>
        <v>J</v>
      </c>
      <c r="R3" s="12" t="str">
        <f>G14</f>
        <v>K</v>
      </c>
      <c r="S3" s="12" t="str">
        <f>G15</f>
        <v>L</v>
      </c>
      <c r="T3" s="12" t="str">
        <f>G16</f>
        <v>M</v>
      </c>
      <c r="U3" s="12" t="str">
        <f>G17</f>
        <v>N</v>
      </c>
      <c r="V3" s="12" t="str">
        <f>G18</f>
        <v>O</v>
      </c>
      <c r="W3" s="12" t="str">
        <f>G19</f>
        <v>P</v>
      </c>
      <c r="X3" s="12" t="str">
        <f>G20</f>
        <v>Q</v>
      </c>
      <c r="Y3" s="12" t="str">
        <f>G21</f>
        <v>R</v>
      </c>
      <c r="Z3" s="12" t="str">
        <f>G22</f>
        <v>S</v>
      </c>
      <c r="AA3" s="12" t="str">
        <f>G23</f>
        <v>T</v>
      </c>
      <c r="AB3" s="12" t="str">
        <f>G24</f>
        <v>U</v>
      </c>
      <c r="AC3" s="12" t="str">
        <f>G25</f>
        <v>V</v>
      </c>
      <c r="AD3" s="12" t="str">
        <f>G26</f>
        <v>W</v>
      </c>
      <c r="AE3" s="12" t="str">
        <f>G27</f>
        <v>X</v>
      </c>
      <c r="AF3" s="12" t="str">
        <f>G28</f>
        <v>Y</v>
      </c>
      <c r="AG3" s="12" t="str">
        <f>G29</f>
        <v>Z</v>
      </c>
    </row>
    <row r="4" spans="1:33" x14ac:dyDescent="0.25">
      <c r="A4" s="5"/>
      <c r="B4" s="6" t="s">
        <v>3</v>
      </c>
      <c r="C4" s="6"/>
      <c r="D4" s="7"/>
      <c r="G4" s="12" t="str">
        <f t="shared" ref="G4:G10" si="0">IF(ISBLANK(A4),B4,A4)</f>
        <v>A</v>
      </c>
      <c r="H4" s="11" t="str">
        <f>'Workings Out'!AE32</f>
        <v/>
      </c>
      <c r="I4" s="11" t="str">
        <f>'Workings Out'!AF32</f>
        <v/>
      </c>
      <c r="J4" s="11" t="str">
        <f>'Workings Out'!AG32</f>
        <v/>
      </c>
      <c r="K4" s="11" t="str">
        <f>'Workings Out'!AH32</f>
        <v/>
      </c>
      <c r="L4" s="11" t="str">
        <f>'Workings Out'!AI32</f>
        <v/>
      </c>
      <c r="M4" s="11" t="str">
        <f>'Workings Out'!AJ32</f>
        <v/>
      </c>
      <c r="N4" s="11" t="str">
        <f>'Workings Out'!AK32</f>
        <v/>
      </c>
      <c r="O4" s="11" t="str">
        <f>'Workings Out'!AL32</f>
        <v/>
      </c>
      <c r="P4" s="11" t="str">
        <f>'Workings Out'!AM32</f>
        <v/>
      </c>
      <c r="Q4" s="11" t="str">
        <f>'Workings Out'!AN32</f>
        <v/>
      </c>
      <c r="R4" s="11" t="str">
        <f>'Workings Out'!AO32</f>
        <v/>
      </c>
      <c r="S4" s="11" t="str">
        <f>'Workings Out'!AP32</f>
        <v/>
      </c>
      <c r="T4" s="11" t="str">
        <f>'Workings Out'!AQ32</f>
        <v/>
      </c>
      <c r="U4" s="11" t="str">
        <f>'Workings Out'!AR32</f>
        <v/>
      </c>
      <c r="V4" s="11" t="str">
        <f>'Workings Out'!AS32</f>
        <v/>
      </c>
      <c r="W4" s="11" t="str">
        <f>'Workings Out'!AT32</f>
        <v/>
      </c>
      <c r="X4" s="11" t="str">
        <f>'Workings Out'!AU32</f>
        <v/>
      </c>
      <c r="Y4" s="11" t="str">
        <f>'Workings Out'!AV32</f>
        <v/>
      </c>
      <c r="Z4" s="11" t="str">
        <f>'Workings Out'!AW32</f>
        <v/>
      </c>
      <c r="AA4" s="11" t="str">
        <f>'Workings Out'!AX32</f>
        <v/>
      </c>
      <c r="AB4" s="11" t="str">
        <f>'Workings Out'!AY32</f>
        <v/>
      </c>
      <c r="AC4" s="11" t="str">
        <f>'Workings Out'!AZ32</f>
        <v/>
      </c>
      <c r="AD4" s="11" t="str">
        <f>'Workings Out'!BA32</f>
        <v/>
      </c>
      <c r="AE4" s="11" t="str">
        <f>'Workings Out'!BB32</f>
        <v/>
      </c>
      <c r="AF4" s="11" t="str">
        <f>'Workings Out'!BC32</f>
        <v/>
      </c>
      <c r="AG4" s="11" t="str">
        <f>'Workings Out'!BD32</f>
        <v/>
      </c>
    </row>
    <row r="5" spans="1:33" x14ac:dyDescent="0.25">
      <c r="A5" s="5"/>
      <c r="B5" s="6" t="s">
        <v>4</v>
      </c>
      <c r="D5" s="7"/>
      <c r="G5" s="12" t="str">
        <f t="shared" si="0"/>
        <v>B</v>
      </c>
      <c r="H5" s="11" t="str">
        <f>'Workings Out'!AE33</f>
        <v/>
      </c>
      <c r="I5" s="11" t="str">
        <f>'Workings Out'!AF33</f>
        <v/>
      </c>
      <c r="J5" s="11" t="str">
        <f>'Workings Out'!AG33</f>
        <v/>
      </c>
      <c r="K5" s="11" t="str">
        <f>'Workings Out'!AH33</f>
        <v/>
      </c>
      <c r="L5" s="11" t="str">
        <f>'Workings Out'!AI33</f>
        <v/>
      </c>
      <c r="M5" s="11" t="str">
        <f>'Workings Out'!AJ33</f>
        <v/>
      </c>
      <c r="N5" s="11" t="str">
        <f>'Workings Out'!AK33</f>
        <v/>
      </c>
      <c r="O5" s="11" t="str">
        <f>'Workings Out'!AL33</f>
        <v/>
      </c>
      <c r="P5" s="11" t="str">
        <f>'Workings Out'!AM33</f>
        <v/>
      </c>
      <c r="Q5" s="11" t="str">
        <f>'Workings Out'!AN33</f>
        <v/>
      </c>
      <c r="R5" s="11" t="str">
        <f>'Workings Out'!AO33</f>
        <v/>
      </c>
      <c r="S5" s="11" t="str">
        <f>'Workings Out'!AP33</f>
        <v/>
      </c>
      <c r="T5" s="11" t="str">
        <f>'Workings Out'!AQ33</f>
        <v/>
      </c>
      <c r="U5" s="11" t="str">
        <f>'Workings Out'!AR33</f>
        <v/>
      </c>
      <c r="V5" s="11" t="str">
        <f>'Workings Out'!AS33</f>
        <v/>
      </c>
      <c r="W5" s="11" t="str">
        <f>'Workings Out'!AT33</f>
        <v/>
      </c>
      <c r="X5" s="11" t="str">
        <f>'Workings Out'!AU33</f>
        <v/>
      </c>
      <c r="Y5" s="11" t="str">
        <f>'Workings Out'!AV33</f>
        <v/>
      </c>
      <c r="Z5" s="11" t="str">
        <f>'Workings Out'!AW33</f>
        <v/>
      </c>
      <c r="AA5" s="11" t="str">
        <f>'Workings Out'!AX33</f>
        <v/>
      </c>
      <c r="AB5" s="11" t="str">
        <f>'Workings Out'!AY33</f>
        <v/>
      </c>
      <c r="AC5" s="11" t="str">
        <f>'Workings Out'!AZ33</f>
        <v/>
      </c>
      <c r="AD5" s="11" t="str">
        <f>'Workings Out'!BA33</f>
        <v/>
      </c>
      <c r="AE5" s="11" t="str">
        <f>'Workings Out'!BB33</f>
        <v/>
      </c>
      <c r="AF5" s="11" t="str">
        <f>'Workings Out'!BC33</f>
        <v/>
      </c>
      <c r="AG5" s="11" t="str">
        <f>'Workings Out'!BD33</f>
        <v/>
      </c>
    </row>
    <row r="6" spans="1:33" x14ac:dyDescent="0.25">
      <c r="A6" s="5"/>
      <c r="B6" s="6" t="s">
        <v>5</v>
      </c>
      <c r="C6" s="6"/>
      <c r="D6" s="7"/>
      <c r="G6" s="12" t="str">
        <f t="shared" si="0"/>
        <v>C</v>
      </c>
      <c r="H6" s="11" t="str">
        <f>'Workings Out'!AE34</f>
        <v/>
      </c>
      <c r="I6" s="11" t="str">
        <f>'Workings Out'!AF34</f>
        <v/>
      </c>
      <c r="J6" s="11" t="str">
        <f>'Workings Out'!AG34</f>
        <v/>
      </c>
      <c r="K6" s="11" t="str">
        <f>'Workings Out'!AH34</f>
        <v/>
      </c>
      <c r="L6" s="11" t="str">
        <f>'Workings Out'!AI34</f>
        <v/>
      </c>
      <c r="M6" s="11" t="str">
        <f>'Workings Out'!AJ34</f>
        <v/>
      </c>
      <c r="N6" s="11" t="str">
        <f>'Workings Out'!AK34</f>
        <v/>
      </c>
      <c r="O6" s="11" t="str">
        <f>'Workings Out'!AL34</f>
        <v/>
      </c>
      <c r="P6" s="11" t="str">
        <f>'Workings Out'!AM34</f>
        <v/>
      </c>
      <c r="Q6" s="11" t="str">
        <f>'Workings Out'!AN34</f>
        <v/>
      </c>
      <c r="R6" s="11" t="str">
        <f>'Workings Out'!AO34</f>
        <v/>
      </c>
      <c r="S6" s="11" t="str">
        <f>'Workings Out'!AP34</f>
        <v/>
      </c>
      <c r="T6" s="11" t="str">
        <f>'Workings Out'!AQ34</f>
        <v/>
      </c>
      <c r="U6" s="11" t="str">
        <f>'Workings Out'!AR34</f>
        <v/>
      </c>
      <c r="V6" s="11" t="str">
        <f>'Workings Out'!AS34</f>
        <v/>
      </c>
      <c r="W6" s="11" t="str">
        <f>'Workings Out'!AT34</f>
        <v/>
      </c>
      <c r="X6" s="11" t="str">
        <f>'Workings Out'!AU34</f>
        <v/>
      </c>
      <c r="Y6" s="11" t="str">
        <f>'Workings Out'!AV34</f>
        <v/>
      </c>
      <c r="Z6" s="11" t="str">
        <f>'Workings Out'!AW34</f>
        <v/>
      </c>
      <c r="AA6" s="11" t="str">
        <f>'Workings Out'!AX34</f>
        <v/>
      </c>
      <c r="AB6" s="11" t="str">
        <f>'Workings Out'!AY34</f>
        <v/>
      </c>
      <c r="AC6" s="11" t="str">
        <f>'Workings Out'!AZ34</f>
        <v/>
      </c>
      <c r="AD6" s="11" t="str">
        <f>'Workings Out'!BA34</f>
        <v/>
      </c>
      <c r="AE6" s="11" t="str">
        <f>'Workings Out'!BB34</f>
        <v/>
      </c>
      <c r="AF6" s="11" t="str">
        <f>'Workings Out'!BC34</f>
        <v/>
      </c>
      <c r="AG6" s="11" t="str">
        <f>'Workings Out'!BD34</f>
        <v/>
      </c>
    </row>
    <row r="7" spans="1:33" x14ac:dyDescent="0.25">
      <c r="A7" s="5"/>
      <c r="B7" s="6" t="s">
        <v>6</v>
      </c>
      <c r="C7" s="6"/>
      <c r="D7" s="7"/>
      <c r="G7" s="12" t="str">
        <f t="shared" si="0"/>
        <v>D</v>
      </c>
      <c r="H7" s="11" t="str">
        <f>'Workings Out'!AE35</f>
        <v/>
      </c>
      <c r="I7" s="11" t="str">
        <f>'Workings Out'!AF35</f>
        <v/>
      </c>
      <c r="J7" s="11" t="str">
        <f>'Workings Out'!AG35</f>
        <v/>
      </c>
      <c r="K7" s="11" t="str">
        <f>'Workings Out'!AH35</f>
        <v/>
      </c>
      <c r="L7" s="11" t="str">
        <f>'Workings Out'!AI35</f>
        <v/>
      </c>
      <c r="M7" s="11" t="str">
        <f>'Workings Out'!AJ35</f>
        <v/>
      </c>
      <c r="N7" s="11" t="str">
        <f>'Workings Out'!AK35</f>
        <v/>
      </c>
      <c r="O7" s="11" t="str">
        <f>'Workings Out'!AL35</f>
        <v/>
      </c>
      <c r="P7" s="11" t="str">
        <f>'Workings Out'!AM35</f>
        <v/>
      </c>
      <c r="Q7" s="11" t="str">
        <f>'Workings Out'!AN35</f>
        <v/>
      </c>
      <c r="R7" s="11" t="str">
        <f>'Workings Out'!AO35</f>
        <v/>
      </c>
      <c r="S7" s="11" t="str">
        <f>'Workings Out'!AP35</f>
        <v/>
      </c>
      <c r="T7" s="11" t="str">
        <f>'Workings Out'!AQ35</f>
        <v/>
      </c>
      <c r="U7" s="11" t="str">
        <f>'Workings Out'!AR35</f>
        <v/>
      </c>
      <c r="V7" s="11" t="str">
        <f>'Workings Out'!AS35</f>
        <v/>
      </c>
      <c r="W7" s="11" t="str">
        <f>'Workings Out'!AT35</f>
        <v/>
      </c>
      <c r="X7" s="11" t="str">
        <f>'Workings Out'!AU35</f>
        <v/>
      </c>
      <c r="Y7" s="11" t="str">
        <f>'Workings Out'!AV35</f>
        <v/>
      </c>
      <c r="Z7" s="11" t="str">
        <f>'Workings Out'!AW35</f>
        <v/>
      </c>
      <c r="AA7" s="11" t="str">
        <f>'Workings Out'!AX35</f>
        <v/>
      </c>
      <c r="AB7" s="11" t="str">
        <f>'Workings Out'!AY35</f>
        <v/>
      </c>
      <c r="AC7" s="11" t="str">
        <f>'Workings Out'!AZ35</f>
        <v/>
      </c>
      <c r="AD7" s="11" t="str">
        <f>'Workings Out'!BA35</f>
        <v/>
      </c>
      <c r="AE7" s="11" t="str">
        <f>'Workings Out'!BB35</f>
        <v/>
      </c>
      <c r="AF7" s="11" t="str">
        <f>'Workings Out'!BC35</f>
        <v/>
      </c>
      <c r="AG7" s="11" t="str">
        <f>'Workings Out'!BD35</f>
        <v/>
      </c>
    </row>
    <row r="8" spans="1:33" x14ac:dyDescent="0.25">
      <c r="A8" s="5"/>
      <c r="B8" s="6" t="s">
        <v>7</v>
      </c>
      <c r="C8" s="6"/>
      <c r="D8" s="7"/>
      <c r="G8" s="12" t="str">
        <f t="shared" si="0"/>
        <v>E</v>
      </c>
      <c r="H8" s="11" t="str">
        <f>'Workings Out'!AE36</f>
        <v/>
      </c>
      <c r="I8" s="11" t="str">
        <f>'Workings Out'!AF36</f>
        <v/>
      </c>
      <c r="J8" s="11" t="str">
        <f>'Workings Out'!AG36</f>
        <v/>
      </c>
      <c r="K8" s="11" t="str">
        <f>'Workings Out'!AH36</f>
        <v/>
      </c>
      <c r="L8" s="11" t="str">
        <f>'Workings Out'!AI36</f>
        <v/>
      </c>
      <c r="M8" s="11" t="str">
        <f>'Workings Out'!AJ36</f>
        <v/>
      </c>
      <c r="N8" s="11" t="str">
        <f>'Workings Out'!AK36</f>
        <v/>
      </c>
      <c r="O8" s="11" t="str">
        <f>'Workings Out'!AL36</f>
        <v/>
      </c>
      <c r="P8" s="11" t="str">
        <f>'Workings Out'!AM36</f>
        <v/>
      </c>
      <c r="Q8" s="11" t="str">
        <f>'Workings Out'!AN36</f>
        <v/>
      </c>
      <c r="R8" s="11" t="str">
        <f>'Workings Out'!AO36</f>
        <v/>
      </c>
      <c r="S8" s="11" t="str">
        <f>'Workings Out'!AP36</f>
        <v/>
      </c>
      <c r="T8" s="11" t="str">
        <f>'Workings Out'!AQ36</f>
        <v/>
      </c>
      <c r="U8" s="11" t="str">
        <f>'Workings Out'!AR36</f>
        <v/>
      </c>
      <c r="V8" s="11" t="str">
        <f>'Workings Out'!AS36</f>
        <v/>
      </c>
      <c r="W8" s="11" t="str">
        <f>'Workings Out'!AT36</f>
        <v/>
      </c>
      <c r="X8" s="11" t="str">
        <f>'Workings Out'!AU36</f>
        <v/>
      </c>
      <c r="Y8" s="11" t="str">
        <f>'Workings Out'!AV36</f>
        <v/>
      </c>
      <c r="Z8" s="11" t="str">
        <f>'Workings Out'!AW36</f>
        <v/>
      </c>
      <c r="AA8" s="11" t="str">
        <f>'Workings Out'!AX36</f>
        <v/>
      </c>
      <c r="AB8" s="11" t="str">
        <f>'Workings Out'!AY36</f>
        <v/>
      </c>
      <c r="AC8" s="11" t="str">
        <f>'Workings Out'!AZ36</f>
        <v/>
      </c>
      <c r="AD8" s="11" t="str">
        <f>'Workings Out'!BA36</f>
        <v/>
      </c>
      <c r="AE8" s="11" t="str">
        <f>'Workings Out'!BB36</f>
        <v/>
      </c>
      <c r="AF8" s="11" t="str">
        <f>'Workings Out'!BC36</f>
        <v/>
      </c>
      <c r="AG8" s="11" t="str">
        <f>'Workings Out'!BD36</f>
        <v/>
      </c>
    </row>
    <row r="9" spans="1:33" x14ac:dyDescent="0.25">
      <c r="A9" s="5"/>
      <c r="B9" s="6" t="s">
        <v>8</v>
      </c>
      <c r="C9" s="4"/>
      <c r="D9" s="3"/>
      <c r="G9" s="12" t="str">
        <f t="shared" si="0"/>
        <v>F</v>
      </c>
      <c r="H9" s="11" t="str">
        <f>'Workings Out'!AE37</f>
        <v/>
      </c>
      <c r="I9" s="11" t="str">
        <f>'Workings Out'!AF37</f>
        <v/>
      </c>
      <c r="J9" s="11" t="str">
        <f>'Workings Out'!AG37</f>
        <v/>
      </c>
      <c r="K9" s="11" t="str">
        <f>'Workings Out'!AH37</f>
        <v/>
      </c>
      <c r="L9" s="11" t="str">
        <f>'Workings Out'!AI37</f>
        <v/>
      </c>
      <c r="M9" s="11" t="str">
        <f>'Workings Out'!AJ37</f>
        <v/>
      </c>
      <c r="N9" s="11" t="str">
        <f>'Workings Out'!AK37</f>
        <v/>
      </c>
      <c r="O9" s="11" t="str">
        <f>'Workings Out'!AL37</f>
        <v/>
      </c>
      <c r="P9" s="11" t="str">
        <f>'Workings Out'!AM37</f>
        <v/>
      </c>
      <c r="Q9" s="11" t="str">
        <f>'Workings Out'!AN37</f>
        <v/>
      </c>
      <c r="R9" s="11" t="str">
        <f>'Workings Out'!AO37</f>
        <v/>
      </c>
      <c r="S9" s="11" t="str">
        <f>'Workings Out'!AP37</f>
        <v/>
      </c>
      <c r="T9" s="11" t="str">
        <f>'Workings Out'!AQ37</f>
        <v/>
      </c>
      <c r="U9" s="11" t="str">
        <f>'Workings Out'!AR37</f>
        <v/>
      </c>
      <c r="V9" s="11" t="str">
        <f>'Workings Out'!AS37</f>
        <v/>
      </c>
      <c r="W9" s="11" t="str">
        <f>'Workings Out'!AT37</f>
        <v/>
      </c>
      <c r="X9" s="11" t="str">
        <f>'Workings Out'!AU37</f>
        <v/>
      </c>
      <c r="Y9" s="11" t="str">
        <f>'Workings Out'!AV37</f>
        <v/>
      </c>
      <c r="Z9" s="11" t="str">
        <f>'Workings Out'!AW37</f>
        <v/>
      </c>
      <c r="AA9" s="11" t="str">
        <f>'Workings Out'!AX37</f>
        <v/>
      </c>
      <c r="AB9" s="11" t="str">
        <f>'Workings Out'!AY37</f>
        <v/>
      </c>
      <c r="AC9" s="11" t="str">
        <f>'Workings Out'!AZ37</f>
        <v/>
      </c>
      <c r="AD9" s="11" t="str">
        <f>'Workings Out'!BA37</f>
        <v/>
      </c>
      <c r="AE9" s="11" t="str">
        <f>'Workings Out'!BB37</f>
        <v/>
      </c>
      <c r="AF9" s="11" t="str">
        <f>'Workings Out'!BC37</f>
        <v/>
      </c>
      <c r="AG9" s="11" t="str">
        <f>'Workings Out'!BD37</f>
        <v/>
      </c>
    </row>
    <row r="10" spans="1:33" x14ac:dyDescent="0.25">
      <c r="A10" s="5"/>
      <c r="B10" s="6" t="s">
        <v>9</v>
      </c>
      <c r="C10" s="6"/>
      <c r="D10" s="7"/>
      <c r="G10" s="12" t="str">
        <f t="shared" si="0"/>
        <v>G</v>
      </c>
      <c r="H10" s="11" t="str">
        <f>'Workings Out'!AE38</f>
        <v/>
      </c>
      <c r="I10" s="11" t="str">
        <f>'Workings Out'!AF38</f>
        <v/>
      </c>
      <c r="J10" s="11" t="str">
        <f>'Workings Out'!AG38</f>
        <v/>
      </c>
      <c r="K10" s="11" t="str">
        <f>'Workings Out'!AH38</f>
        <v/>
      </c>
      <c r="L10" s="11" t="str">
        <f>'Workings Out'!AI38</f>
        <v/>
      </c>
      <c r="M10" s="11" t="str">
        <f>'Workings Out'!AJ38</f>
        <v/>
      </c>
      <c r="N10" s="11" t="str">
        <f>'Workings Out'!AK38</f>
        <v/>
      </c>
      <c r="O10" s="11" t="str">
        <f>'Workings Out'!AL38</f>
        <v/>
      </c>
      <c r="P10" s="11" t="str">
        <f>'Workings Out'!AM38</f>
        <v/>
      </c>
      <c r="Q10" s="11" t="str">
        <f>'Workings Out'!AN38</f>
        <v/>
      </c>
      <c r="R10" s="11" t="str">
        <f>'Workings Out'!AO38</f>
        <v/>
      </c>
      <c r="S10" s="11" t="str">
        <f>'Workings Out'!AP38</f>
        <v/>
      </c>
      <c r="T10" s="11" t="str">
        <f>'Workings Out'!AQ38</f>
        <v/>
      </c>
      <c r="U10" s="11" t="str">
        <f>'Workings Out'!AR38</f>
        <v/>
      </c>
      <c r="V10" s="11" t="str">
        <f>'Workings Out'!AS38</f>
        <v/>
      </c>
      <c r="W10" s="11" t="str">
        <f>'Workings Out'!AT38</f>
        <v/>
      </c>
      <c r="X10" s="11" t="str">
        <f>'Workings Out'!AU38</f>
        <v/>
      </c>
      <c r="Y10" s="11" t="str">
        <f>'Workings Out'!AV38</f>
        <v/>
      </c>
      <c r="Z10" s="11" t="str">
        <f>'Workings Out'!AW38</f>
        <v/>
      </c>
      <c r="AA10" s="11" t="str">
        <f>'Workings Out'!AX38</f>
        <v/>
      </c>
      <c r="AB10" s="11" t="str">
        <f>'Workings Out'!AY38</f>
        <v/>
      </c>
      <c r="AC10" s="11" t="str">
        <f>'Workings Out'!AZ38</f>
        <v/>
      </c>
      <c r="AD10" s="11" t="str">
        <f>'Workings Out'!BA38</f>
        <v/>
      </c>
      <c r="AE10" s="11" t="str">
        <f>'Workings Out'!BB38</f>
        <v/>
      </c>
      <c r="AF10" s="11" t="str">
        <f>'Workings Out'!BC38</f>
        <v/>
      </c>
      <c r="AG10" s="11" t="str">
        <f>'Workings Out'!BD38</f>
        <v/>
      </c>
    </row>
    <row r="11" spans="1:33" x14ac:dyDescent="0.25">
      <c r="A11" s="5"/>
      <c r="B11" s="6" t="s">
        <v>10</v>
      </c>
      <c r="C11" s="6"/>
      <c r="D11" s="7"/>
      <c r="G11" s="12" t="str">
        <f t="shared" ref="G11:G29" si="1">IF(ISBLANK(A11),B11,A11)</f>
        <v>H</v>
      </c>
      <c r="H11" s="11" t="str">
        <f>'Workings Out'!AE39</f>
        <v/>
      </c>
      <c r="I11" s="11" t="str">
        <f>'Workings Out'!AF39</f>
        <v/>
      </c>
      <c r="J11" s="11" t="str">
        <f>'Workings Out'!AG39</f>
        <v/>
      </c>
      <c r="K11" s="11" t="str">
        <f>'Workings Out'!AH39</f>
        <v/>
      </c>
      <c r="L11" s="11" t="str">
        <f>'Workings Out'!AI39</f>
        <v/>
      </c>
      <c r="M11" s="11" t="str">
        <f>'Workings Out'!AJ39</f>
        <v/>
      </c>
      <c r="N11" s="11" t="str">
        <f>'Workings Out'!AK39</f>
        <v/>
      </c>
      <c r="O11" s="11" t="str">
        <f>'Workings Out'!AL39</f>
        <v/>
      </c>
      <c r="P11" s="11" t="str">
        <f>'Workings Out'!AM39</f>
        <v/>
      </c>
      <c r="Q11" s="11" t="str">
        <f>'Workings Out'!AN39</f>
        <v/>
      </c>
      <c r="R11" s="11" t="str">
        <f>'Workings Out'!AO39</f>
        <v/>
      </c>
      <c r="S11" s="11" t="str">
        <f>'Workings Out'!AP39</f>
        <v/>
      </c>
      <c r="T11" s="11" t="str">
        <f>'Workings Out'!AQ39</f>
        <v/>
      </c>
      <c r="U11" s="11" t="str">
        <f>'Workings Out'!AR39</f>
        <v/>
      </c>
      <c r="V11" s="11" t="str">
        <f>'Workings Out'!AS39</f>
        <v/>
      </c>
      <c r="W11" s="11" t="str">
        <f>'Workings Out'!AT39</f>
        <v/>
      </c>
      <c r="X11" s="11" t="str">
        <f>'Workings Out'!AU39</f>
        <v/>
      </c>
      <c r="Y11" s="11" t="str">
        <f>'Workings Out'!AV39</f>
        <v/>
      </c>
      <c r="Z11" s="11" t="str">
        <f>'Workings Out'!AW39</f>
        <v/>
      </c>
      <c r="AA11" s="11" t="str">
        <f>'Workings Out'!AX39</f>
        <v/>
      </c>
      <c r="AB11" s="11" t="str">
        <f>'Workings Out'!AY39</f>
        <v/>
      </c>
      <c r="AC11" s="11" t="str">
        <f>'Workings Out'!AZ39</f>
        <v/>
      </c>
      <c r="AD11" s="11" t="str">
        <f>'Workings Out'!BA39</f>
        <v/>
      </c>
      <c r="AE11" s="11" t="str">
        <f>'Workings Out'!BB39</f>
        <v/>
      </c>
      <c r="AF11" s="11" t="str">
        <f>'Workings Out'!BC39</f>
        <v/>
      </c>
      <c r="AG11" s="11" t="str">
        <f>'Workings Out'!BD39</f>
        <v/>
      </c>
    </row>
    <row r="12" spans="1:33" x14ac:dyDescent="0.25">
      <c r="A12" s="5"/>
      <c r="B12" s="6" t="s">
        <v>11</v>
      </c>
      <c r="C12" s="6"/>
      <c r="D12" s="7"/>
      <c r="G12" s="12" t="str">
        <f t="shared" si="1"/>
        <v>I</v>
      </c>
      <c r="H12" s="11" t="str">
        <f>'Workings Out'!AE40</f>
        <v/>
      </c>
      <c r="I12" s="11" t="str">
        <f>'Workings Out'!AF40</f>
        <v/>
      </c>
      <c r="J12" s="11" t="str">
        <f>'Workings Out'!AG40</f>
        <v/>
      </c>
      <c r="K12" s="11" t="str">
        <f>'Workings Out'!AH40</f>
        <v/>
      </c>
      <c r="L12" s="11" t="str">
        <f>'Workings Out'!AI40</f>
        <v/>
      </c>
      <c r="M12" s="11" t="str">
        <f>'Workings Out'!AJ40</f>
        <v/>
      </c>
      <c r="N12" s="11" t="str">
        <f>'Workings Out'!AK40</f>
        <v/>
      </c>
      <c r="O12" s="11" t="str">
        <f>'Workings Out'!AL40</f>
        <v/>
      </c>
      <c r="P12" s="11" t="str">
        <f>'Workings Out'!AM40</f>
        <v/>
      </c>
      <c r="Q12" s="11" t="str">
        <f>'Workings Out'!AN40</f>
        <v/>
      </c>
      <c r="R12" s="11" t="str">
        <f>'Workings Out'!AO40</f>
        <v/>
      </c>
      <c r="S12" s="11" t="str">
        <f>'Workings Out'!AP40</f>
        <v/>
      </c>
      <c r="T12" s="11" t="str">
        <f>'Workings Out'!AQ40</f>
        <v/>
      </c>
      <c r="U12" s="11" t="str">
        <f>'Workings Out'!AR40</f>
        <v/>
      </c>
      <c r="V12" s="11" t="str">
        <f>'Workings Out'!AS40</f>
        <v/>
      </c>
      <c r="W12" s="11" t="str">
        <f>'Workings Out'!AT40</f>
        <v/>
      </c>
      <c r="X12" s="11" t="str">
        <f>'Workings Out'!AU40</f>
        <v/>
      </c>
      <c r="Y12" s="11" t="str">
        <f>'Workings Out'!AV40</f>
        <v/>
      </c>
      <c r="Z12" s="11" t="str">
        <f>'Workings Out'!AW40</f>
        <v/>
      </c>
      <c r="AA12" s="11" t="str">
        <f>'Workings Out'!AX40</f>
        <v/>
      </c>
      <c r="AB12" s="11" t="str">
        <f>'Workings Out'!AY40</f>
        <v/>
      </c>
      <c r="AC12" s="11" t="str">
        <f>'Workings Out'!AZ40</f>
        <v/>
      </c>
      <c r="AD12" s="11" t="str">
        <f>'Workings Out'!BA40</f>
        <v/>
      </c>
      <c r="AE12" s="11" t="str">
        <f>'Workings Out'!BB40</f>
        <v/>
      </c>
      <c r="AF12" s="11" t="str">
        <f>'Workings Out'!BC40</f>
        <v/>
      </c>
      <c r="AG12" s="11" t="str">
        <f>'Workings Out'!BD40</f>
        <v/>
      </c>
    </row>
    <row r="13" spans="1:33" x14ac:dyDescent="0.25">
      <c r="A13" s="5"/>
      <c r="B13" s="6" t="s">
        <v>12</v>
      </c>
      <c r="C13" s="6"/>
      <c r="D13" s="7"/>
      <c r="G13" s="12" t="str">
        <f t="shared" si="1"/>
        <v>J</v>
      </c>
      <c r="H13" s="11" t="str">
        <f>'Workings Out'!AE41</f>
        <v/>
      </c>
      <c r="I13" s="11" t="str">
        <f>'Workings Out'!AF41</f>
        <v/>
      </c>
      <c r="J13" s="11" t="str">
        <f>'Workings Out'!AG41</f>
        <v/>
      </c>
      <c r="K13" s="11" t="str">
        <f>'Workings Out'!AH41</f>
        <v/>
      </c>
      <c r="L13" s="11" t="str">
        <f>'Workings Out'!AI41</f>
        <v/>
      </c>
      <c r="M13" s="11" t="str">
        <f>'Workings Out'!AJ41</f>
        <v/>
      </c>
      <c r="N13" s="11" t="str">
        <f>'Workings Out'!AK41</f>
        <v/>
      </c>
      <c r="O13" s="11" t="str">
        <f>'Workings Out'!AL41</f>
        <v/>
      </c>
      <c r="P13" s="11" t="str">
        <f>'Workings Out'!AM41</f>
        <v/>
      </c>
      <c r="Q13" s="11" t="str">
        <f>'Workings Out'!AN41</f>
        <v/>
      </c>
      <c r="R13" s="11" t="str">
        <f>'Workings Out'!AO41</f>
        <v/>
      </c>
      <c r="S13" s="11" t="str">
        <f>'Workings Out'!AP41</f>
        <v/>
      </c>
      <c r="T13" s="11" t="str">
        <f>'Workings Out'!AQ41</f>
        <v/>
      </c>
      <c r="U13" s="11" t="str">
        <f>'Workings Out'!AR41</f>
        <v/>
      </c>
      <c r="V13" s="11" t="str">
        <f>'Workings Out'!AS41</f>
        <v/>
      </c>
      <c r="W13" s="11" t="str">
        <f>'Workings Out'!AT41</f>
        <v/>
      </c>
      <c r="X13" s="11" t="str">
        <f>'Workings Out'!AU41</f>
        <v/>
      </c>
      <c r="Y13" s="11" t="str">
        <f>'Workings Out'!AV41</f>
        <v/>
      </c>
      <c r="Z13" s="11" t="str">
        <f>'Workings Out'!AW41</f>
        <v/>
      </c>
      <c r="AA13" s="11" t="str">
        <f>'Workings Out'!AX41</f>
        <v/>
      </c>
      <c r="AB13" s="11" t="str">
        <f>'Workings Out'!AY41</f>
        <v/>
      </c>
      <c r="AC13" s="11" t="str">
        <f>'Workings Out'!AZ41</f>
        <v/>
      </c>
      <c r="AD13" s="11" t="str">
        <f>'Workings Out'!BA41</f>
        <v/>
      </c>
      <c r="AE13" s="11" t="str">
        <f>'Workings Out'!BB41</f>
        <v/>
      </c>
      <c r="AF13" s="11" t="str">
        <f>'Workings Out'!BC41</f>
        <v/>
      </c>
      <c r="AG13" s="11" t="str">
        <f>'Workings Out'!BD41</f>
        <v/>
      </c>
    </row>
    <row r="14" spans="1:33" x14ac:dyDescent="0.25">
      <c r="A14" s="5"/>
      <c r="B14" s="6" t="s">
        <v>13</v>
      </c>
      <c r="C14" s="6"/>
      <c r="D14" s="7"/>
      <c r="G14" s="12" t="str">
        <f t="shared" si="1"/>
        <v>K</v>
      </c>
      <c r="H14" s="11" t="str">
        <f>'Workings Out'!AE42</f>
        <v/>
      </c>
      <c r="I14" s="11" t="str">
        <f>'Workings Out'!AF42</f>
        <v/>
      </c>
      <c r="J14" s="11" t="str">
        <f>'Workings Out'!AG42</f>
        <v/>
      </c>
      <c r="K14" s="11" t="str">
        <f>'Workings Out'!AH42</f>
        <v/>
      </c>
      <c r="L14" s="11" t="str">
        <f>'Workings Out'!AI42</f>
        <v/>
      </c>
      <c r="M14" s="11" t="str">
        <f>'Workings Out'!AJ42</f>
        <v/>
      </c>
      <c r="N14" s="11" t="str">
        <f>'Workings Out'!AK42</f>
        <v/>
      </c>
      <c r="O14" s="11" t="str">
        <f>'Workings Out'!AL42</f>
        <v/>
      </c>
      <c r="P14" s="11" t="str">
        <f>'Workings Out'!AM42</f>
        <v/>
      </c>
      <c r="Q14" s="11" t="str">
        <f>'Workings Out'!AN42</f>
        <v/>
      </c>
      <c r="R14" s="11" t="str">
        <f>'Workings Out'!AO42</f>
        <v/>
      </c>
      <c r="S14" s="11" t="str">
        <f>'Workings Out'!AP42</f>
        <v/>
      </c>
      <c r="T14" s="11" t="str">
        <f>'Workings Out'!AQ42</f>
        <v/>
      </c>
      <c r="U14" s="11" t="str">
        <f>'Workings Out'!AR42</f>
        <v/>
      </c>
      <c r="V14" s="11" t="str">
        <f>'Workings Out'!AS42</f>
        <v/>
      </c>
      <c r="W14" s="11" t="str">
        <f>'Workings Out'!AT42</f>
        <v/>
      </c>
      <c r="X14" s="11" t="str">
        <f>'Workings Out'!AU42</f>
        <v/>
      </c>
      <c r="Y14" s="11" t="str">
        <f>'Workings Out'!AV42</f>
        <v/>
      </c>
      <c r="Z14" s="11" t="str">
        <f>'Workings Out'!AW42</f>
        <v/>
      </c>
      <c r="AA14" s="11" t="str">
        <f>'Workings Out'!AX42</f>
        <v/>
      </c>
      <c r="AB14" s="11" t="str">
        <f>'Workings Out'!AY42</f>
        <v/>
      </c>
      <c r="AC14" s="11" t="str">
        <f>'Workings Out'!AZ42</f>
        <v/>
      </c>
      <c r="AD14" s="11" t="str">
        <f>'Workings Out'!BA42</f>
        <v/>
      </c>
      <c r="AE14" s="11" t="str">
        <f>'Workings Out'!BB42</f>
        <v/>
      </c>
      <c r="AF14" s="11" t="str">
        <f>'Workings Out'!BC42</f>
        <v/>
      </c>
      <c r="AG14" s="11" t="str">
        <f>'Workings Out'!BD42</f>
        <v/>
      </c>
    </row>
    <row r="15" spans="1:33" x14ac:dyDescent="0.25">
      <c r="A15" s="5"/>
      <c r="B15" s="6" t="s">
        <v>14</v>
      </c>
      <c r="C15" s="6"/>
      <c r="D15" s="7"/>
      <c r="G15" s="12" t="str">
        <f t="shared" si="1"/>
        <v>L</v>
      </c>
      <c r="H15" s="11" t="str">
        <f>'Workings Out'!AE43</f>
        <v/>
      </c>
      <c r="I15" s="11" t="str">
        <f>'Workings Out'!AF43</f>
        <v/>
      </c>
      <c r="J15" s="11" t="str">
        <f>'Workings Out'!AG43</f>
        <v/>
      </c>
      <c r="K15" s="11" t="str">
        <f>'Workings Out'!AH43</f>
        <v/>
      </c>
      <c r="L15" s="11" t="str">
        <f>'Workings Out'!AI43</f>
        <v/>
      </c>
      <c r="M15" s="11" t="str">
        <f>'Workings Out'!AJ43</f>
        <v/>
      </c>
      <c r="N15" s="11" t="str">
        <f>'Workings Out'!AK43</f>
        <v/>
      </c>
      <c r="O15" s="11" t="str">
        <f>'Workings Out'!AL43</f>
        <v/>
      </c>
      <c r="P15" s="11" t="str">
        <f>'Workings Out'!AM43</f>
        <v/>
      </c>
      <c r="Q15" s="11" t="str">
        <f>'Workings Out'!AN43</f>
        <v/>
      </c>
      <c r="R15" s="11" t="str">
        <f>'Workings Out'!AO43</f>
        <v/>
      </c>
      <c r="S15" s="11" t="str">
        <f>'Workings Out'!AP43</f>
        <v/>
      </c>
      <c r="T15" s="11" t="str">
        <f>'Workings Out'!AQ43</f>
        <v/>
      </c>
      <c r="U15" s="11" t="str">
        <f>'Workings Out'!AR43</f>
        <v/>
      </c>
      <c r="V15" s="11" t="str">
        <f>'Workings Out'!AS43</f>
        <v/>
      </c>
      <c r="W15" s="11" t="str">
        <f>'Workings Out'!AT43</f>
        <v/>
      </c>
      <c r="X15" s="11" t="str">
        <f>'Workings Out'!AU43</f>
        <v/>
      </c>
      <c r="Y15" s="11" t="str">
        <f>'Workings Out'!AV43</f>
        <v/>
      </c>
      <c r="Z15" s="11" t="str">
        <f>'Workings Out'!AW43</f>
        <v/>
      </c>
      <c r="AA15" s="11" t="str">
        <f>'Workings Out'!AX43</f>
        <v/>
      </c>
      <c r="AB15" s="11" t="str">
        <f>'Workings Out'!AY43</f>
        <v/>
      </c>
      <c r="AC15" s="11" t="str">
        <f>'Workings Out'!AZ43</f>
        <v/>
      </c>
      <c r="AD15" s="11" t="str">
        <f>'Workings Out'!BA43</f>
        <v/>
      </c>
      <c r="AE15" s="11" t="str">
        <f>'Workings Out'!BB43</f>
        <v/>
      </c>
      <c r="AF15" s="11" t="str">
        <f>'Workings Out'!BC43</f>
        <v/>
      </c>
      <c r="AG15" s="11" t="str">
        <f>'Workings Out'!BD43</f>
        <v/>
      </c>
    </row>
    <row r="16" spans="1:33" x14ac:dyDescent="0.25">
      <c r="A16" s="5"/>
      <c r="B16" s="6" t="s">
        <v>15</v>
      </c>
      <c r="C16" s="6"/>
      <c r="D16" s="7"/>
      <c r="G16" s="12" t="str">
        <f t="shared" si="1"/>
        <v>M</v>
      </c>
      <c r="H16" s="11" t="str">
        <f>'Workings Out'!AE44</f>
        <v/>
      </c>
      <c r="I16" s="11" t="str">
        <f>'Workings Out'!AF44</f>
        <v/>
      </c>
      <c r="J16" s="11" t="str">
        <f>'Workings Out'!AG44</f>
        <v/>
      </c>
      <c r="K16" s="11" t="str">
        <f>'Workings Out'!AH44</f>
        <v/>
      </c>
      <c r="L16" s="11" t="str">
        <f>'Workings Out'!AI44</f>
        <v/>
      </c>
      <c r="M16" s="11" t="str">
        <f>'Workings Out'!AJ44</f>
        <v/>
      </c>
      <c r="N16" s="11" t="str">
        <f>'Workings Out'!AK44</f>
        <v/>
      </c>
      <c r="O16" s="11" t="str">
        <f>'Workings Out'!AL44</f>
        <v/>
      </c>
      <c r="P16" s="11" t="str">
        <f>'Workings Out'!AM44</f>
        <v/>
      </c>
      <c r="Q16" s="11" t="str">
        <f>'Workings Out'!AN44</f>
        <v/>
      </c>
      <c r="R16" s="11" t="str">
        <f>'Workings Out'!AO44</f>
        <v/>
      </c>
      <c r="S16" s="11" t="str">
        <f>'Workings Out'!AP44</f>
        <v/>
      </c>
      <c r="T16" s="11" t="str">
        <f>'Workings Out'!AQ44</f>
        <v/>
      </c>
      <c r="U16" s="11" t="str">
        <f>'Workings Out'!AR44</f>
        <v/>
      </c>
      <c r="V16" s="11" t="str">
        <f>'Workings Out'!AS44</f>
        <v/>
      </c>
      <c r="W16" s="11" t="str">
        <f>'Workings Out'!AT44</f>
        <v/>
      </c>
      <c r="X16" s="11" t="str">
        <f>'Workings Out'!AU44</f>
        <v/>
      </c>
      <c r="Y16" s="11" t="str">
        <f>'Workings Out'!AV44</f>
        <v/>
      </c>
      <c r="Z16" s="11" t="str">
        <f>'Workings Out'!AW44</f>
        <v/>
      </c>
      <c r="AA16" s="11" t="str">
        <f>'Workings Out'!AX44</f>
        <v/>
      </c>
      <c r="AB16" s="11" t="str">
        <f>'Workings Out'!AY44</f>
        <v/>
      </c>
      <c r="AC16" s="11" t="str">
        <f>'Workings Out'!AZ44</f>
        <v/>
      </c>
      <c r="AD16" s="11" t="str">
        <f>'Workings Out'!BA44</f>
        <v/>
      </c>
      <c r="AE16" s="11" t="str">
        <f>'Workings Out'!BB44</f>
        <v/>
      </c>
      <c r="AF16" s="11" t="str">
        <f>'Workings Out'!BC44</f>
        <v/>
      </c>
      <c r="AG16" s="11" t="str">
        <f>'Workings Out'!BD44</f>
        <v/>
      </c>
    </row>
    <row r="17" spans="1:33" x14ac:dyDescent="0.25">
      <c r="A17" s="5"/>
      <c r="B17" s="6" t="s">
        <v>16</v>
      </c>
      <c r="C17" s="6"/>
      <c r="D17" s="7"/>
      <c r="G17" s="12" t="str">
        <f t="shared" si="1"/>
        <v>N</v>
      </c>
      <c r="H17" s="11" t="str">
        <f>'Workings Out'!AE45</f>
        <v/>
      </c>
      <c r="I17" s="11" t="str">
        <f>'Workings Out'!AF45</f>
        <v/>
      </c>
      <c r="J17" s="11" t="str">
        <f>'Workings Out'!AG45</f>
        <v/>
      </c>
      <c r="K17" s="11" t="str">
        <f>'Workings Out'!AH45</f>
        <v/>
      </c>
      <c r="L17" s="11" t="str">
        <f>'Workings Out'!AI45</f>
        <v/>
      </c>
      <c r="M17" s="11" t="str">
        <f>'Workings Out'!AJ45</f>
        <v/>
      </c>
      <c r="N17" s="11" t="str">
        <f>'Workings Out'!AK45</f>
        <v/>
      </c>
      <c r="O17" s="11" t="str">
        <f>'Workings Out'!AL45</f>
        <v/>
      </c>
      <c r="P17" s="11" t="str">
        <f>'Workings Out'!AM45</f>
        <v/>
      </c>
      <c r="Q17" s="11" t="str">
        <f>'Workings Out'!AN45</f>
        <v/>
      </c>
      <c r="R17" s="11" t="str">
        <f>'Workings Out'!AO45</f>
        <v/>
      </c>
      <c r="S17" s="11" t="str">
        <f>'Workings Out'!AP45</f>
        <v/>
      </c>
      <c r="T17" s="11" t="str">
        <f>'Workings Out'!AQ45</f>
        <v/>
      </c>
      <c r="U17" s="11" t="str">
        <f>'Workings Out'!AR45</f>
        <v/>
      </c>
      <c r="V17" s="11" t="str">
        <f>'Workings Out'!AS45</f>
        <v/>
      </c>
      <c r="W17" s="11" t="str">
        <f>'Workings Out'!AT45</f>
        <v/>
      </c>
      <c r="X17" s="11" t="str">
        <f>'Workings Out'!AU45</f>
        <v/>
      </c>
      <c r="Y17" s="11" t="str">
        <f>'Workings Out'!AV45</f>
        <v/>
      </c>
      <c r="Z17" s="11" t="str">
        <f>'Workings Out'!AW45</f>
        <v/>
      </c>
      <c r="AA17" s="11" t="str">
        <f>'Workings Out'!AX45</f>
        <v/>
      </c>
      <c r="AB17" s="11" t="str">
        <f>'Workings Out'!AY45</f>
        <v/>
      </c>
      <c r="AC17" s="11" t="str">
        <f>'Workings Out'!AZ45</f>
        <v/>
      </c>
      <c r="AD17" s="11" t="str">
        <f>'Workings Out'!BA45</f>
        <v/>
      </c>
      <c r="AE17" s="11" t="str">
        <f>'Workings Out'!BB45</f>
        <v/>
      </c>
      <c r="AF17" s="11" t="str">
        <f>'Workings Out'!BC45</f>
        <v/>
      </c>
      <c r="AG17" s="11" t="str">
        <f>'Workings Out'!BD45</f>
        <v/>
      </c>
    </row>
    <row r="18" spans="1:33" x14ac:dyDescent="0.25">
      <c r="A18" s="5"/>
      <c r="B18" s="6" t="s">
        <v>18</v>
      </c>
      <c r="C18" s="6"/>
      <c r="D18" s="7"/>
      <c r="G18" s="12" t="str">
        <f t="shared" si="1"/>
        <v>O</v>
      </c>
      <c r="H18" s="11" t="str">
        <f>'Workings Out'!AE46</f>
        <v/>
      </c>
      <c r="I18" s="11" t="str">
        <f>'Workings Out'!AF46</f>
        <v/>
      </c>
      <c r="J18" s="11" t="str">
        <f>'Workings Out'!AG46</f>
        <v/>
      </c>
      <c r="K18" s="11" t="str">
        <f>'Workings Out'!AH46</f>
        <v/>
      </c>
      <c r="L18" s="11" t="str">
        <f>'Workings Out'!AI46</f>
        <v/>
      </c>
      <c r="M18" s="11" t="str">
        <f>'Workings Out'!AJ46</f>
        <v/>
      </c>
      <c r="N18" s="11" t="str">
        <f>'Workings Out'!AK46</f>
        <v/>
      </c>
      <c r="O18" s="11" t="str">
        <f>'Workings Out'!AL46</f>
        <v/>
      </c>
      <c r="P18" s="11" t="str">
        <f>'Workings Out'!AM46</f>
        <v/>
      </c>
      <c r="Q18" s="11" t="str">
        <f>'Workings Out'!AN46</f>
        <v/>
      </c>
      <c r="R18" s="11" t="str">
        <f>'Workings Out'!AO46</f>
        <v/>
      </c>
      <c r="S18" s="11" t="str">
        <f>'Workings Out'!AP46</f>
        <v/>
      </c>
      <c r="T18" s="11" t="str">
        <f>'Workings Out'!AQ46</f>
        <v/>
      </c>
      <c r="U18" s="11" t="str">
        <f>'Workings Out'!AR46</f>
        <v/>
      </c>
      <c r="V18" s="11" t="str">
        <f>'Workings Out'!AS46</f>
        <v/>
      </c>
      <c r="W18" s="11" t="str">
        <f>'Workings Out'!AT46</f>
        <v/>
      </c>
      <c r="X18" s="11" t="str">
        <f>'Workings Out'!AU46</f>
        <v/>
      </c>
      <c r="Y18" s="11" t="str">
        <f>'Workings Out'!AV46</f>
        <v/>
      </c>
      <c r="Z18" s="11" t="str">
        <f>'Workings Out'!AW46</f>
        <v/>
      </c>
      <c r="AA18" s="11" t="str">
        <f>'Workings Out'!AX46</f>
        <v/>
      </c>
      <c r="AB18" s="11" t="str">
        <f>'Workings Out'!AY46</f>
        <v/>
      </c>
      <c r="AC18" s="11" t="str">
        <f>'Workings Out'!AZ46</f>
        <v/>
      </c>
      <c r="AD18" s="11" t="str">
        <f>'Workings Out'!BA46</f>
        <v/>
      </c>
      <c r="AE18" s="11" t="str">
        <f>'Workings Out'!BB46</f>
        <v/>
      </c>
      <c r="AF18" s="11" t="str">
        <f>'Workings Out'!BC46</f>
        <v/>
      </c>
      <c r="AG18" s="11" t="str">
        <f>'Workings Out'!BD46</f>
        <v/>
      </c>
    </row>
    <row r="19" spans="1:33" x14ac:dyDescent="0.25">
      <c r="A19" s="5"/>
      <c r="B19" s="6" t="s">
        <v>17</v>
      </c>
      <c r="C19" s="6"/>
      <c r="D19" s="7"/>
      <c r="G19" s="12" t="str">
        <f t="shared" si="1"/>
        <v>P</v>
      </c>
      <c r="H19" s="11" t="str">
        <f>'Workings Out'!AE47</f>
        <v/>
      </c>
      <c r="I19" s="11" t="str">
        <f>'Workings Out'!AF47</f>
        <v/>
      </c>
      <c r="J19" s="11" t="str">
        <f>'Workings Out'!AG47</f>
        <v/>
      </c>
      <c r="K19" s="11" t="str">
        <f>'Workings Out'!AH47</f>
        <v/>
      </c>
      <c r="L19" s="11" t="str">
        <f>'Workings Out'!AI47</f>
        <v/>
      </c>
      <c r="M19" s="11" t="str">
        <f>'Workings Out'!AJ47</f>
        <v/>
      </c>
      <c r="N19" s="11" t="str">
        <f>'Workings Out'!AK47</f>
        <v/>
      </c>
      <c r="O19" s="11" t="str">
        <f>'Workings Out'!AL47</f>
        <v/>
      </c>
      <c r="P19" s="11" t="str">
        <f>'Workings Out'!AM47</f>
        <v/>
      </c>
      <c r="Q19" s="11" t="str">
        <f>'Workings Out'!AN47</f>
        <v/>
      </c>
      <c r="R19" s="11" t="str">
        <f>'Workings Out'!AO47</f>
        <v/>
      </c>
      <c r="S19" s="11" t="str">
        <f>'Workings Out'!AP47</f>
        <v/>
      </c>
      <c r="T19" s="11" t="str">
        <f>'Workings Out'!AQ47</f>
        <v/>
      </c>
      <c r="U19" s="11" t="str">
        <f>'Workings Out'!AR47</f>
        <v/>
      </c>
      <c r="V19" s="11" t="str">
        <f>'Workings Out'!AS47</f>
        <v/>
      </c>
      <c r="W19" s="11" t="str">
        <f>'Workings Out'!AT47</f>
        <v/>
      </c>
      <c r="X19" s="11" t="str">
        <f>'Workings Out'!AU47</f>
        <v/>
      </c>
      <c r="Y19" s="11" t="str">
        <f>'Workings Out'!AV47</f>
        <v/>
      </c>
      <c r="Z19" s="11" t="str">
        <f>'Workings Out'!AW47</f>
        <v/>
      </c>
      <c r="AA19" s="11" t="str">
        <f>'Workings Out'!AX47</f>
        <v/>
      </c>
      <c r="AB19" s="11" t="str">
        <f>'Workings Out'!AY47</f>
        <v/>
      </c>
      <c r="AC19" s="11" t="str">
        <f>'Workings Out'!AZ47</f>
        <v/>
      </c>
      <c r="AD19" s="11" t="str">
        <f>'Workings Out'!BA47</f>
        <v/>
      </c>
      <c r="AE19" s="11" t="str">
        <f>'Workings Out'!BB47</f>
        <v/>
      </c>
      <c r="AF19" s="11" t="str">
        <f>'Workings Out'!BC47</f>
        <v/>
      </c>
      <c r="AG19" s="11" t="str">
        <f>'Workings Out'!BD47</f>
        <v/>
      </c>
    </row>
    <row r="20" spans="1:33" x14ac:dyDescent="0.25">
      <c r="A20" s="5"/>
      <c r="B20" s="6" t="s">
        <v>19</v>
      </c>
      <c r="C20" s="6"/>
      <c r="D20" s="7"/>
      <c r="G20" s="12" t="str">
        <f t="shared" si="1"/>
        <v>Q</v>
      </c>
      <c r="H20" s="11" t="str">
        <f>'Workings Out'!AE48</f>
        <v/>
      </c>
      <c r="I20" s="11" t="str">
        <f>'Workings Out'!AF48</f>
        <v/>
      </c>
      <c r="J20" s="11" t="str">
        <f>'Workings Out'!AG48</f>
        <v/>
      </c>
      <c r="K20" s="11" t="str">
        <f>'Workings Out'!AH48</f>
        <v/>
      </c>
      <c r="L20" s="11" t="str">
        <f>'Workings Out'!AI48</f>
        <v/>
      </c>
      <c r="M20" s="11" t="str">
        <f>'Workings Out'!AJ48</f>
        <v/>
      </c>
      <c r="N20" s="11" t="str">
        <f>'Workings Out'!AK48</f>
        <v/>
      </c>
      <c r="O20" s="11" t="str">
        <f>'Workings Out'!AL48</f>
        <v/>
      </c>
      <c r="P20" s="11" t="str">
        <f>'Workings Out'!AM48</f>
        <v/>
      </c>
      <c r="Q20" s="11" t="str">
        <f>'Workings Out'!AN48</f>
        <v/>
      </c>
      <c r="R20" s="11" t="str">
        <f>'Workings Out'!AO48</f>
        <v/>
      </c>
      <c r="S20" s="11" t="str">
        <f>'Workings Out'!AP48</f>
        <v/>
      </c>
      <c r="T20" s="11" t="str">
        <f>'Workings Out'!AQ48</f>
        <v/>
      </c>
      <c r="U20" s="11" t="str">
        <f>'Workings Out'!AR48</f>
        <v/>
      </c>
      <c r="V20" s="11" t="str">
        <f>'Workings Out'!AS48</f>
        <v/>
      </c>
      <c r="W20" s="11" t="str">
        <f>'Workings Out'!AT48</f>
        <v/>
      </c>
      <c r="X20" s="11" t="str">
        <f>'Workings Out'!AU48</f>
        <v/>
      </c>
      <c r="Y20" s="11" t="str">
        <f>'Workings Out'!AV48</f>
        <v/>
      </c>
      <c r="Z20" s="11" t="str">
        <f>'Workings Out'!AW48</f>
        <v/>
      </c>
      <c r="AA20" s="11" t="str">
        <f>'Workings Out'!AX48</f>
        <v/>
      </c>
      <c r="AB20" s="11" t="str">
        <f>'Workings Out'!AY48</f>
        <v/>
      </c>
      <c r="AC20" s="11" t="str">
        <f>'Workings Out'!AZ48</f>
        <v/>
      </c>
      <c r="AD20" s="11" t="str">
        <f>'Workings Out'!BA48</f>
        <v/>
      </c>
      <c r="AE20" s="11" t="str">
        <f>'Workings Out'!BB48</f>
        <v/>
      </c>
      <c r="AF20" s="11" t="str">
        <f>'Workings Out'!BC48</f>
        <v/>
      </c>
      <c r="AG20" s="11" t="str">
        <f>'Workings Out'!BD48</f>
        <v/>
      </c>
    </row>
    <row r="21" spans="1:33" x14ac:dyDescent="0.25">
      <c r="A21" s="5"/>
      <c r="B21" s="6" t="s">
        <v>20</v>
      </c>
      <c r="C21" s="6"/>
      <c r="D21" s="7"/>
      <c r="G21" s="12" t="str">
        <f t="shared" si="1"/>
        <v>R</v>
      </c>
      <c r="H21" s="11" t="str">
        <f>'Workings Out'!AE49</f>
        <v/>
      </c>
      <c r="I21" s="11" t="str">
        <f>'Workings Out'!AF49</f>
        <v/>
      </c>
      <c r="J21" s="11" t="str">
        <f>'Workings Out'!AG49</f>
        <v/>
      </c>
      <c r="K21" s="11" t="str">
        <f>'Workings Out'!AH49</f>
        <v/>
      </c>
      <c r="L21" s="11" t="str">
        <f>'Workings Out'!AI49</f>
        <v/>
      </c>
      <c r="M21" s="11" t="str">
        <f>'Workings Out'!AJ49</f>
        <v/>
      </c>
      <c r="N21" s="11" t="str">
        <f>'Workings Out'!AK49</f>
        <v/>
      </c>
      <c r="O21" s="11" t="str">
        <f>'Workings Out'!AL49</f>
        <v/>
      </c>
      <c r="P21" s="11" t="str">
        <f>'Workings Out'!AM49</f>
        <v/>
      </c>
      <c r="Q21" s="11" t="str">
        <f>'Workings Out'!AN49</f>
        <v/>
      </c>
      <c r="R21" s="11" t="str">
        <f>'Workings Out'!AO49</f>
        <v/>
      </c>
      <c r="S21" s="11" t="str">
        <f>'Workings Out'!AP49</f>
        <v/>
      </c>
      <c r="T21" s="11" t="str">
        <f>'Workings Out'!AQ49</f>
        <v/>
      </c>
      <c r="U21" s="11" t="str">
        <f>'Workings Out'!AR49</f>
        <v/>
      </c>
      <c r="V21" s="11" t="str">
        <f>'Workings Out'!AS49</f>
        <v/>
      </c>
      <c r="W21" s="11" t="str">
        <f>'Workings Out'!AT49</f>
        <v/>
      </c>
      <c r="X21" s="11" t="str">
        <f>'Workings Out'!AU49</f>
        <v/>
      </c>
      <c r="Y21" s="11" t="str">
        <f>'Workings Out'!AV49</f>
        <v/>
      </c>
      <c r="Z21" s="11" t="str">
        <f>'Workings Out'!AW49</f>
        <v/>
      </c>
      <c r="AA21" s="11" t="str">
        <f>'Workings Out'!AX49</f>
        <v/>
      </c>
      <c r="AB21" s="11" t="str">
        <f>'Workings Out'!AY49</f>
        <v/>
      </c>
      <c r="AC21" s="11" t="str">
        <f>'Workings Out'!AZ49</f>
        <v/>
      </c>
      <c r="AD21" s="11" t="str">
        <f>'Workings Out'!BA49</f>
        <v/>
      </c>
      <c r="AE21" s="11" t="str">
        <f>'Workings Out'!BB49</f>
        <v/>
      </c>
      <c r="AF21" s="11" t="str">
        <f>'Workings Out'!BC49</f>
        <v/>
      </c>
      <c r="AG21" s="11" t="str">
        <f>'Workings Out'!BD49</f>
        <v/>
      </c>
    </row>
    <row r="22" spans="1:33" x14ac:dyDescent="0.25">
      <c r="A22" s="5"/>
      <c r="B22" s="6" t="s">
        <v>21</v>
      </c>
      <c r="C22" s="6"/>
      <c r="D22" s="7"/>
      <c r="G22" s="12" t="str">
        <f t="shared" si="1"/>
        <v>S</v>
      </c>
      <c r="H22" s="11" t="str">
        <f>'Workings Out'!AE50</f>
        <v/>
      </c>
      <c r="I22" s="11" t="str">
        <f>'Workings Out'!AF50</f>
        <v/>
      </c>
      <c r="J22" s="11" t="str">
        <f>'Workings Out'!AG50</f>
        <v/>
      </c>
      <c r="K22" s="11" t="str">
        <f>'Workings Out'!AH50</f>
        <v/>
      </c>
      <c r="L22" s="11" t="str">
        <f>'Workings Out'!AI50</f>
        <v/>
      </c>
      <c r="M22" s="11" t="str">
        <f>'Workings Out'!AJ50</f>
        <v/>
      </c>
      <c r="N22" s="11" t="str">
        <f>'Workings Out'!AK50</f>
        <v/>
      </c>
      <c r="O22" s="11" t="str">
        <f>'Workings Out'!AL50</f>
        <v/>
      </c>
      <c r="P22" s="11" t="str">
        <f>'Workings Out'!AM50</f>
        <v/>
      </c>
      <c r="Q22" s="11" t="str">
        <f>'Workings Out'!AN50</f>
        <v/>
      </c>
      <c r="R22" s="11" t="str">
        <f>'Workings Out'!AO50</f>
        <v/>
      </c>
      <c r="S22" s="11" t="str">
        <f>'Workings Out'!AP50</f>
        <v/>
      </c>
      <c r="T22" s="11" t="str">
        <f>'Workings Out'!AQ50</f>
        <v/>
      </c>
      <c r="U22" s="11" t="str">
        <f>'Workings Out'!AR50</f>
        <v/>
      </c>
      <c r="V22" s="11" t="str">
        <f>'Workings Out'!AS50</f>
        <v/>
      </c>
      <c r="W22" s="11" t="str">
        <f>'Workings Out'!AT50</f>
        <v/>
      </c>
      <c r="X22" s="11" t="str">
        <f>'Workings Out'!AU50</f>
        <v/>
      </c>
      <c r="Y22" s="11" t="str">
        <f>'Workings Out'!AV50</f>
        <v/>
      </c>
      <c r="Z22" s="11" t="str">
        <f>'Workings Out'!AW50</f>
        <v/>
      </c>
      <c r="AA22" s="11" t="str">
        <f>'Workings Out'!AX50</f>
        <v/>
      </c>
      <c r="AB22" s="11" t="str">
        <f>'Workings Out'!AY50</f>
        <v/>
      </c>
      <c r="AC22" s="11" t="str">
        <f>'Workings Out'!AZ50</f>
        <v/>
      </c>
      <c r="AD22" s="11" t="str">
        <f>'Workings Out'!BA50</f>
        <v/>
      </c>
      <c r="AE22" s="11" t="str">
        <f>'Workings Out'!BB50</f>
        <v/>
      </c>
      <c r="AF22" s="11" t="str">
        <f>'Workings Out'!BC50</f>
        <v/>
      </c>
      <c r="AG22" s="11" t="str">
        <f>'Workings Out'!BD50</f>
        <v/>
      </c>
    </row>
    <row r="23" spans="1:33" x14ac:dyDescent="0.25">
      <c r="A23" s="5"/>
      <c r="B23" s="6" t="s">
        <v>22</v>
      </c>
      <c r="C23" s="6"/>
      <c r="D23" s="7"/>
      <c r="G23" s="12" t="str">
        <f t="shared" si="1"/>
        <v>T</v>
      </c>
      <c r="H23" s="11" t="str">
        <f>'Workings Out'!AE51</f>
        <v/>
      </c>
      <c r="I23" s="11" t="str">
        <f>'Workings Out'!AF51</f>
        <v/>
      </c>
      <c r="J23" s="11" t="str">
        <f>'Workings Out'!AG51</f>
        <v/>
      </c>
      <c r="K23" s="11" t="str">
        <f>'Workings Out'!AH51</f>
        <v/>
      </c>
      <c r="L23" s="11" t="str">
        <f>'Workings Out'!AI51</f>
        <v/>
      </c>
      <c r="M23" s="11" t="str">
        <f>'Workings Out'!AJ51</f>
        <v/>
      </c>
      <c r="N23" s="11" t="str">
        <f>'Workings Out'!AK51</f>
        <v/>
      </c>
      <c r="O23" s="11" t="str">
        <f>'Workings Out'!AL51</f>
        <v/>
      </c>
      <c r="P23" s="11" t="str">
        <f>'Workings Out'!AM51</f>
        <v/>
      </c>
      <c r="Q23" s="11" t="str">
        <f>'Workings Out'!AN51</f>
        <v/>
      </c>
      <c r="R23" s="11" t="str">
        <f>'Workings Out'!AO51</f>
        <v/>
      </c>
      <c r="S23" s="11" t="str">
        <f>'Workings Out'!AP51</f>
        <v/>
      </c>
      <c r="T23" s="11" t="str">
        <f>'Workings Out'!AQ51</f>
        <v/>
      </c>
      <c r="U23" s="11" t="str">
        <f>'Workings Out'!AR51</f>
        <v/>
      </c>
      <c r="V23" s="11" t="str">
        <f>'Workings Out'!AS51</f>
        <v/>
      </c>
      <c r="W23" s="11" t="str">
        <f>'Workings Out'!AT51</f>
        <v/>
      </c>
      <c r="X23" s="11" t="str">
        <f>'Workings Out'!AU51</f>
        <v/>
      </c>
      <c r="Y23" s="11" t="str">
        <f>'Workings Out'!AV51</f>
        <v/>
      </c>
      <c r="Z23" s="11" t="str">
        <f>'Workings Out'!AW51</f>
        <v/>
      </c>
      <c r="AA23" s="11" t="str">
        <f>'Workings Out'!AX51</f>
        <v/>
      </c>
      <c r="AB23" s="11" t="str">
        <f>'Workings Out'!AY51</f>
        <v/>
      </c>
      <c r="AC23" s="11" t="str">
        <f>'Workings Out'!AZ51</f>
        <v/>
      </c>
      <c r="AD23" s="11" t="str">
        <f>'Workings Out'!BA51</f>
        <v/>
      </c>
      <c r="AE23" s="11" t="str">
        <f>'Workings Out'!BB51</f>
        <v/>
      </c>
      <c r="AF23" s="11" t="str">
        <f>'Workings Out'!BC51</f>
        <v/>
      </c>
      <c r="AG23" s="11" t="str">
        <f>'Workings Out'!BD51</f>
        <v/>
      </c>
    </row>
    <row r="24" spans="1:33" x14ac:dyDescent="0.25">
      <c r="A24" s="5"/>
      <c r="B24" s="6" t="s">
        <v>23</v>
      </c>
      <c r="C24" s="6"/>
      <c r="D24" s="7"/>
      <c r="G24" s="12" t="str">
        <f t="shared" si="1"/>
        <v>U</v>
      </c>
      <c r="H24" s="11" t="str">
        <f>'Workings Out'!AE52</f>
        <v/>
      </c>
      <c r="I24" s="11" t="str">
        <f>'Workings Out'!AF52</f>
        <v/>
      </c>
      <c r="J24" s="11" t="str">
        <f>'Workings Out'!AG52</f>
        <v/>
      </c>
      <c r="K24" s="11" t="str">
        <f>'Workings Out'!AH52</f>
        <v/>
      </c>
      <c r="L24" s="11" t="str">
        <f>'Workings Out'!AI52</f>
        <v/>
      </c>
      <c r="M24" s="11" t="str">
        <f>'Workings Out'!AJ52</f>
        <v/>
      </c>
      <c r="N24" s="11" t="str">
        <f>'Workings Out'!AK52</f>
        <v/>
      </c>
      <c r="O24" s="11" t="str">
        <f>'Workings Out'!AL52</f>
        <v/>
      </c>
      <c r="P24" s="11" t="str">
        <f>'Workings Out'!AM52</f>
        <v/>
      </c>
      <c r="Q24" s="11" t="str">
        <f>'Workings Out'!AN52</f>
        <v/>
      </c>
      <c r="R24" s="11" t="str">
        <f>'Workings Out'!AO52</f>
        <v/>
      </c>
      <c r="S24" s="11" t="str">
        <f>'Workings Out'!AP52</f>
        <v/>
      </c>
      <c r="T24" s="11" t="str">
        <f>'Workings Out'!AQ52</f>
        <v/>
      </c>
      <c r="U24" s="11" t="str">
        <f>'Workings Out'!AR52</f>
        <v/>
      </c>
      <c r="V24" s="11" t="str">
        <f>'Workings Out'!AS52</f>
        <v/>
      </c>
      <c r="W24" s="11" t="str">
        <f>'Workings Out'!AT52</f>
        <v/>
      </c>
      <c r="X24" s="11" t="str">
        <f>'Workings Out'!AU52</f>
        <v/>
      </c>
      <c r="Y24" s="11" t="str">
        <f>'Workings Out'!AV52</f>
        <v/>
      </c>
      <c r="Z24" s="11" t="str">
        <f>'Workings Out'!AW52</f>
        <v/>
      </c>
      <c r="AA24" s="11" t="str">
        <f>'Workings Out'!AX52</f>
        <v/>
      </c>
      <c r="AB24" s="11" t="str">
        <f>'Workings Out'!AY52</f>
        <v/>
      </c>
      <c r="AC24" s="11" t="str">
        <f>'Workings Out'!AZ52</f>
        <v/>
      </c>
      <c r="AD24" s="11" t="str">
        <f>'Workings Out'!BA52</f>
        <v/>
      </c>
      <c r="AE24" s="11" t="str">
        <f>'Workings Out'!BB52</f>
        <v/>
      </c>
      <c r="AF24" s="11" t="str">
        <f>'Workings Out'!BC52</f>
        <v/>
      </c>
      <c r="AG24" s="11" t="str">
        <f>'Workings Out'!BD52</f>
        <v/>
      </c>
    </row>
    <row r="25" spans="1:33" x14ac:dyDescent="0.25">
      <c r="A25" s="5"/>
      <c r="B25" s="6" t="s">
        <v>24</v>
      </c>
      <c r="C25" s="6"/>
      <c r="D25" s="7"/>
      <c r="G25" s="12" t="str">
        <f t="shared" si="1"/>
        <v>V</v>
      </c>
      <c r="H25" s="11" t="str">
        <f>'Workings Out'!AE53</f>
        <v/>
      </c>
      <c r="I25" s="11" t="str">
        <f>'Workings Out'!AF53</f>
        <v/>
      </c>
      <c r="J25" s="11" t="str">
        <f>'Workings Out'!AG53</f>
        <v/>
      </c>
      <c r="K25" s="11" t="str">
        <f>'Workings Out'!AH53</f>
        <v/>
      </c>
      <c r="L25" s="11" t="str">
        <f>'Workings Out'!AI53</f>
        <v/>
      </c>
      <c r="M25" s="11" t="str">
        <f>'Workings Out'!AJ53</f>
        <v/>
      </c>
      <c r="N25" s="11" t="str">
        <f>'Workings Out'!AK53</f>
        <v/>
      </c>
      <c r="O25" s="11" t="str">
        <f>'Workings Out'!AL53</f>
        <v/>
      </c>
      <c r="P25" s="11" t="str">
        <f>'Workings Out'!AM53</f>
        <v/>
      </c>
      <c r="Q25" s="11" t="str">
        <f>'Workings Out'!AN53</f>
        <v/>
      </c>
      <c r="R25" s="11" t="str">
        <f>'Workings Out'!AO53</f>
        <v/>
      </c>
      <c r="S25" s="11" t="str">
        <f>'Workings Out'!AP53</f>
        <v/>
      </c>
      <c r="T25" s="11" t="str">
        <f>'Workings Out'!AQ53</f>
        <v/>
      </c>
      <c r="U25" s="11" t="str">
        <f>'Workings Out'!AR53</f>
        <v/>
      </c>
      <c r="V25" s="11" t="str">
        <f>'Workings Out'!AS53</f>
        <v/>
      </c>
      <c r="W25" s="11" t="str">
        <f>'Workings Out'!AT53</f>
        <v/>
      </c>
      <c r="X25" s="11" t="str">
        <f>'Workings Out'!AU53</f>
        <v/>
      </c>
      <c r="Y25" s="11" t="str">
        <f>'Workings Out'!AV53</f>
        <v/>
      </c>
      <c r="Z25" s="11" t="str">
        <f>'Workings Out'!AW53</f>
        <v/>
      </c>
      <c r="AA25" s="11" t="str">
        <f>'Workings Out'!AX53</f>
        <v/>
      </c>
      <c r="AB25" s="11" t="str">
        <f>'Workings Out'!AY53</f>
        <v/>
      </c>
      <c r="AC25" s="11" t="str">
        <f>'Workings Out'!AZ53</f>
        <v/>
      </c>
      <c r="AD25" s="11" t="str">
        <f>'Workings Out'!BA53</f>
        <v/>
      </c>
      <c r="AE25" s="11" t="str">
        <f>'Workings Out'!BB53</f>
        <v/>
      </c>
      <c r="AF25" s="11" t="str">
        <f>'Workings Out'!BC53</f>
        <v/>
      </c>
      <c r="AG25" s="11" t="str">
        <f>'Workings Out'!BD53</f>
        <v/>
      </c>
    </row>
    <row r="26" spans="1:33" x14ac:dyDescent="0.25">
      <c r="A26" s="5"/>
      <c r="B26" s="6" t="s">
        <v>25</v>
      </c>
      <c r="C26" s="6"/>
      <c r="D26" s="7"/>
      <c r="G26" s="12" t="str">
        <f t="shared" si="1"/>
        <v>W</v>
      </c>
      <c r="H26" s="11" t="str">
        <f>'Workings Out'!AE54</f>
        <v/>
      </c>
      <c r="I26" s="11" t="str">
        <f>'Workings Out'!AF54</f>
        <v/>
      </c>
      <c r="J26" s="11" t="str">
        <f>'Workings Out'!AG54</f>
        <v/>
      </c>
      <c r="K26" s="11" t="str">
        <f>'Workings Out'!AH54</f>
        <v/>
      </c>
      <c r="L26" s="11" t="str">
        <f>'Workings Out'!AI54</f>
        <v/>
      </c>
      <c r="M26" s="11" t="str">
        <f>'Workings Out'!AJ54</f>
        <v/>
      </c>
      <c r="N26" s="11" t="str">
        <f>'Workings Out'!AK54</f>
        <v/>
      </c>
      <c r="O26" s="11" t="str">
        <f>'Workings Out'!AL54</f>
        <v/>
      </c>
      <c r="P26" s="11" t="str">
        <f>'Workings Out'!AM54</f>
        <v/>
      </c>
      <c r="Q26" s="11" t="str">
        <f>'Workings Out'!AN54</f>
        <v/>
      </c>
      <c r="R26" s="11" t="str">
        <f>'Workings Out'!AO54</f>
        <v/>
      </c>
      <c r="S26" s="11" t="str">
        <f>'Workings Out'!AP54</f>
        <v/>
      </c>
      <c r="T26" s="11" t="str">
        <f>'Workings Out'!AQ54</f>
        <v/>
      </c>
      <c r="U26" s="11" t="str">
        <f>'Workings Out'!AR54</f>
        <v/>
      </c>
      <c r="V26" s="11" t="str">
        <f>'Workings Out'!AS54</f>
        <v/>
      </c>
      <c r="W26" s="11" t="str">
        <f>'Workings Out'!AT54</f>
        <v/>
      </c>
      <c r="X26" s="11" t="str">
        <f>'Workings Out'!AU54</f>
        <v/>
      </c>
      <c r="Y26" s="11" t="str">
        <f>'Workings Out'!AV54</f>
        <v/>
      </c>
      <c r="Z26" s="11" t="str">
        <f>'Workings Out'!AW54</f>
        <v/>
      </c>
      <c r="AA26" s="11" t="str">
        <f>'Workings Out'!AX54</f>
        <v/>
      </c>
      <c r="AB26" s="11" t="str">
        <f>'Workings Out'!AY54</f>
        <v/>
      </c>
      <c r="AC26" s="11" t="str">
        <f>'Workings Out'!AZ54</f>
        <v/>
      </c>
      <c r="AD26" s="11" t="str">
        <f>'Workings Out'!BA54</f>
        <v/>
      </c>
      <c r="AE26" s="11" t="str">
        <f>'Workings Out'!BB54</f>
        <v/>
      </c>
      <c r="AF26" s="11" t="str">
        <f>'Workings Out'!BC54</f>
        <v/>
      </c>
      <c r="AG26" s="11" t="str">
        <f>'Workings Out'!BD54</f>
        <v/>
      </c>
    </row>
    <row r="27" spans="1:33" x14ac:dyDescent="0.25">
      <c r="A27" s="5"/>
      <c r="B27" s="6" t="s">
        <v>26</v>
      </c>
      <c r="C27" s="6"/>
      <c r="D27" s="7"/>
      <c r="G27" s="12" t="str">
        <f t="shared" si="1"/>
        <v>X</v>
      </c>
      <c r="H27" s="11" t="str">
        <f>'Workings Out'!AE55</f>
        <v/>
      </c>
      <c r="I27" s="11" t="str">
        <f>'Workings Out'!AF55</f>
        <v/>
      </c>
      <c r="J27" s="11" t="str">
        <f>'Workings Out'!AG55</f>
        <v/>
      </c>
      <c r="K27" s="11" t="str">
        <f>'Workings Out'!AH55</f>
        <v/>
      </c>
      <c r="L27" s="11" t="str">
        <f>'Workings Out'!AI55</f>
        <v/>
      </c>
      <c r="M27" s="11" t="str">
        <f>'Workings Out'!AJ55</f>
        <v/>
      </c>
      <c r="N27" s="11" t="str">
        <f>'Workings Out'!AK55</f>
        <v/>
      </c>
      <c r="O27" s="11" t="str">
        <f>'Workings Out'!AL55</f>
        <v/>
      </c>
      <c r="P27" s="11" t="str">
        <f>'Workings Out'!AM55</f>
        <v/>
      </c>
      <c r="Q27" s="11" t="str">
        <f>'Workings Out'!AN55</f>
        <v/>
      </c>
      <c r="R27" s="11" t="str">
        <f>'Workings Out'!AO55</f>
        <v/>
      </c>
      <c r="S27" s="11" t="str">
        <f>'Workings Out'!AP55</f>
        <v/>
      </c>
      <c r="T27" s="11" t="str">
        <f>'Workings Out'!AQ55</f>
        <v/>
      </c>
      <c r="U27" s="11" t="str">
        <f>'Workings Out'!AR55</f>
        <v/>
      </c>
      <c r="V27" s="11" t="str">
        <f>'Workings Out'!AS55</f>
        <v/>
      </c>
      <c r="W27" s="11" t="str">
        <f>'Workings Out'!AT55</f>
        <v/>
      </c>
      <c r="X27" s="11" t="str">
        <f>'Workings Out'!AU55</f>
        <v/>
      </c>
      <c r="Y27" s="11" t="str">
        <f>'Workings Out'!AV55</f>
        <v/>
      </c>
      <c r="Z27" s="11" t="str">
        <f>'Workings Out'!AW55</f>
        <v/>
      </c>
      <c r="AA27" s="11" t="str">
        <f>'Workings Out'!AX55</f>
        <v/>
      </c>
      <c r="AB27" s="11" t="str">
        <f>'Workings Out'!AY55</f>
        <v/>
      </c>
      <c r="AC27" s="11" t="str">
        <f>'Workings Out'!AZ55</f>
        <v/>
      </c>
      <c r="AD27" s="11" t="str">
        <f>'Workings Out'!BA55</f>
        <v/>
      </c>
      <c r="AE27" s="11" t="str">
        <f>'Workings Out'!BB55</f>
        <v/>
      </c>
      <c r="AF27" s="11" t="str">
        <f>'Workings Out'!BC55</f>
        <v/>
      </c>
      <c r="AG27" s="11" t="str">
        <f>'Workings Out'!BD55</f>
        <v/>
      </c>
    </row>
    <row r="28" spans="1:33" x14ac:dyDescent="0.25">
      <c r="A28" s="5"/>
      <c r="B28" s="6" t="s">
        <v>27</v>
      </c>
      <c r="C28" s="6"/>
      <c r="D28" s="7"/>
      <c r="G28" s="12" t="str">
        <f t="shared" si="1"/>
        <v>Y</v>
      </c>
      <c r="H28" s="11" t="str">
        <f>'Workings Out'!AE56</f>
        <v/>
      </c>
      <c r="I28" s="11" t="str">
        <f>'Workings Out'!AF56</f>
        <v/>
      </c>
      <c r="J28" s="11" t="str">
        <f>'Workings Out'!AG56</f>
        <v/>
      </c>
      <c r="K28" s="11" t="str">
        <f>'Workings Out'!AH56</f>
        <v/>
      </c>
      <c r="L28" s="11" t="str">
        <f>'Workings Out'!AI56</f>
        <v/>
      </c>
      <c r="M28" s="11" t="str">
        <f>'Workings Out'!AJ56</f>
        <v/>
      </c>
      <c r="N28" s="11" t="str">
        <f>'Workings Out'!AK56</f>
        <v/>
      </c>
      <c r="O28" s="11" t="str">
        <f>'Workings Out'!AL56</f>
        <v/>
      </c>
      <c r="P28" s="11" t="str">
        <f>'Workings Out'!AM56</f>
        <v/>
      </c>
      <c r="Q28" s="11" t="str">
        <f>'Workings Out'!AN56</f>
        <v/>
      </c>
      <c r="R28" s="11" t="str">
        <f>'Workings Out'!AO56</f>
        <v/>
      </c>
      <c r="S28" s="11" t="str">
        <f>'Workings Out'!AP56</f>
        <v/>
      </c>
      <c r="T28" s="11" t="str">
        <f>'Workings Out'!AQ56</f>
        <v/>
      </c>
      <c r="U28" s="11" t="str">
        <f>'Workings Out'!AR56</f>
        <v/>
      </c>
      <c r="V28" s="11" t="str">
        <f>'Workings Out'!AS56</f>
        <v/>
      </c>
      <c r="W28" s="11" t="str">
        <f>'Workings Out'!AT56</f>
        <v/>
      </c>
      <c r="X28" s="11" t="str">
        <f>'Workings Out'!AU56</f>
        <v/>
      </c>
      <c r="Y28" s="11" t="str">
        <f>'Workings Out'!AV56</f>
        <v/>
      </c>
      <c r="Z28" s="11" t="str">
        <f>'Workings Out'!AW56</f>
        <v/>
      </c>
      <c r="AA28" s="11" t="str">
        <f>'Workings Out'!AX56</f>
        <v/>
      </c>
      <c r="AB28" s="11" t="str">
        <f>'Workings Out'!AY56</f>
        <v/>
      </c>
      <c r="AC28" s="11" t="str">
        <f>'Workings Out'!AZ56</f>
        <v/>
      </c>
      <c r="AD28" s="11" t="str">
        <f>'Workings Out'!BA56</f>
        <v/>
      </c>
      <c r="AE28" s="11" t="str">
        <f>'Workings Out'!BB56</f>
        <v/>
      </c>
      <c r="AF28" s="11" t="str">
        <f>'Workings Out'!BC56</f>
        <v/>
      </c>
      <c r="AG28" s="11" t="str">
        <f>'Workings Out'!BD56</f>
        <v/>
      </c>
    </row>
    <row r="29" spans="1:33" x14ac:dyDescent="0.25">
      <c r="A29" s="8"/>
      <c r="B29" s="9" t="s">
        <v>28</v>
      </c>
      <c r="C29" s="9"/>
      <c r="D29" s="10"/>
      <c r="G29" s="12" t="str">
        <f t="shared" si="1"/>
        <v>Z</v>
      </c>
      <c r="H29" s="11" t="str">
        <f>'Workings Out'!AE57</f>
        <v/>
      </c>
      <c r="I29" s="11" t="str">
        <f>'Workings Out'!AF57</f>
        <v/>
      </c>
      <c r="J29" s="11" t="str">
        <f>'Workings Out'!AG57</f>
        <v/>
      </c>
      <c r="K29" s="11" t="str">
        <f>'Workings Out'!AH57</f>
        <v/>
      </c>
      <c r="L29" s="11" t="str">
        <f>'Workings Out'!AI57</f>
        <v/>
      </c>
      <c r="M29" s="11" t="str">
        <f>'Workings Out'!AJ57</f>
        <v/>
      </c>
      <c r="N29" s="11" t="str">
        <f>'Workings Out'!AK57</f>
        <v/>
      </c>
      <c r="O29" s="11" t="str">
        <f>'Workings Out'!AL57</f>
        <v/>
      </c>
      <c r="P29" s="11" t="str">
        <f>'Workings Out'!AM57</f>
        <v/>
      </c>
      <c r="Q29" s="11" t="str">
        <f>'Workings Out'!AN57</f>
        <v/>
      </c>
      <c r="R29" s="11" t="str">
        <f>'Workings Out'!AO57</f>
        <v/>
      </c>
      <c r="S29" s="11" t="str">
        <f>'Workings Out'!AP57</f>
        <v/>
      </c>
      <c r="T29" s="11" t="str">
        <f>'Workings Out'!AQ57</f>
        <v/>
      </c>
      <c r="U29" s="11" t="str">
        <f>'Workings Out'!AR57</f>
        <v/>
      </c>
      <c r="V29" s="11" t="str">
        <f>'Workings Out'!AS57</f>
        <v/>
      </c>
      <c r="W29" s="11" t="str">
        <f>'Workings Out'!AT57</f>
        <v/>
      </c>
      <c r="X29" s="11" t="str">
        <f>'Workings Out'!AU57</f>
        <v/>
      </c>
      <c r="Y29" s="11" t="str">
        <f>'Workings Out'!AV57</f>
        <v/>
      </c>
      <c r="Z29" s="11" t="str">
        <f>'Workings Out'!AW57</f>
        <v/>
      </c>
      <c r="AA29" s="11" t="str">
        <f>'Workings Out'!AX57</f>
        <v/>
      </c>
      <c r="AB29" s="11" t="str">
        <f>'Workings Out'!AY57</f>
        <v/>
      </c>
      <c r="AC29" s="11" t="str">
        <f>'Workings Out'!AZ57</f>
        <v/>
      </c>
      <c r="AD29" s="11" t="str">
        <f>'Workings Out'!BA57</f>
        <v/>
      </c>
      <c r="AE29" s="11" t="str">
        <f>'Workings Out'!BB57</f>
        <v/>
      </c>
      <c r="AF29" s="11" t="str">
        <f>'Workings Out'!BC57</f>
        <v/>
      </c>
      <c r="AG29" s="11" t="str">
        <f>'Workings Out'!BD57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BD57"/>
  <sheetViews>
    <sheetView workbookViewId="0">
      <selection activeCell="L41" sqref="L41:L42"/>
    </sheetView>
  </sheetViews>
  <sheetFormatPr defaultRowHeight="15" x14ac:dyDescent="0.25"/>
  <cols>
    <col min="2" max="2" width="6.5703125" customWidth="1"/>
    <col min="3" max="28" width="4.7109375" customWidth="1"/>
    <col min="30" max="30" width="7.7109375" customWidth="1"/>
    <col min="31" max="56" width="4.7109375" customWidth="1"/>
  </cols>
  <sheetData>
    <row r="2" spans="2:56" x14ac:dyDescent="0.25">
      <c r="B2" t="s">
        <v>31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18</v>
      </c>
      <c r="R2" t="s">
        <v>17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D2" t="s">
        <v>33</v>
      </c>
      <c r="AE2" t="s">
        <v>3</v>
      </c>
      <c r="AF2" t="s">
        <v>4</v>
      </c>
      <c r="AG2" t="s">
        <v>5</v>
      </c>
      <c r="AH2" t="s">
        <v>6</v>
      </c>
      <c r="AI2" t="s">
        <v>7</v>
      </c>
      <c r="AJ2" t="s">
        <v>8</v>
      </c>
      <c r="AK2" t="s">
        <v>9</v>
      </c>
      <c r="AL2" t="s">
        <v>10</v>
      </c>
      <c r="AM2" t="s">
        <v>11</v>
      </c>
      <c r="AN2" t="s">
        <v>12</v>
      </c>
      <c r="AO2" t="s">
        <v>13</v>
      </c>
      <c r="AP2" t="s">
        <v>14</v>
      </c>
      <c r="AQ2" t="s">
        <v>15</v>
      </c>
      <c r="AR2" t="s">
        <v>16</v>
      </c>
      <c r="AS2" t="s">
        <v>18</v>
      </c>
      <c r="AT2" t="s">
        <v>17</v>
      </c>
      <c r="AU2" t="s">
        <v>19</v>
      </c>
      <c r="AV2" t="s">
        <v>20</v>
      </c>
      <c r="AW2" t="s">
        <v>21</v>
      </c>
      <c r="AX2" t="s">
        <v>22</v>
      </c>
      <c r="AY2" t="s">
        <v>23</v>
      </c>
      <c r="AZ2" t="s">
        <v>24</v>
      </c>
      <c r="BA2" t="s">
        <v>25</v>
      </c>
      <c r="BB2" t="s">
        <v>26</v>
      </c>
      <c r="BC2" t="s">
        <v>27</v>
      </c>
      <c r="BD2" t="s">
        <v>28</v>
      </c>
    </row>
    <row r="3" spans="2:56" x14ac:dyDescent="0.25">
      <c r="B3" t="s">
        <v>3</v>
      </c>
      <c r="C3" s="1"/>
      <c r="D3">
        <f>B.cost-A.cost</f>
        <v>0</v>
      </c>
      <c r="E3">
        <f>C.cost-A.cost</f>
        <v>0</v>
      </c>
      <c r="F3">
        <f>D.cost-A.cost</f>
        <v>0</v>
      </c>
      <c r="G3">
        <f>E.cost - A.cost</f>
        <v>0</v>
      </c>
      <c r="H3">
        <f>F.cost-A.cost</f>
        <v>0</v>
      </c>
      <c r="I3">
        <f>G.cost-A.cost</f>
        <v>0</v>
      </c>
      <c r="J3">
        <f>H.cost-A.cost</f>
        <v>0</v>
      </c>
      <c r="K3">
        <f>I.cost-A.cost</f>
        <v>0</v>
      </c>
      <c r="L3">
        <f>J.cost-A.cost</f>
        <v>0</v>
      </c>
      <c r="M3">
        <f>K.cost-A.cost</f>
        <v>0</v>
      </c>
      <c r="N3">
        <f>L.cost-A.cost</f>
        <v>0</v>
      </c>
      <c r="O3">
        <f>M.cost-A.cost</f>
        <v>0</v>
      </c>
      <c r="P3">
        <f>N.cost-A.cost</f>
        <v>0</v>
      </c>
      <c r="Q3">
        <f>O.cost-A.cost</f>
        <v>0</v>
      </c>
      <c r="R3">
        <f>P.cost-A.cost</f>
        <v>0</v>
      </c>
      <c r="S3">
        <f>Q.cost-A.cost</f>
        <v>0</v>
      </c>
      <c r="T3">
        <f>R.cost-A.cost</f>
        <v>0</v>
      </c>
      <c r="U3">
        <f>S.cost-A.cost</f>
        <v>0</v>
      </c>
      <c r="V3">
        <f>T.cost-A.cost</f>
        <v>0</v>
      </c>
      <c r="W3">
        <f>U.cost-A.cost</f>
        <v>0</v>
      </c>
      <c r="X3">
        <f>V.cost-A.cost</f>
        <v>0</v>
      </c>
      <c r="Y3">
        <f>W.cost-A.cost</f>
        <v>0</v>
      </c>
      <c r="Z3">
        <f>X.cost-A.cost</f>
        <v>0</v>
      </c>
      <c r="AA3">
        <f>Y.cost-A.cost</f>
        <v>0</v>
      </c>
      <c r="AB3">
        <f>Z.cost-A.cost</f>
        <v>0</v>
      </c>
      <c r="AD3" t="s">
        <v>3</v>
      </c>
      <c r="AE3" t="e">
        <f>IF(ATAN2(C32,C3) &lt;0,ATAN2(C32,C3) + 2 * PI(),ATAN2(C32,C3)) *180/PI()</f>
        <v>#DIV/0!</v>
      </c>
      <c r="AF3" t="e">
        <f t="shared" ref="AF3:BD13" si="0">IF(ATAN2(D32,D3) &lt;0,ATAN2(D32,D3) + 2 * PI(),ATAN2(D32,D3)) *180/PI()</f>
        <v>#DIV/0!</v>
      </c>
      <c r="AG3" t="e">
        <f t="shared" si="0"/>
        <v>#DIV/0!</v>
      </c>
      <c r="AH3" t="e">
        <f t="shared" si="0"/>
        <v>#DIV/0!</v>
      </c>
      <c r="AI3" t="e">
        <f t="shared" si="0"/>
        <v>#DIV/0!</v>
      </c>
      <c r="AJ3" t="e">
        <f t="shared" si="0"/>
        <v>#DIV/0!</v>
      </c>
      <c r="AK3" t="e">
        <f t="shared" si="0"/>
        <v>#DIV/0!</v>
      </c>
      <c r="AL3" t="e">
        <f t="shared" si="0"/>
        <v>#DIV/0!</v>
      </c>
      <c r="AM3" t="e">
        <f t="shared" si="0"/>
        <v>#DIV/0!</v>
      </c>
      <c r="AN3" t="e">
        <f t="shared" si="0"/>
        <v>#DIV/0!</v>
      </c>
      <c r="AO3" t="e">
        <f t="shared" si="0"/>
        <v>#DIV/0!</v>
      </c>
      <c r="AP3" t="e">
        <f t="shared" si="0"/>
        <v>#DIV/0!</v>
      </c>
      <c r="AQ3" t="e">
        <f t="shared" si="0"/>
        <v>#DIV/0!</v>
      </c>
      <c r="AR3" t="e">
        <f t="shared" si="0"/>
        <v>#DIV/0!</v>
      </c>
      <c r="AS3" t="e">
        <f t="shared" si="0"/>
        <v>#DIV/0!</v>
      </c>
      <c r="AT3" t="e">
        <f t="shared" si="0"/>
        <v>#DIV/0!</v>
      </c>
      <c r="AU3" t="e">
        <f t="shared" si="0"/>
        <v>#DIV/0!</v>
      </c>
      <c r="AV3" t="e">
        <f t="shared" si="0"/>
        <v>#DIV/0!</v>
      </c>
      <c r="AW3" t="e">
        <f t="shared" si="0"/>
        <v>#DIV/0!</v>
      </c>
      <c r="AX3" t="e">
        <f t="shared" si="0"/>
        <v>#DIV/0!</v>
      </c>
      <c r="AY3" t="e">
        <f t="shared" si="0"/>
        <v>#DIV/0!</v>
      </c>
      <c r="AZ3" t="e">
        <f t="shared" si="0"/>
        <v>#DIV/0!</v>
      </c>
      <c r="BA3" t="e">
        <f t="shared" si="0"/>
        <v>#DIV/0!</v>
      </c>
      <c r="BB3" t="e">
        <f t="shared" si="0"/>
        <v>#DIV/0!</v>
      </c>
      <c r="BC3" t="e">
        <f t="shared" si="0"/>
        <v>#DIV/0!</v>
      </c>
      <c r="BD3" t="e">
        <f t="shared" si="0"/>
        <v>#DIV/0!</v>
      </c>
    </row>
    <row r="4" spans="2:56" x14ac:dyDescent="0.25">
      <c r="B4" t="s">
        <v>4</v>
      </c>
      <c r="C4">
        <f>A.cost-B.cost</f>
        <v>0</v>
      </c>
      <c r="D4" s="1"/>
      <c r="E4">
        <f>C.cost - B.cost</f>
        <v>0</v>
      </c>
      <c r="F4">
        <f>D.cost-B.cost</f>
        <v>0</v>
      </c>
      <c r="G4">
        <f>E.cost-B.cost</f>
        <v>0</v>
      </c>
      <c r="H4">
        <f>F.cost-B.cost</f>
        <v>0</v>
      </c>
      <c r="I4">
        <f>G.cost-B.cost</f>
        <v>0</v>
      </c>
      <c r="J4">
        <f>H.cost-B.cost</f>
        <v>0</v>
      </c>
      <c r="K4">
        <f>I.cost-B.cost</f>
        <v>0</v>
      </c>
      <c r="L4">
        <f>J.cost-B.cost</f>
        <v>0</v>
      </c>
      <c r="M4">
        <f>K.cost-B.cost</f>
        <v>0</v>
      </c>
      <c r="N4">
        <f>L.cost-B.cost</f>
        <v>0</v>
      </c>
      <c r="O4">
        <f>M.cost-B.cost</f>
        <v>0</v>
      </c>
      <c r="P4">
        <f>N.cost-B.cost</f>
        <v>0</v>
      </c>
      <c r="Q4">
        <f>O.cost-B.cost</f>
        <v>0</v>
      </c>
      <c r="R4">
        <f>P.cost-B.cost</f>
        <v>0</v>
      </c>
      <c r="S4">
        <f>Q.cost-B.cost</f>
        <v>0</v>
      </c>
      <c r="T4">
        <f>R.cost-B.cost</f>
        <v>0</v>
      </c>
      <c r="U4">
        <f>S.cost-B.cost</f>
        <v>0</v>
      </c>
      <c r="V4">
        <f>T.cost-B.cost</f>
        <v>0</v>
      </c>
      <c r="W4">
        <f>U.cost-B.cost</f>
        <v>0</v>
      </c>
      <c r="X4">
        <f>V.cost-B.cost</f>
        <v>0</v>
      </c>
      <c r="Y4">
        <f>W.cost-B.cost</f>
        <v>0</v>
      </c>
      <c r="Z4">
        <f>X.cost-B.cost</f>
        <v>0</v>
      </c>
      <c r="AA4">
        <f>Y.cost-B.cost</f>
        <v>0</v>
      </c>
      <c r="AB4">
        <f>Z.cost-B.cost</f>
        <v>0</v>
      </c>
      <c r="AD4" t="s">
        <v>4</v>
      </c>
      <c r="AE4" t="e">
        <f t="shared" ref="AE4:AE28" si="1">IF(ATAN2(C33,C4) &lt;0,ATAN2(C33,C4) + 2 * PI(),ATAN2(C33,C4)) *180/PI()</f>
        <v>#DIV/0!</v>
      </c>
      <c r="AF4" t="e">
        <f t="shared" si="0"/>
        <v>#DIV/0!</v>
      </c>
      <c r="AG4" t="e">
        <f t="shared" si="0"/>
        <v>#DIV/0!</v>
      </c>
      <c r="AH4" t="e">
        <f t="shared" si="0"/>
        <v>#DIV/0!</v>
      </c>
      <c r="AI4" t="e">
        <f t="shared" si="0"/>
        <v>#DIV/0!</v>
      </c>
      <c r="AJ4" t="e">
        <f t="shared" si="0"/>
        <v>#DIV/0!</v>
      </c>
      <c r="AK4" t="e">
        <f t="shared" si="0"/>
        <v>#DIV/0!</v>
      </c>
      <c r="AL4" t="e">
        <f t="shared" si="0"/>
        <v>#DIV/0!</v>
      </c>
      <c r="AM4" t="e">
        <f t="shared" si="0"/>
        <v>#DIV/0!</v>
      </c>
      <c r="AN4" t="e">
        <f t="shared" si="0"/>
        <v>#DIV/0!</v>
      </c>
      <c r="AO4" t="e">
        <f t="shared" si="0"/>
        <v>#DIV/0!</v>
      </c>
      <c r="AP4" t="e">
        <f t="shared" si="0"/>
        <v>#DIV/0!</v>
      </c>
      <c r="AQ4" t="e">
        <f t="shared" si="0"/>
        <v>#DIV/0!</v>
      </c>
      <c r="AR4" t="e">
        <f t="shared" si="0"/>
        <v>#DIV/0!</v>
      </c>
      <c r="AS4" t="e">
        <f t="shared" si="0"/>
        <v>#DIV/0!</v>
      </c>
      <c r="AT4" t="e">
        <f t="shared" si="0"/>
        <v>#DIV/0!</v>
      </c>
      <c r="AU4" t="e">
        <f t="shared" si="0"/>
        <v>#DIV/0!</v>
      </c>
      <c r="AV4" t="e">
        <f t="shared" si="0"/>
        <v>#DIV/0!</v>
      </c>
      <c r="AW4" t="e">
        <f t="shared" si="0"/>
        <v>#DIV/0!</v>
      </c>
      <c r="AX4" t="e">
        <f t="shared" si="0"/>
        <v>#DIV/0!</v>
      </c>
      <c r="AY4" t="e">
        <f t="shared" si="0"/>
        <v>#DIV/0!</v>
      </c>
      <c r="AZ4" t="e">
        <f t="shared" si="0"/>
        <v>#DIV/0!</v>
      </c>
      <c r="BA4" t="e">
        <f t="shared" si="0"/>
        <v>#DIV/0!</v>
      </c>
      <c r="BB4" t="e">
        <f t="shared" si="0"/>
        <v>#DIV/0!</v>
      </c>
      <c r="BC4" t="e">
        <f t="shared" si="0"/>
        <v>#DIV/0!</v>
      </c>
      <c r="BD4" t="e">
        <f t="shared" si="0"/>
        <v>#DIV/0!</v>
      </c>
    </row>
    <row r="5" spans="2:56" x14ac:dyDescent="0.25">
      <c r="B5" t="s">
        <v>5</v>
      </c>
      <c r="C5">
        <f>A.cost-C.cost</f>
        <v>0</v>
      </c>
      <c r="D5">
        <f>B.cost-C.cost</f>
        <v>0</v>
      </c>
      <c r="E5" s="1"/>
      <c r="F5">
        <f>D.cost-C.cost</f>
        <v>0</v>
      </c>
      <c r="G5">
        <f>E.cost-C.cost</f>
        <v>0</v>
      </c>
      <c r="H5">
        <f>F.cost-C.cost</f>
        <v>0</v>
      </c>
      <c r="I5">
        <f>G.cost-C.cost</f>
        <v>0</v>
      </c>
      <c r="J5">
        <f>H.cost-C.cost</f>
        <v>0</v>
      </c>
      <c r="K5">
        <f>I.cost-C.cost</f>
        <v>0</v>
      </c>
      <c r="L5">
        <f>J.cost-C.cost</f>
        <v>0</v>
      </c>
      <c r="M5">
        <f>K.cost-C.cost</f>
        <v>0</v>
      </c>
      <c r="N5">
        <f>L.cost-C.cost</f>
        <v>0</v>
      </c>
      <c r="O5">
        <f>M.cost-C.cost</f>
        <v>0</v>
      </c>
      <c r="P5">
        <f>N.cost-C.cost</f>
        <v>0</v>
      </c>
      <c r="Q5">
        <f>O.cost-C.cost</f>
        <v>0</v>
      </c>
      <c r="R5">
        <f>P.cost-C.cost</f>
        <v>0</v>
      </c>
      <c r="S5">
        <f>Q.cost-C.cost</f>
        <v>0</v>
      </c>
      <c r="T5">
        <f>R.cost-C.cost</f>
        <v>0</v>
      </c>
      <c r="U5">
        <f>S.cost-C.cost</f>
        <v>0</v>
      </c>
      <c r="V5">
        <f>T.cost-C.cost</f>
        <v>0</v>
      </c>
      <c r="W5">
        <f>U.cost-C.cost</f>
        <v>0</v>
      </c>
      <c r="X5">
        <f>V.cost-C.cost</f>
        <v>0</v>
      </c>
      <c r="Y5">
        <f>W.cost-C.cost</f>
        <v>0</v>
      </c>
      <c r="Z5">
        <f>X.cost-C.cost</f>
        <v>0</v>
      </c>
      <c r="AA5">
        <f>Y.cost-C.cost</f>
        <v>0</v>
      </c>
      <c r="AB5">
        <f>Z.cost-C.cost</f>
        <v>0</v>
      </c>
      <c r="AD5" t="s">
        <v>5</v>
      </c>
      <c r="AE5" t="e">
        <f t="shared" si="1"/>
        <v>#DIV/0!</v>
      </c>
      <c r="AF5" t="e">
        <f t="shared" si="0"/>
        <v>#DIV/0!</v>
      </c>
      <c r="AG5" t="e">
        <f t="shared" si="0"/>
        <v>#DIV/0!</v>
      </c>
      <c r="AH5" t="e">
        <f t="shared" si="0"/>
        <v>#DIV/0!</v>
      </c>
      <c r="AI5" t="e">
        <f t="shared" si="0"/>
        <v>#DIV/0!</v>
      </c>
      <c r="AJ5" t="e">
        <f t="shared" si="0"/>
        <v>#DIV/0!</v>
      </c>
      <c r="AK5" t="e">
        <f t="shared" si="0"/>
        <v>#DIV/0!</v>
      </c>
      <c r="AL5" t="e">
        <f t="shared" si="0"/>
        <v>#DIV/0!</v>
      </c>
      <c r="AM5" t="e">
        <f t="shared" si="0"/>
        <v>#DIV/0!</v>
      </c>
      <c r="AN5" t="e">
        <f t="shared" si="0"/>
        <v>#DIV/0!</v>
      </c>
      <c r="AO5" t="e">
        <f t="shared" si="0"/>
        <v>#DIV/0!</v>
      </c>
      <c r="AP5" t="e">
        <f t="shared" si="0"/>
        <v>#DIV/0!</v>
      </c>
      <c r="AQ5" t="e">
        <f t="shared" si="0"/>
        <v>#DIV/0!</v>
      </c>
      <c r="AR5" t="e">
        <f t="shared" si="0"/>
        <v>#DIV/0!</v>
      </c>
      <c r="AS5" t="e">
        <f t="shared" si="0"/>
        <v>#DIV/0!</v>
      </c>
      <c r="AT5" t="e">
        <f t="shared" si="0"/>
        <v>#DIV/0!</v>
      </c>
      <c r="AU5" t="e">
        <f t="shared" si="0"/>
        <v>#DIV/0!</v>
      </c>
      <c r="AV5" t="e">
        <f t="shared" si="0"/>
        <v>#DIV/0!</v>
      </c>
      <c r="AW5" t="e">
        <f t="shared" si="0"/>
        <v>#DIV/0!</v>
      </c>
      <c r="AX5" t="e">
        <f t="shared" si="0"/>
        <v>#DIV/0!</v>
      </c>
      <c r="AY5" t="e">
        <f t="shared" si="0"/>
        <v>#DIV/0!</v>
      </c>
      <c r="AZ5" t="e">
        <f t="shared" si="0"/>
        <v>#DIV/0!</v>
      </c>
      <c r="BA5" t="e">
        <f t="shared" si="0"/>
        <v>#DIV/0!</v>
      </c>
      <c r="BB5" t="e">
        <f t="shared" si="0"/>
        <v>#DIV/0!</v>
      </c>
      <c r="BC5" t="e">
        <f t="shared" si="0"/>
        <v>#DIV/0!</v>
      </c>
      <c r="BD5" t="e">
        <f t="shared" si="0"/>
        <v>#DIV/0!</v>
      </c>
    </row>
    <row r="6" spans="2:56" x14ac:dyDescent="0.25">
      <c r="B6" t="s">
        <v>6</v>
      </c>
      <c r="C6">
        <f>A.cost-D.cost</f>
        <v>0</v>
      </c>
      <c r="D6">
        <f>B.cost-D.cost</f>
        <v>0</v>
      </c>
      <c r="E6">
        <f>C.cost-D.cost</f>
        <v>0</v>
      </c>
      <c r="F6" s="1"/>
      <c r="G6">
        <f>E.cost-D.cost</f>
        <v>0</v>
      </c>
      <c r="H6">
        <f>F.cost-D.cost</f>
        <v>0</v>
      </c>
      <c r="I6">
        <f>G.cost - D.cost</f>
        <v>0</v>
      </c>
      <c r="J6">
        <f>H.cost-D.cost</f>
        <v>0</v>
      </c>
      <c r="K6">
        <f>I.cost-D.cost</f>
        <v>0</v>
      </c>
      <c r="L6">
        <f>J.cost-D.cost</f>
        <v>0</v>
      </c>
      <c r="M6">
        <f>K.cost-D.cost</f>
        <v>0</v>
      </c>
      <c r="N6">
        <f>L.cost-D.cost</f>
        <v>0</v>
      </c>
      <c r="O6">
        <f>M.cost-D.cost</f>
        <v>0</v>
      </c>
      <c r="P6">
        <f>N.cost-D.cost</f>
        <v>0</v>
      </c>
      <c r="Q6">
        <f>O.cost-D.cost</f>
        <v>0</v>
      </c>
      <c r="R6">
        <f>P.cost-D.cost</f>
        <v>0</v>
      </c>
      <c r="S6">
        <f>Q.cost-D.cost</f>
        <v>0</v>
      </c>
      <c r="T6">
        <f>R.cost-D.cost</f>
        <v>0</v>
      </c>
      <c r="U6">
        <f>S.cost-D.cost</f>
        <v>0</v>
      </c>
      <c r="V6">
        <f>T.cost-D.cost</f>
        <v>0</v>
      </c>
      <c r="W6">
        <f>U.cost-D.cost</f>
        <v>0</v>
      </c>
      <c r="X6">
        <f>V.cost-D.cost</f>
        <v>0</v>
      </c>
      <c r="Y6">
        <f>W.cost-D.cost</f>
        <v>0</v>
      </c>
      <c r="Z6">
        <f>X.cost-D.cost</f>
        <v>0</v>
      </c>
      <c r="AA6">
        <f>Y.cost-D.cost</f>
        <v>0</v>
      </c>
      <c r="AB6">
        <f>Z.cost-D.cost</f>
        <v>0</v>
      </c>
      <c r="AD6" t="s">
        <v>6</v>
      </c>
      <c r="AE6" t="e">
        <f t="shared" si="1"/>
        <v>#DIV/0!</v>
      </c>
      <c r="AF6" t="e">
        <f t="shared" si="0"/>
        <v>#DIV/0!</v>
      </c>
      <c r="AG6" t="e">
        <f t="shared" si="0"/>
        <v>#DIV/0!</v>
      </c>
      <c r="AH6" t="e">
        <f t="shared" si="0"/>
        <v>#DIV/0!</v>
      </c>
      <c r="AI6" t="e">
        <f t="shared" si="0"/>
        <v>#DIV/0!</v>
      </c>
      <c r="AJ6" t="e">
        <f t="shared" si="0"/>
        <v>#DIV/0!</v>
      </c>
      <c r="AK6" t="e">
        <f t="shared" si="0"/>
        <v>#DIV/0!</v>
      </c>
      <c r="AL6" t="e">
        <f t="shared" si="0"/>
        <v>#DIV/0!</v>
      </c>
      <c r="AM6" t="e">
        <f t="shared" si="0"/>
        <v>#DIV/0!</v>
      </c>
      <c r="AN6" t="e">
        <f t="shared" si="0"/>
        <v>#DIV/0!</v>
      </c>
      <c r="AO6" t="e">
        <f t="shared" si="0"/>
        <v>#DIV/0!</v>
      </c>
      <c r="AP6" t="e">
        <f t="shared" si="0"/>
        <v>#DIV/0!</v>
      </c>
      <c r="AQ6" t="e">
        <f t="shared" si="0"/>
        <v>#DIV/0!</v>
      </c>
      <c r="AR6" t="e">
        <f t="shared" si="0"/>
        <v>#DIV/0!</v>
      </c>
      <c r="AS6" t="e">
        <f t="shared" si="0"/>
        <v>#DIV/0!</v>
      </c>
      <c r="AT6" t="e">
        <f t="shared" si="0"/>
        <v>#DIV/0!</v>
      </c>
      <c r="AU6" t="e">
        <f t="shared" si="0"/>
        <v>#DIV/0!</v>
      </c>
      <c r="AV6" t="e">
        <f t="shared" si="0"/>
        <v>#DIV/0!</v>
      </c>
      <c r="AW6" t="e">
        <f t="shared" si="0"/>
        <v>#DIV/0!</v>
      </c>
      <c r="AX6" t="e">
        <f t="shared" si="0"/>
        <v>#DIV/0!</v>
      </c>
      <c r="AY6" t="e">
        <f t="shared" si="0"/>
        <v>#DIV/0!</v>
      </c>
      <c r="AZ6" t="e">
        <f t="shared" si="0"/>
        <v>#DIV/0!</v>
      </c>
      <c r="BA6" t="e">
        <f t="shared" si="0"/>
        <v>#DIV/0!</v>
      </c>
      <c r="BB6" t="e">
        <f t="shared" si="0"/>
        <v>#DIV/0!</v>
      </c>
      <c r="BC6" t="e">
        <f t="shared" si="0"/>
        <v>#DIV/0!</v>
      </c>
      <c r="BD6" t="e">
        <f t="shared" si="0"/>
        <v>#DIV/0!</v>
      </c>
    </row>
    <row r="7" spans="2:56" x14ac:dyDescent="0.25">
      <c r="B7" t="s">
        <v>7</v>
      </c>
      <c r="C7">
        <f>A.cost-E.cost</f>
        <v>0</v>
      </c>
      <c r="D7">
        <f>B.cost-E.cost</f>
        <v>0</v>
      </c>
      <c r="E7">
        <f>C.cost-E.cost</f>
        <v>0</v>
      </c>
      <c r="F7">
        <f>D.cost-E.cost</f>
        <v>0</v>
      </c>
      <c r="G7" s="1"/>
      <c r="H7">
        <f>F.cost-E.cost</f>
        <v>0</v>
      </c>
      <c r="I7">
        <f>G.cost - E.cost</f>
        <v>0</v>
      </c>
      <c r="J7">
        <f>H.cost-E.cost</f>
        <v>0</v>
      </c>
      <c r="K7">
        <f>I.cost-E.cost</f>
        <v>0</v>
      </c>
      <c r="L7">
        <f>J.cost-E.cost</f>
        <v>0</v>
      </c>
      <c r="M7">
        <f>K.cost-E.cost</f>
        <v>0</v>
      </c>
      <c r="N7">
        <f>L.cost-E.cost</f>
        <v>0</v>
      </c>
      <c r="O7">
        <f>M.cost-E.cost</f>
        <v>0</v>
      </c>
      <c r="P7">
        <f>N.cost-E.cost</f>
        <v>0</v>
      </c>
      <c r="Q7">
        <f>O.cost-E.cost</f>
        <v>0</v>
      </c>
      <c r="R7">
        <f>P.cost-E.cost</f>
        <v>0</v>
      </c>
      <c r="S7">
        <f>Q.cost-E.cost</f>
        <v>0</v>
      </c>
      <c r="T7">
        <f>R.cost-E.cost</f>
        <v>0</v>
      </c>
      <c r="U7">
        <f>S.cost-E.cost</f>
        <v>0</v>
      </c>
      <c r="V7">
        <f>T.cost-E.cost</f>
        <v>0</v>
      </c>
      <c r="W7">
        <f>U.cost-E.cost</f>
        <v>0</v>
      </c>
      <c r="X7">
        <f>V.cost-E.cost</f>
        <v>0</v>
      </c>
      <c r="Y7">
        <f>W.cost-E.cost</f>
        <v>0</v>
      </c>
      <c r="Z7">
        <f>X.cost-E.cost</f>
        <v>0</v>
      </c>
      <c r="AA7">
        <f>Y.cost-E.cost</f>
        <v>0</v>
      </c>
      <c r="AB7">
        <f>Z.cost-E.cost</f>
        <v>0</v>
      </c>
      <c r="AD7" t="s">
        <v>7</v>
      </c>
      <c r="AE7" t="e">
        <f t="shared" si="1"/>
        <v>#DIV/0!</v>
      </c>
      <c r="AF7" t="e">
        <f t="shared" si="0"/>
        <v>#DIV/0!</v>
      </c>
      <c r="AG7" t="e">
        <f t="shared" si="0"/>
        <v>#DIV/0!</v>
      </c>
      <c r="AH7" t="e">
        <f t="shared" si="0"/>
        <v>#DIV/0!</v>
      </c>
      <c r="AI7" t="e">
        <f t="shared" si="0"/>
        <v>#DIV/0!</v>
      </c>
      <c r="AJ7" t="e">
        <f t="shared" si="0"/>
        <v>#DIV/0!</v>
      </c>
      <c r="AK7" t="e">
        <f t="shared" si="0"/>
        <v>#DIV/0!</v>
      </c>
      <c r="AL7" t="e">
        <f t="shared" si="0"/>
        <v>#DIV/0!</v>
      </c>
      <c r="AM7" t="e">
        <f t="shared" si="0"/>
        <v>#DIV/0!</v>
      </c>
      <c r="AN7" t="e">
        <f t="shared" si="0"/>
        <v>#DIV/0!</v>
      </c>
      <c r="AO7" t="e">
        <f t="shared" si="0"/>
        <v>#DIV/0!</v>
      </c>
      <c r="AP7" t="e">
        <f t="shared" si="0"/>
        <v>#DIV/0!</v>
      </c>
      <c r="AQ7" t="e">
        <f t="shared" si="0"/>
        <v>#DIV/0!</v>
      </c>
      <c r="AR7" t="e">
        <f t="shared" si="0"/>
        <v>#DIV/0!</v>
      </c>
      <c r="AS7" t="e">
        <f t="shared" si="0"/>
        <v>#DIV/0!</v>
      </c>
      <c r="AT7" t="e">
        <f t="shared" si="0"/>
        <v>#DIV/0!</v>
      </c>
      <c r="AU7" t="e">
        <f t="shared" si="0"/>
        <v>#DIV/0!</v>
      </c>
      <c r="AV7" t="e">
        <f t="shared" si="0"/>
        <v>#DIV/0!</v>
      </c>
      <c r="AW7" t="e">
        <f t="shared" si="0"/>
        <v>#DIV/0!</v>
      </c>
      <c r="AX7" t="e">
        <f t="shared" si="0"/>
        <v>#DIV/0!</v>
      </c>
      <c r="AY7" t="e">
        <f t="shared" si="0"/>
        <v>#DIV/0!</v>
      </c>
      <c r="AZ7" t="e">
        <f t="shared" si="0"/>
        <v>#DIV/0!</v>
      </c>
      <c r="BA7" t="e">
        <f t="shared" si="0"/>
        <v>#DIV/0!</v>
      </c>
      <c r="BB7" t="e">
        <f t="shared" si="0"/>
        <v>#DIV/0!</v>
      </c>
      <c r="BC7" t="e">
        <f t="shared" si="0"/>
        <v>#DIV/0!</v>
      </c>
      <c r="BD7" t="e">
        <f t="shared" si="0"/>
        <v>#DIV/0!</v>
      </c>
    </row>
    <row r="8" spans="2:56" x14ac:dyDescent="0.25">
      <c r="B8" t="s">
        <v>8</v>
      </c>
      <c r="C8">
        <f>A.cost-F.cost</f>
        <v>0</v>
      </c>
      <c r="D8">
        <f>B.cost-F.cost</f>
        <v>0</v>
      </c>
      <c r="E8">
        <f>C.cost-F.cost</f>
        <v>0</v>
      </c>
      <c r="F8">
        <f>D.cost-F.cost</f>
        <v>0</v>
      </c>
      <c r="G8" s="2">
        <f>E.cost-F.cost</f>
        <v>0</v>
      </c>
      <c r="H8" s="1"/>
      <c r="I8">
        <f>G.cost - F.cost</f>
        <v>0</v>
      </c>
      <c r="J8">
        <f>H.cost-F.cost</f>
        <v>0</v>
      </c>
      <c r="K8">
        <f>I.cost-F.cost</f>
        <v>0</v>
      </c>
      <c r="L8">
        <f>J.cost-F.cost</f>
        <v>0</v>
      </c>
      <c r="M8">
        <f>K.cost-F.cost</f>
        <v>0</v>
      </c>
      <c r="N8">
        <f>L.cost-F.cost</f>
        <v>0</v>
      </c>
      <c r="O8">
        <f>M.cost-F.cost</f>
        <v>0</v>
      </c>
      <c r="P8">
        <f>N.cost-F.cost</f>
        <v>0</v>
      </c>
      <c r="Q8">
        <f>O.cost-F.cost</f>
        <v>0</v>
      </c>
      <c r="R8">
        <f>P.cost-F.cost</f>
        <v>0</v>
      </c>
      <c r="S8">
        <f>Q.cost-F.cost</f>
        <v>0</v>
      </c>
      <c r="T8">
        <f>R.cost-F.cost</f>
        <v>0</v>
      </c>
      <c r="U8">
        <f>S.cost-F.cost</f>
        <v>0</v>
      </c>
      <c r="V8">
        <f>T.cost-F.cost</f>
        <v>0</v>
      </c>
      <c r="W8">
        <f>U.cost-F.cost</f>
        <v>0</v>
      </c>
      <c r="X8">
        <f>V.cost-F.cost</f>
        <v>0</v>
      </c>
      <c r="Y8">
        <f>W.cost-F.cost</f>
        <v>0</v>
      </c>
      <c r="Z8">
        <f>X.cost-F.cost</f>
        <v>0</v>
      </c>
      <c r="AA8">
        <f>Y.cost-F.cost</f>
        <v>0</v>
      </c>
      <c r="AB8">
        <f>Z.cost-F.cost</f>
        <v>0</v>
      </c>
      <c r="AD8" t="s">
        <v>8</v>
      </c>
      <c r="AE8" t="e">
        <f t="shared" si="1"/>
        <v>#DIV/0!</v>
      </c>
      <c r="AF8" t="e">
        <f t="shared" si="0"/>
        <v>#DIV/0!</v>
      </c>
      <c r="AG8" t="e">
        <f t="shared" si="0"/>
        <v>#DIV/0!</v>
      </c>
      <c r="AH8" t="e">
        <f t="shared" si="0"/>
        <v>#DIV/0!</v>
      </c>
      <c r="AI8" t="e">
        <f t="shared" si="0"/>
        <v>#DIV/0!</v>
      </c>
      <c r="AJ8" t="e">
        <f t="shared" si="0"/>
        <v>#DIV/0!</v>
      </c>
      <c r="AK8" t="e">
        <f t="shared" si="0"/>
        <v>#DIV/0!</v>
      </c>
      <c r="AL8" t="e">
        <f t="shared" si="0"/>
        <v>#DIV/0!</v>
      </c>
      <c r="AM8" t="e">
        <f t="shared" si="0"/>
        <v>#DIV/0!</v>
      </c>
      <c r="AN8" t="e">
        <f t="shared" si="0"/>
        <v>#DIV/0!</v>
      </c>
      <c r="AO8" t="e">
        <f t="shared" si="0"/>
        <v>#DIV/0!</v>
      </c>
      <c r="AP8" t="e">
        <f t="shared" si="0"/>
        <v>#DIV/0!</v>
      </c>
      <c r="AQ8" t="e">
        <f t="shared" si="0"/>
        <v>#DIV/0!</v>
      </c>
      <c r="AR8" t="e">
        <f t="shared" si="0"/>
        <v>#DIV/0!</v>
      </c>
      <c r="AS8" t="e">
        <f t="shared" si="0"/>
        <v>#DIV/0!</v>
      </c>
      <c r="AT8" t="e">
        <f t="shared" si="0"/>
        <v>#DIV/0!</v>
      </c>
      <c r="AU8" t="e">
        <f t="shared" si="0"/>
        <v>#DIV/0!</v>
      </c>
      <c r="AV8" t="e">
        <f t="shared" si="0"/>
        <v>#DIV/0!</v>
      </c>
      <c r="AW8" t="e">
        <f t="shared" si="0"/>
        <v>#DIV/0!</v>
      </c>
      <c r="AX8" t="e">
        <f t="shared" si="0"/>
        <v>#DIV/0!</v>
      </c>
      <c r="AY8" t="e">
        <f t="shared" si="0"/>
        <v>#DIV/0!</v>
      </c>
      <c r="AZ8" t="e">
        <f t="shared" si="0"/>
        <v>#DIV/0!</v>
      </c>
      <c r="BA8" t="e">
        <f t="shared" si="0"/>
        <v>#DIV/0!</v>
      </c>
      <c r="BB8" t="e">
        <f t="shared" si="0"/>
        <v>#DIV/0!</v>
      </c>
      <c r="BC8" t="e">
        <f t="shared" si="0"/>
        <v>#DIV/0!</v>
      </c>
      <c r="BD8" t="e">
        <f t="shared" si="0"/>
        <v>#DIV/0!</v>
      </c>
    </row>
    <row r="9" spans="2:56" x14ac:dyDescent="0.25">
      <c r="B9" t="s">
        <v>9</v>
      </c>
      <c r="C9">
        <f>A.cost-G.cost</f>
        <v>0</v>
      </c>
      <c r="D9">
        <f>B.cost-G.cost</f>
        <v>0</v>
      </c>
      <c r="E9">
        <f>C.cost-G.cost</f>
        <v>0</v>
      </c>
      <c r="F9">
        <f>D.cost - G.cost</f>
        <v>0</v>
      </c>
      <c r="G9">
        <f>E.cost-G.cost</f>
        <v>0</v>
      </c>
      <c r="H9">
        <f>F.cost-G.cost</f>
        <v>0</v>
      </c>
      <c r="I9" s="1"/>
      <c r="J9">
        <f>H.cost-G.cost</f>
        <v>0</v>
      </c>
      <c r="K9">
        <f>I.cost-G.cost</f>
        <v>0</v>
      </c>
      <c r="L9">
        <f>J.cost-G.cost</f>
        <v>0</v>
      </c>
      <c r="M9">
        <f>K.cost-G.cost</f>
        <v>0</v>
      </c>
      <c r="N9">
        <f>L.cost-G.cost</f>
        <v>0</v>
      </c>
      <c r="O9">
        <f>M.cost-G.cost</f>
        <v>0</v>
      </c>
      <c r="P9">
        <f>N.cost-G.cost</f>
        <v>0</v>
      </c>
      <c r="Q9">
        <f>O.cost-G.cost</f>
        <v>0</v>
      </c>
      <c r="R9">
        <f>P.cost-G.cost</f>
        <v>0</v>
      </c>
      <c r="S9">
        <f>Q.cost-G.cost</f>
        <v>0</v>
      </c>
      <c r="T9">
        <f>R.cost-G.cost</f>
        <v>0</v>
      </c>
      <c r="U9">
        <f>S.cost-G.cost</f>
        <v>0</v>
      </c>
      <c r="V9">
        <f>T.cost-G.cost</f>
        <v>0</v>
      </c>
      <c r="W9">
        <f>U.cost-G.cost</f>
        <v>0</v>
      </c>
      <c r="X9">
        <f>V.cost-G.cost</f>
        <v>0</v>
      </c>
      <c r="Y9">
        <f>W.cost-G.cost</f>
        <v>0</v>
      </c>
      <c r="Z9">
        <f>X.cost-G.cost</f>
        <v>0</v>
      </c>
      <c r="AA9">
        <f>Y.cost-G.cost</f>
        <v>0</v>
      </c>
      <c r="AB9">
        <f>Z.cost-G.cost</f>
        <v>0</v>
      </c>
      <c r="AD9" t="s">
        <v>9</v>
      </c>
      <c r="AE9" t="e">
        <f t="shared" si="1"/>
        <v>#DIV/0!</v>
      </c>
      <c r="AF9" t="e">
        <f t="shared" si="0"/>
        <v>#DIV/0!</v>
      </c>
      <c r="AG9" t="e">
        <f t="shared" si="0"/>
        <v>#DIV/0!</v>
      </c>
      <c r="AH9" t="e">
        <f t="shared" si="0"/>
        <v>#DIV/0!</v>
      </c>
      <c r="AI9" t="e">
        <f t="shared" si="0"/>
        <v>#DIV/0!</v>
      </c>
      <c r="AJ9" t="e">
        <f t="shared" si="0"/>
        <v>#DIV/0!</v>
      </c>
      <c r="AK9" t="e">
        <f t="shared" si="0"/>
        <v>#DIV/0!</v>
      </c>
      <c r="AL9" t="e">
        <f t="shared" si="0"/>
        <v>#DIV/0!</v>
      </c>
      <c r="AM9" t="e">
        <f t="shared" si="0"/>
        <v>#DIV/0!</v>
      </c>
      <c r="AN9" t="e">
        <f t="shared" si="0"/>
        <v>#DIV/0!</v>
      </c>
      <c r="AO9" t="e">
        <f t="shared" si="0"/>
        <v>#DIV/0!</v>
      </c>
      <c r="AP9" t="e">
        <f t="shared" si="0"/>
        <v>#DIV/0!</v>
      </c>
      <c r="AQ9" t="e">
        <f t="shared" si="0"/>
        <v>#DIV/0!</v>
      </c>
      <c r="AR9" t="e">
        <f t="shared" si="0"/>
        <v>#DIV/0!</v>
      </c>
      <c r="AS9" t="e">
        <f t="shared" si="0"/>
        <v>#DIV/0!</v>
      </c>
      <c r="AT9" t="e">
        <f t="shared" si="0"/>
        <v>#DIV/0!</v>
      </c>
      <c r="AU9" t="e">
        <f t="shared" si="0"/>
        <v>#DIV/0!</v>
      </c>
      <c r="AV9" t="e">
        <f t="shared" si="0"/>
        <v>#DIV/0!</v>
      </c>
      <c r="AW9" t="e">
        <f t="shared" si="0"/>
        <v>#DIV/0!</v>
      </c>
      <c r="AX9" t="e">
        <f t="shared" si="0"/>
        <v>#DIV/0!</v>
      </c>
      <c r="AY9" t="e">
        <f t="shared" si="0"/>
        <v>#DIV/0!</v>
      </c>
      <c r="AZ9" t="e">
        <f t="shared" si="0"/>
        <v>#DIV/0!</v>
      </c>
      <c r="BA9" t="e">
        <f t="shared" si="0"/>
        <v>#DIV/0!</v>
      </c>
      <c r="BB9" t="e">
        <f t="shared" si="0"/>
        <v>#DIV/0!</v>
      </c>
      <c r="BC9" t="e">
        <f t="shared" si="0"/>
        <v>#DIV/0!</v>
      </c>
      <c r="BD9" t="e">
        <f t="shared" si="0"/>
        <v>#DIV/0!</v>
      </c>
    </row>
    <row r="10" spans="2:56" x14ac:dyDescent="0.25">
      <c r="B10" t="s">
        <v>10</v>
      </c>
      <c r="C10">
        <f>A.cost-H.cost</f>
        <v>0</v>
      </c>
      <c r="D10">
        <f>B.cost-H.cost</f>
        <v>0</v>
      </c>
      <c r="E10">
        <f>C.cost-H.cost</f>
        <v>0</v>
      </c>
      <c r="F10">
        <f>D.cost - H.cost</f>
        <v>0</v>
      </c>
      <c r="G10">
        <f>E.cost-H.cost</f>
        <v>0</v>
      </c>
      <c r="H10">
        <f>F.cost-H.cost</f>
        <v>0</v>
      </c>
      <c r="I10">
        <f>G.cost - H.cost</f>
        <v>0</v>
      </c>
      <c r="J10" s="1"/>
      <c r="K10">
        <f>I.cost-H.cost</f>
        <v>0</v>
      </c>
      <c r="L10">
        <f>J.cost-H.cost</f>
        <v>0</v>
      </c>
      <c r="M10">
        <f>K.cost-H.cost</f>
        <v>0</v>
      </c>
      <c r="N10">
        <f>L.cost-H.cost</f>
        <v>0</v>
      </c>
      <c r="O10">
        <f>M.cost-H.cost</f>
        <v>0</v>
      </c>
      <c r="P10">
        <f>N.cost-H.cost</f>
        <v>0</v>
      </c>
      <c r="Q10">
        <f>O.cost-H.cost</f>
        <v>0</v>
      </c>
      <c r="R10">
        <f>P.cost-H.cost</f>
        <v>0</v>
      </c>
      <c r="S10">
        <f>Q.cost-H.cost</f>
        <v>0</v>
      </c>
      <c r="T10">
        <f>R.cost-H.cost</f>
        <v>0</v>
      </c>
      <c r="U10">
        <f>S.cost-H.cost</f>
        <v>0</v>
      </c>
      <c r="V10">
        <f>T.cost-H.cost</f>
        <v>0</v>
      </c>
      <c r="W10">
        <f>U.cost-H.cost</f>
        <v>0</v>
      </c>
      <c r="X10">
        <f>V.cost-H.cost</f>
        <v>0</v>
      </c>
      <c r="Y10">
        <f>W.cost-H.cost</f>
        <v>0</v>
      </c>
      <c r="Z10">
        <f>X.cost-H.cost</f>
        <v>0</v>
      </c>
      <c r="AA10">
        <f>Y.cost-H.cost</f>
        <v>0</v>
      </c>
      <c r="AB10">
        <f>Z.cost-H.cost</f>
        <v>0</v>
      </c>
      <c r="AD10" t="s">
        <v>10</v>
      </c>
      <c r="AE10" t="e">
        <f t="shared" si="1"/>
        <v>#DIV/0!</v>
      </c>
      <c r="AF10" t="e">
        <f t="shared" si="0"/>
        <v>#DIV/0!</v>
      </c>
      <c r="AG10" t="e">
        <f t="shared" si="0"/>
        <v>#DIV/0!</v>
      </c>
      <c r="AH10" t="e">
        <f t="shared" si="0"/>
        <v>#DIV/0!</v>
      </c>
      <c r="AI10" t="e">
        <f t="shared" si="0"/>
        <v>#DIV/0!</v>
      </c>
      <c r="AJ10" t="e">
        <f t="shared" si="0"/>
        <v>#DIV/0!</v>
      </c>
      <c r="AK10" t="e">
        <f t="shared" si="0"/>
        <v>#DIV/0!</v>
      </c>
      <c r="AL10" t="e">
        <f t="shared" si="0"/>
        <v>#DIV/0!</v>
      </c>
      <c r="AM10" t="e">
        <f t="shared" si="0"/>
        <v>#DIV/0!</v>
      </c>
      <c r="AN10" t="e">
        <f t="shared" si="0"/>
        <v>#DIV/0!</v>
      </c>
      <c r="AO10" t="e">
        <f t="shared" si="0"/>
        <v>#DIV/0!</v>
      </c>
      <c r="AP10" t="e">
        <f t="shared" si="0"/>
        <v>#DIV/0!</v>
      </c>
      <c r="AQ10" t="e">
        <f t="shared" si="0"/>
        <v>#DIV/0!</v>
      </c>
      <c r="AR10" t="e">
        <f t="shared" si="0"/>
        <v>#DIV/0!</v>
      </c>
      <c r="AS10" t="e">
        <f t="shared" si="0"/>
        <v>#DIV/0!</v>
      </c>
      <c r="AT10" t="e">
        <f t="shared" si="0"/>
        <v>#DIV/0!</v>
      </c>
      <c r="AU10" t="e">
        <f t="shared" si="0"/>
        <v>#DIV/0!</v>
      </c>
      <c r="AV10" t="e">
        <f t="shared" si="0"/>
        <v>#DIV/0!</v>
      </c>
      <c r="AW10" t="e">
        <f t="shared" si="0"/>
        <v>#DIV/0!</v>
      </c>
      <c r="AX10" t="e">
        <f t="shared" si="0"/>
        <v>#DIV/0!</v>
      </c>
      <c r="AY10" t="e">
        <f t="shared" si="0"/>
        <v>#DIV/0!</v>
      </c>
      <c r="AZ10" t="e">
        <f t="shared" si="0"/>
        <v>#DIV/0!</v>
      </c>
      <c r="BA10" t="e">
        <f t="shared" si="0"/>
        <v>#DIV/0!</v>
      </c>
      <c r="BB10" t="e">
        <f t="shared" si="0"/>
        <v>#DIV/0!</v>
      </c>
      <c r="BC10" t="e">
        <f t="shared" si="0"/>
        <v>#DIV/0!</v>
      </c>
      <c r="BD10" t="e">
        <f t="shared" si="0"/>
        <v>#DIV/0!</v>
      </c>
    </row>
    <row r="11" spans="2:56" x14ac:dyDescent="0.25">
      <c r="B11" t="s">
        <v>11</v>
      </c>
      <c r="C11">
        <f>A.cost-I.cost</f>
        <v>0</v>
      </c>
      <c r="D11">
        <f>B.cost-I.cost</f>
        <v>0</v>
      </c>
      <c r="E11">
        <f>C.cost- I.cost</f>
        <v>0</v>
      </c>
      <c r="F11">
        <f>D.cost - I.cost</f>
        <v>0</v>
      </c>
      <c r="G11">
        <f>E.cost-I.cost</f>
        <v>0</v>
      </c>
      <c r="H11">
        <f>F.cost-I.cost</f>
        <v>0</v>
      </c>
      <c r="I11">
        <f>G.cost - I.cost</f>
        <v>0</v>
      </c>
      <c r="J11">
        <f>H.cost-I.cost</f>
        <v>0</v>
      </c>
      <c r="K11" s="1"/>
      <c r="L11">
        <f>J.cost-I.cost</f>
        <v>0</v>
      </c>
      <c r="M11">
        <f>K.cost-I.cost</f>
        <v>0</v>
      </c>
      <c r="N11">
        <f>L.cost-I.cost</f>
        <v>0</v>
      </c>
      <c r="O11">
        <f>M.cost-I.cost</f>
        <v>0</v>
      </c>
      <c r="P11">
        <f>N.cost-I.cost</f>
        <v>0</v>
      </c>
      <c r="Q11">
        <f>O.cost-I.cost</f>
        <v>0</v>
      </c>
      <c r="R11">
        <f>P.cost-I.cost</f>
        <v>0</v>
      </c>
      <c r="S11">
        <f>Q.cost-I.cost</f>
        <v>0</v>
      </c>
      <c r="T11">
        <f>R.cost-I.cost</f>
        <v>0</v>
      </c>
      <c r="U11">
        <f>S.cost-I.cost</f>
        <v>0</v>
      </c>
      <c r="V11">
        <f>T.cost-I.cost</f>
        <v>0</v>
      </c>
      <c r="W11">
        <f>U.cost-I.cost</f>
        <v>0</v>
      </c>
      <c r="X11">
        <f>V.cost-I.cost</f>
        <v>0</v>
      </c>
      <c r="Y11">
        <f>W.cost-I.cost</f>
        <v>0</v>
      </c>
      <c r="Z11">
        <f>X.cost-I.cost</f>
        <v>0</v>
      </c>
      <c r="AA11">
        <f>Y.cost-I.cost</f>
        <v>0</v>
      </c>
      <c r="AB11">
        <f>Z.cost-I.cost</f>
        <v>0</v>
      </c>
      <c r="AD11" t="s">
        <v>11</v>
      </c>
      <c r="AE11" t="e">
        <f t="shared" si="1"/>
        <v>#DIV/0!</v>
      </c>
      <c r="AF11" t="e">
        <f t="shared" si="0"/>
        <v>#DIV/0!</v>
      </c>
      <c r="AG11" t="e">
        <f t="shared" si="0"/>
        <v>#DIV/0!</v>
      </c>
      <c r="AH11" t="e">
        <f t="shared" si="0"/>
        <v>#DIV/0!</v>
      </c>
      <c r="AI11" t="e">
        <f t="shared" si="0"/>
        <v>#DIV/0!</v>
      </c>
      <c r="AJ11" t="e">
        <f t="shared" si="0"/>
        <v>#DIV/0!</v>
      </c>
      <c r="AK11" t="e">
        <f t="shared" si="0"/>
        <v>#DIV/0!</v>
      </c>
      <c r="AL11" t="e">
        <f t="shared" si="0"/>
        <v>#DIV/0!</v>
      </c>
      <c r="AM11" t="e">
        <f t="shared" si="0"/>
        <v>#DIV/0!</v>
      </c>
      <c r="AN11" t="e">
        <f t="shared" si="0"/>
        <v>#DIV/0!</v>
      </c>
      <c r="AO11" t="e">
        <f t="shared" si="0"/>
        <v>#DIV/0!</v>
      </c>
      <c r="AP11" t="e">
        <f t="shared" si="0"/>
        <v>#DIV/0!</v>
      </c>
      <c r="AQ11" t="e">
        <f t="shared" si="0"/>
        <v>#DIV/0!</v>
      </c>
      <c r="AR11" t="e">
        <f t="shared" si="0"/>
        <v>#DIV/0!</v>
      </c>
      <c r="AS11" t="e">
        <f t="shared" si="0"/>
        <v>#DIV/0!</v>
      </c>
      <c r="AT11" t="e">
        <f t="shared" si="0"/>
        <v>#DIV/0!</v>
      </c>
      <c r="AU11" t="e">
        <f t="shared" si="0"/>
        <v>#DIV/0!</v>
      </c>
      <c r="AV11" t="e">
        <f t="shared" si="0"/>
        <v>#DIV/0!</v>
      </c>
      <c r="AW11" t="e">
        <f t="shared" si="0"/>
        <v>#DIV/0!</v>
      </c>
      <c r="AX11" t="e">
        <f t="shared" si="0"/>
        <v>#DIV/0!</v>
      </c>
      <c r="AY11" t="e">
        <f t="shared" si="0"/>
        <v>#DIV/0!</v>
      </c>
      <c r="AZ11" t="e">
        <f t="shared" si="0"/>
        <v>#DIV/0!</v>
      </c>
      <c r="BA11" t="e">
        <f t="shared" si="0"/>
        <v>#DIV/0!</v>
      </c>
      <c r="BB11" t="e">
        <f t="shared" si="0"/>
        <v>#DIV/0!</v>
      </c>
      <c r="BC11" t="e">
        <f t="shared" si="0"/>
        <v>#DIV/0!</v>
      </c>
      <c r="BD11" t="e">
        <f t="shared" si="0"/>
        <v>#DIV/0!</v>
      </c>
    </row>
    <row r="12" spans="2:56" x14ac:dyDescent="0.25">
      <c r="B12" t="s">
        <v>12</v>
      </c>
      <c r="C12">
        <f>A.cost-J.cost</f>
        <v>0</v>
      </c>
      <c r="D12">
        <f>B.cost-J.cost</f>
        <v>0</v>
      </c>
      <c r="E12">
        <f xml:space="preserve"> C.cost - J.cost</f>
        <v>0</v>
      </c>
      <c r="F12">
        <f>D.cost - J.cost</f>
        <v>0</v>
      </c>
      <c r="G12">
        <f>E.cost-J.cost</f>
        <v>0</v>
      </c>
      <c r="H12">
        <f>F.cost - J.cost</f>
        <v>0</v>
      </c>
      <c r="I12">
        <f>G.cost - J.cost</f>
        <v>0</v>
      </c>
      <c r="J12">
        <f>H.cost-J.cost</f>
        <v>0</v>
      </c>
      <c r="K12">
        <f>I.cost-J.cost</f>
        <v>0</v>
      </c>
      <c r="L12" s="1"/>
      <c r="M12">
        <f>K.cost-J.cost</f>
        <v>0</v>
      </c>
      <c r="N12">
        <f>L.cost-J.cost</f>
        <v>0</v>
      </c>
      <c r="O12">
        <f>M.cost-J.cost</f>
        <v>0</v>
      </c>
      <c r="P12">
        <f>N.cost-J.cost</f>
        <v>0</v>
      </c>
      <c r="Q12">
        <f>O.cost-J.cost</f>
        <v>0</v>
      </c>
      <c r="R12">
        <f>P.cost-J.cost</f>
        <v>0</v>
      </c>
      <c r="S12">
        <f>Q.cost-J.cost</f>
        <v>0</v>
      </c>
      <c r="T12">
        <f>R.cost-J.cost</f>
        <v>0</v>
      </c>
      <c r="U12">
        <f>S.cost-J.cost</f>
        <v>0</v>
      </c>
      <c r="V12">
        <f>T.cost-J.cost</f>
        <v>0</v>
      </c>
      <c r="W12">
        <f>U.cost-J.cost</f>
        <v>0</v>
      </c>
      <c r="X12">
        <f>V.cost-J.cost</f>
        <v>0</v>
      </c>
      <c r="Y12">
        <f>W.cost-J.cost</f>
        <v>0</v>
      </c>
      <c r="Z12">
        <f>X.cost-J.cost</f>
        <v>0</v>
      </c>
      <c r="AA12">
        <f>Y.cost-J.cost</f>
        <v>0</v>
      </c>
      <c r="AB12">
        <f>Z.cost-J.cost</f>
        <v>0</v>
      </c>
      <c r="AD12" t="s">
        <v>12</v>
      </c>
      <c r="AE12" t="e">
        <f t="shared" si="1"/>
        <v>#DIV/0!</v>
      </c>
      <c r="AF12" t="e">
        <f t="shared" si="0"/>
        <v>#DIV/0!</v>
      </c>
      <c r="AG12" t="e">
        <f t="shared" si="0"/>
        <v>#DIV/0!</v>
      </c>
      <c r="AH12" t="e">
        <f t="shared" si="0"/>
        <v>#DIV/0!</v>
      </c>
      <c r="AI12" t="e">
        <f t="shared" si="0"/>
        <v>#DIV/0!</v>
      </c>
      <c r="AJ12" t="e">
        <f t="shared" si="0"/>
        <v>#DIV/0!</v>
      </c>
      <c r="AK12" t="e">
        <f t="shared" si="0"/>
        <v>#DIV/0!</v>
      </c>
      <c r="AL12" t="e">
        <f t="shared" si="0"/>
        <v>#DIV/0!</v>
      </c>
      <c r="AM12" t="e">
        <f t="shared" si="0"/>
        <v>#DIV/0!</v>
      </c>
      <c r="AN12" t="e">
        <f t="shared" si="0"/>
        <v>#DIV/0!</v>
      </c>
      <c r="AO12" t="e">
        <f t="shared" si="0"/>
        <v>#DIV/0!</v>
      </c>
      <c r="AP12" t="e">
        <f t="shared" si="0"/>
        <v>#DIV/0!</v>
      </c>
      <c r="AQ12" t="e">
        <f t="shared" si="0"/>
        <v>#DIV/0!</v>
      </c>
      <c r="AR12" t="e">
        <f t="shared" si="0"/>
        <v>#DIV/0!</v>
      </c>
      <c r="AS12" t="e">
        <f t="shared" si="0"/>
        <v>#DIV/0!</v>
      </c>
      <c r="AT12" t="e">
        <f t="shared" si="0"/>
        <v>#DIV/0!</v>
      </c>
      <c r="AU12" t="e">
        <f t="shared" si="0"/>
        <v>#DIV/0!</v>
      </c>
      <c r="AV12" t="e">
        <f t="shared" si="0"/>
        <v>#DIV/0!</v>
      </c>
      <c r="AW12" t="e">
        <f t="shared" si="0"/>
        <v>#DIV/0!</v>
      </c>
      <c r="AX12" t="e">
        <f t="shared" si="0"/>
        <v>#DIV/0!</v>
      </c>
      <c r="AY12" t="e">
        <f t="shared" si="0"/>
        <v>#DIV/0!</v>
      </c>
      <c r="AZ12" t="e">
        <f t="shared" si="0"/>
        <v>#DIV/0!</v>
      </c>
      <c r="BA12" t="e">
        <f t="shared" si="0"/>
        <v>#DIV/0!</v>
      </c>
      <c r="BB12" t="e">
        <f t="shared" si="0"/>
        <v>#DIV/0!</v>
      </c>
      <c r="BC12" t="e">
        <f t="shared" si="0"/>
        <v>#DIV/0!</v>
      </c>
      <c r="BD12" t="e">
        <f t="shared" si="0"/>
        <v>#DIV/0!</v>
      </c>
    </row>
    <row r="13" spans="2:56" x14ac:dyDescent="0.25">
      <c r="B13" t="s">
        <v>13</v>
      </c>
      <c r="C13">
        <f>A.cost-K.cost</f>
        <v>0</v>
      </c>
      <c r="D13">
        <f>B.cost-K.cost</f>
        <v>0</v>
      </c>
      <c r="E13">
        <f>C.cost-K.cost</f>
        <v>0</v>
      </c>
      <c r="F13">
        <f>D.cost - K.cost</f>
        <v>0</v>
      </c>
      <c r="G13">
        <f>E.cost-K.cost</f>
        <v>0</v>
      </c>
      <c r="H13">
        <f>F.cost-K.cost</f>
        <v>0</v>
      </c>
      <c r="I13">
        <f>G.cost - K.cost</f>
        <v>0</v>
      </c>
      <c r="J13">
        <f>H.cost-K.cost</f>
        <v>0</v>
      </c>
      <c r="K13">
        <f>I.cost-K.cost</f>
        <v>0</v>
      </c>
      <c r="L13">
        <f>J.cost-K.cost</f>
        <v>0</v>
      </c>
      <c r="M13" s="1"/>
      <c r="N13">
        <f>L.cost-K.cost</f>
        <v>0</v>
      </c>
      <c r="O13">
        <f>M.cost-K.cost</f>
        <v>0</v>
      </c>
      <c r="P13">
        <f>N.cost-K.cost</f>
        <v>0</v>
      </c>
      <c r="Q13">
        <f>O.cost-K.cost</f>
        <v>0</v>
      </c>
      <c r="R13">
        <f>P.cost-K.cost</f>
        <v>0</v>
      </c>
      <c r="S13">
        <f>Q.cost-K.cost</f>
        <v>0</v>
      </c>
      <c r="T13">
        <f>R.cost-K.cost</f>
        <v>0</v>
      </c>
      <c r="U13">
        <f>S.cost-K.cost</f>
        <v>0</v>
      </c>
      <c r="V13">
        <f>T.cost-K.cost</f>
        <v>0</v>
      </c>
      <c r="W13">
        <f>U.cost-K.cost</f>
        <v>0</v>
      </c>
      <c r="X13">
        <f>V.cost-K.cost</f>
        <v>0</v>
      </c>
      <c r="Y13">
        <f>W.cost-K.cost</f>
        <v>0</v>
      </c>
      <c r="Z13">
        <f>X.cost-K.cost</f>
        <v>0</v>
      </c>
      <c r="AA13">
        <f>Y.cost-K.cost</f>
        <v>0</v>
      </c>
      <c r="AB13">
        <f>Z.cost-K.cost</f>
        <v>0</v>
      </c>
      <c r="AD13" t="s">
        <v>13</v>
      </c>
      <c r="AE13" t="e">
        <f t="shared" si="1"/>
        <v>#DIV/0!</v>
      </c>
      <c r="AF13" t="e">
        <f t="shared" si="0"/>
        <v>#DIV/0!</v>
      </c>
      <c r="AG13" t="e">
        <f t="shared" si="0"/>
        <v>#DIV/0!</v>
      </c>
      <c r="AH13" t="e">
        <f t="shared" si="0"/>
        <v>#DIV/0!</v>
      </c>
      <c r="AI13" t="e">
        <f t="shared" si="0"/>
        <v>#DIV/0!</v>
      </c>
      <c r="AJ13" t="e">
        <f t="shared" si="0"/>
        <v>#DIV/0!</v>
      </c>
      <c r="AK13" t="e">
        <f t="shared" ref="AK13:AK28" si="2">IF(ATAN2(I42,I13) &lt;0,ATAN2(I42,I13) + 2 * PI(),ATAN2(I42,I13)) *180/PI()</f>
        <v>#DIV/0!</v>
      </c>
      <c r="AL13" t="e">
        <f t="shared" ref="AL13:AL28" si="3">IF(ATAN2(J42,J13) &lt;0,ATAN2(J42,J13) + 2 * PI(),ATAN2(J42,J13)) *180/PI()</f>
        <v>#DIV/0!</v>
      </c>
      <c r="AM13" t="e">
        <f t="shared" ref="AM13:AM28" si="4">IF(ATAN2(K42,K13) &lt;0,ATAN2(K42,K13) + 2 * PI(),ATAN2(K42,K13)) *180/PI()</f>
        <v>#DIV/0!</v>
      </c>
      <c r="AN13" t="e">
        <f t="shared" ref="AN13:AN28" si="5">IF(ATAN2(L42,L13) &lt;0,ATAN2(L42,L13) + 2 * PI(),ATAN2(L42,L13)) *180/PI()</f>
        <v>#DIV/0!</v>
      </c>
      <c r="AO13" t="e">
        <f t="shared" ref="AO13:AO28" si="6">IF(ATAN2(M42,M13) &lt;0,ATAN2(M42,M13) + 2 * PI(),ATAN2(M42,M13)) *180/PI()</f>
        <v>#DIV/0!</v>
      </c>
      <c r="AP13" t="e">
        <f t="shared" ref="AP13:AP28" si="7">IF(ATAN2(N42,N13) &lt;0,ATAN2(N42,N13) + 2 * PI(),ATAN2(N42,N13)) *180/PI()</f>
        <v>#DIV/0!</v>
      </c>
      <c r="AQ13" t="e">
        <f t="shared" ref="AQ13:AQ28" si="8">IF(ATAN2(O42,O13) &lt;0,ATAN2(O42,O13) + 2 * PI(),ATAN2(O42,O13)) *180/PI()</f>
        <v>#DIV/0!</v>
      </c>
      <c r="AR13" t="e">
        <f t="shared" ref="AR13:AR28" si="9">IF(ATAN2(P42,P13) &lt;0,ATAN2(P42,P13) + 2 * PI(),ATAN2(P42,P13)) *180/PI()</f>
        <v>#DIV/0!</v>
      </c>
      <c r="AS13" t="e">
        <f t="shared" ref="AS13:AS28" si="10">IF(ATAN2(Q42,Q13) &lt;0,ATAN2(Q42,Q13) + 2 * PI(),ATAN2(Q42,Q13)) *180/PI()</f>
        <v>#DIV/0!</v>
      </c>
      <c r="AT13" t="e">
        <f t="shared" ref="AT13:AT28" si="11">IF(ATAN2(R42,R13) &lt;0,ATAN2(R42,R13) + 2 * PI(),ATAN2(R42,R13)) *180/PI()</f>
        <v>#DIV/0!</v>
      </c>
      <c r="AU13" t="e">
        <f t="shared" ref="AU13:AU28" si="12">IF(ATAN2(S42,S13) &lt;0,ATAN2(S42,S13) + 2 * PI(),ATAN2(S42,S13)) *180/PI()</f>
        <v>#DIV/0!</v>
      </c>
      <c r="AV13" t="e">
        <f t="shared" ref="AV13:AV28" si="13">IF(ATAN2(T42,T13) &lt;0,ATAN2(T42,T13) + 2 * PI(),ATAN2(T42,T13)) *180/PI()</f>
        <v>#DIV/0!</v>
      </c>
      <c r="AW13" t="e">
        <f t="shared" ref="AW13:AW28" si="14">IF(ATAN2(U42,U13) &lt;0,ATAN2(U42,U13) + 2 * PI(),ATAN2(U42,U13)) *180/PI()</f>
        <v>#DIV/0!</v>
      </c>
      <c r="AX13" t="e">
        <f t="shared" ref="AX13:AX28" si="15">IF(ATAN2(V42,V13) &lt;0,ATAN2(V42,V13) + 2 * PI(),ATAN2(V42,V13)) *180/PI()</f>
        <v>#DIV/0!</v>
      </c>
      <c r="AY13" t="e">
        <f t="shared" ref="AY13:AY28" si="16">IF(ATAN2(W42,W13) &lt;0,ATAN2(W42,W13) + 2 * PI(),ATAN2(W42,W13)) *180/PI()</f>
        <v>#DIV/0!</v>
      </c>
      <c r="AZ13" t="e">
        <f t="shared" ref="AZ13:AZ28" si="17">IF(ATAN2(X42,X13) &lt;0,ATAN2(X42,X13) + 2 * PI(),ATAN2(X42,X13)) *180/PI()</f>
        <v>#DIV/0!</v>
      </c>
      <c r="BA13" t="e">
        <f t="shared" ref="BA13:BA28" si="18">IF(ATAN2(Y42,Y13) &lt;0,ATAN2(Y42,Y13) + 2 * PI(),ATAN2(Y42,Y13)) *180/PI()</f>
        <v>#DIV/0!</v>
      </c>
      <c r="BB13" t="e">
        <f t="shared" ref="BB13:BB28" si="19">IF(ATAN2(Z42,Z13) &lt;0,ATAN2(Z42,Z13) + 2 * PI(),ATAN2(Z42,Z13)) *180/PI()</f>
        <v>#DIV/0!</v>
      </c>
      <c r="BC13" t="e">
        <f t="shared" ref="BC13:BC28" si="20">IF(ATAN2(AA42,AA13) &lt;0,ATAN2(AA42,AA13) + 2 * PI(),ATAN2(AA42,AA13)) *180/PI()</f>
        <v>#DIV/0!</v>
      </c>
      <c r="BD13" t="e">
        <f t="shared" ref="BD13:BD28" si="21">IF(ATAN2(AB42,AB13) &lt;0,ATAN2(AB42,AB13) + 2 * PI(),ATAN2(AB42,AB13)) *180/PI()</f>
        <v>#DIV/0!</v>
      </c>
    </row>
    <row r="14" spans="2:56" x14ac:dyDescent="0.25">
      <c r="B14" t="s">
        <v>14</v>
      </c>
      <c r="C14">
        <f>A.cost-L.cost</f>
        <v>0</v>
      </c>
      <c r="D14">
        <f>B.cost-L.cost</f>
        <v>0</v>
      </c>
      <c r="E14">
        <f>C.cost-L.cost</f>
        <v>0</v>
      </c>
      <c r="F14">
        <f>D.cost-L.cost</f>
        <v>0</v>
      </c>
      <c r="G14">
        <f>E.cost-L.cost</f>
        <v>0</v>
      </c>
      <c r="H14">
        <f>F.cost - L.cost</f>
        <v>0</v>
      </c>
      <c r="I14">
        <f>G.cost - L.cost</f>
        <v>0</v>
      </c>
      <c r="J14">
        <f>H.cost-L.cost</f>
        <v>0</v>
      </c>
      <c r="K14">
        <f>I.cost-L.cost</f>
        <v>0</v>
      </c>
      <c r="L14">
        <f>J.cost-L.cost</f>
        <v>0</v>
      </c>
      <c r="M14">
        <f>K.cost-L.cost</f>
        <v>0</v>
      </c>
      <c r="N14" s="1"/>
      <c r="O14">
        <f>M.cost-L.cost</f>
        <v>0</v>
      </c>
      <c r="P14">
        <f>N.cost-L.cost</f>
        <v>0</v>
      </c>
      <c r="Q14">
        <f>O.cost-L.cost</f>
        <v>0</v>
      </c>
      <c r="R14">
        <f>P.cost-L.cost</f>
        <v>0</v>
      </c>
      <c r="S14">
        <f>Q.cost-L.cost</f>
        <v>0</v>
      </c>
      <c r="T14">
        <f>R.cost-L.cost</f>
        <v>0</v>
      </c>
      <c r="U14">
        <f>S.cost-L.cost</f>
        <v>0</v>
      </c>
      <c r="V14">
        <f>T.cost-L.cost</f>
        <v>0</v>
      </c>
      <c r="W14">
        <f>U.cost-L.cost</f>
        <v>0</v>
      </c>
      <c r="X14">
        <f>V.cost-L.cost</f>
        <v>0</v>
      </c>
      <c r="Y14">
        <f>W.cost-L.cost</f>
        <v>0</v>
      </c>
      <c r="Z14">
        <f>X.cost-L.cost</f>
        <v>0</v>
      </c>
      <c r="AA14">
        <f>Y.cost-L.cost</f>
        <v>0</v>
      </c>
      <c r="AB14">
        <f>Z.cost-L.cost</f>
        <v>0</v>
      </c>
      <c r="AD14" t="s">
        <v>14</v>
      </c>
      <c r="AE14" t="e">
        <f t="shared" si="1"/>
        <v>#DIV/0!</v>
      </c>
      <c r="AF14" t="e">
        <f t="shared" ref="AF14:AF28" si="22">IF(ATAN2(D43,D14) &lt;0,ATAN2(D43,D14) + 2 * PI(),ATAN2(D43,D14)) *180/PI()</f>
        <v>#DIV/0!</v>
      </c>
      <c r="AG14" t="e">
        <f t="shared" ref="AG14:AG28" si="23">IF(ATAN2(E43,E14) &lt;0,ATAN2(E43,E14) + 2 * PI(),ATAN2(E43,E14)) *180/PI()</f>
        <v>#DIV/0!</v>
      </c>
      <c r="AH14" t="e">
        <f t="shared" ref="AH14:AH28" si="24">IF(ATAN2(F43,F14) &lt;0,ATAN2(F43,F14) + 2 * PI(),ATAN2(F43,F14)) *180/PI()</f>
        <v>#DIV/0!</v>
      </c>
      <c r="AI14" t="e">
        <f t="shared" ref="AI14:AI28" si="25">IF(ATAN2(G43,G14) &lt;0,ATAN2(G43,G14) + 2 * PI(),ATAN2(G43,G14)) *180/PI()</f>
        <v>#DIV/0!</v>
      </c>
      <c r="AJ14" t="e">
        <f t="shared" ref="AJ14:AJ28" si="26">IF(ATAN2(H43,H14) &lt;0,ATAN2(H43,H14) + 2 * PI(),ATAN2(H43,H14)) *180/PI()</f>
        <v>#DIV/0!</v>
      </c>
      <c r="AK14" t="e">
        <f t="shared" si="2"/>
        <v>#DIV/0!</v>
      </c>
      <c r="AL14" t="e">
        <f t="shared" si="3"/>
        <v>#DIV/0!</v>
      </c>
      <c r="AM14" t="e">
        <f t="shared" si="4"/>
        <v>#DIV/0!</v>
      </c>
      <c r="AN14" t="e">
        <f t="shared" si="5"/>
        <v>#DIV/0!</v>
      </c>
      <c r="AO14" t="e">
        <f t="shared" si="6"/>
        <v>#DIV/0!</v>
      </c>
      <c r="AP14" t="e">
        <f t="shared" si="7"/>
        <v>#DIV/0!</v>
      </c>
      <c r="AQ14" t="e">
        <f t="shared" si="8"/>
        <v>#DIV/0!</v>
      </c>
      <c r="AR14" t="e">
        <f t="shared" si="9"/>
        <v>#DIV/0!</v>
      </c>
      <c r="AS14" t="e">
        <f t="shared" si="10"/>
        <v>#DIV/0!</v>
      </c>
      <c r="AT14" t="e">
        <f t="shared" si="11"/>
        <v>#DIV/0!</v>
      </c>
      <c r="AU14" t="e">
        <f t="shared" si="12"/>
        <v>#DIV/0!</v>
      </c>
      <c r="AV14" t="e">
        <f t="shared" si="13"/>
        <v>#DIV/0!</v>
      </c>
      <c r="AW14" t="e">
        <f t="shared" si="14"/>
        <v>#DIV/0!</v>
      </c>
      <c r="AX14" t="e">
        <f t="shared" si="15"/>
        <v>#DIV/0!</v>
      </c>
      <c r="AY14" t="e">
        <f t="shared" si="16"/>
        <v>#DIV/0!</v>
      </c>
      <c r="AZ14" t="e">
        <f t="shared" si="17"/>
        <v>#DIV/0!</v>
      </c>
      <c r="BA14" t="e">
        <f t="shared" si="18"/>
        <v>#DIV/0!</v>
      </c>
      <c r="BB14" t="e">
        <f t="shared" si="19"/>
        <v>#DIV/0!</v>
      </c>
      <c r="BC14" t="e">
        <f t="shared" si="20"/>
        <v>#DIV/0!</v>
      </c>
      <c r="BD14" t="e">
        <f t="shared" si="21"/>
        <v>#DIV/0!</v>
      </c>
    </row>
    <row r="15" spans="2:56" x14ac:dyDescent="0.25">
      <c r="B15" t="s">
        <v>15</v>
      </c>
      <c r="C15">
        <f>A.cost-M.cost</f>
        <v>0</v>
      </c>
      <c r="D15">
        <f>B.cost-M.cost</f>
        <v>0</v>
      </c>
      <c r="E15">
        <f>C.cost-M.cost</f>
        <v>0</v>
      </c>
      <c r="F15">
        <f>D.cost-M.cost</f>
        <v>0</v>
      </c>
      <c r="G15">
        <f>E.cost-M.cost</f>
        <v>0</v>
      </c>
      <c r="H15">
        <f>F.cost - M.cost</f>
        <v>0</v>
      </c>
      <c r="I15">
        <f>G.cost - M.cost</f>
        <v>0</v>
      </c>
      <c r="J15">
        <f>H.cost-M.cost</f>
        <v>0</v>
      </c>
      <c r="K15">
        <f>I.cost-M.cost</f>
        <v>0</v>
      </c>
      <c r="L15">
        <f>J.cost-M.cost</f>
        <v>0</v>
      </c>
      <c r="M15">
        <f>K.cost-M.cost</f>
        <v>0</v>
      </c>
      <c r="N15">
        <f>L.cost-M.cost</f>
        <v>0</v>
      </c>
      <c r="O15" s="1"/>
      <c r="P15">
        <f>N.cost-M.cost</f>
        <v>0</v>
      </c>
      <c r="Q15">
        <f>O.cost-M.cost</f>
        <v>0</v>
      </c>
      <c r="R15">
        <f>P.cost-M.cost</f>
        <v>0</v>
      </c>
      <c r="S15">
        <f>Q.cost-M.cost</f>
        <v>0</v>
      </c>
      <c r="T15">
        <f>R.cost-M.cost</f>
        <v>0</v>
      </c>
      <c r="U15">
        <f>S.cost-M.cost</f>
        <v>0</v>
      </c>
      <c r="V15">
        <f>T.cost-M.cost</f>
        <v>0</v>
      </c>
      <c r="W15">
        <f>U.cost-M.cost</f>
        <v>0</v>
      </c>
      <c r="X15">
        <f>V.cost-M.cost</f>
        <v>0</v>
      </c>
      <c r="Y15">
        <f>W.cost-M.cost</f>
        <v>0</v>
      </c>
      <c r="Z15">
        <f>X.cost-M.cost</f>
        <v>0</v>
      </c>
      <c r="AA15">
        <f>Y.cost-M.cost</f>
        <v>0</v>
      </c>
      <c r="AB15">
        <f>Z.cost-M.cost</f>
        <v>0</v>
      </c>
      <c r="AD15" t="s">
        <v>15</v>
      </c>
      <c r="AE15" t="e">
        <f t="shared" si="1"/>
        <v>#DIV/0!</v>
      </c>
      <c r="AF15" t="e">
        <f t="shared" si="22"/>
        <v>#DIV/0!</v>
      </c>
      <c r="AG15" t="e">
        <f t="shared" si="23"/>
        <v>#DIV/0!</v>
      </c>
      <c r="AH15" t="e">
        <f t="shared" si="24"/>
        <v>#DIV/0!</v>
      </c>
      <c r="AI15" t="e">
        <f t="shared" si="25"/>
        <v>#DIV/0!</v>
      </c>
      <c r="AJ15" t="e">
        <f t="shared" si="26"/>
        <v>#DIV/0!</v>
      </c>
      <c r="AK15" t="e">
        <f t="shared" si="2"/>
        <v>#DIV/0!</v>
      </c>
      <c r="AL15" t="e">
        <f t="shared" si="3"/>
        <v>#DIV/0!</v>
      </c>
      <c r="AM15" t="e">
        <f t="shared" si="4"/>
        <v>#DIV/0!</v>
      </c>
      <c r="AN15" t="e">
        <f t="shared" si="5"/>
        <v>#DIV/0!</v>
      </c>
      <c r="AO15" t="e">
        <f t="shared" si="6"/>
        <v>#DIV/0!</v>
      </c>
      <c r="AP15" t="e">
        <f t="shared" si="7"/>
        <v>#DIV/0!</v>
      </c>
      <c r="AQ15" t="e">
        <f t="shared" si="8"/>
        <v>#DIV/0!</v>
      </c>
      <c r="AR15" t="e">
        <f t="shared" si="9"/>
        <v>#DIV/0!</v>
      </c>
      <c r="AS15" t="e">
        <f t="shared" si="10"/>
        <v>#DIV/0!</v>
      </c>
      <c r="AT15" t="e">
        <f t="shared" si="11"/>
        <v>#DIV/0!</v>
      </c>
      <c r="AU15" t="e">
        <f t="shared" si="12"/>
        <v>#DIV/0!</v>
      </c>
      <c r="AV15" t="e">
        <f t="shared" si="13"/>
        <v>#DIV/0!</v>
      </c>
      <c r="AW15" t="e">
        <f t="shared" si="14"/>
        <v>#DIV/0!</v>
      </c>
      <c r="AX15" t="e">
        <f t="shared" si="15"/>
        <v>#DIV/0!</v>
      </c>
      <c r="AY15" t="e">
        <f t="shared" si="16"/>
        <v>#DIV/0!</v>
      </c>
      <c r="AZ15" t="e">
        <f t="shared" si="17"/>
        <v>#DIV/0!</v>
      </c>
      <c r="BA15" t="e">
        <f t="shared" si="18"/>
        <v>#DIV/0!</v>
      </c>
      <c r="BB15" t="e">
        <f t="shared" si="19"/>
        <v>#DIV/0!</v>
      </c>
      <c r="BC15" t="e">
        <f t="shared" si="20"/>
        <v>#DIV/0!</v>
      </c>
      <c r="BD15" t="e">
        <f t="shared" si="21"/>
        <v>#DIV/0!</v>
      </c>
    </row>
    <row r="16" spans="2:56" x14ac:dyDescent="0.25">
      <c r="B16" t="s">
        <v>16</v>
      </c>
      <c r="C16">
        <f>A.cost-N.cost</f>
        <v>0</v>
      </c>
      <c r="D16">
        <f>B.cost-N.cost</f>
        <v>0</v>
      </c>
      <c r="E16">
        <f>C.cost-N.cost</f>
        <v>0</v>
      </c>
      <c r="F16">
        <f>D.cost-N.cost</f>
        <v>0</v>
      </c>
      <c r="G16">
        <f>E.cost-N.cost</f>
        <v>0</v>
      </c>
      <c r="H16">
        <f>F.cost - N.cost</f>
        <v>0</v>
      </c>
      <c r="I16">
        <f>G.cost-N.cost</f>
        <v>0</v>
      </c>
      <c r="J16">
        <f>H.cost-N.cost</f>
        <v>0</v>
      </c>
      <c r="K16">
        <f>I.cost-N.cost</f>
        <v>0</v>
      </c>
      <c r="L16">
        <f>J.cost-N.cost</f>
        <v>0</v>
      </c>
      <c r="M16">
        <f>K.cost-N.cost</f>
        <v>0</v>
      </c>
      <c r="N16">
        <f>L.cost-N.cost</f>
        <v>0</v>
      </c>
      <c r="O16">
        <f>M.cost-N.cost</f>
        <v>0</v>
      </c>
      <c r="P16" s="1"/>
      <c r="Q16">
        <f>O.cost-N.cost</f>
        <v>0</v>
      </c>
      <c r="R16">
        <f>P.cost-N.cost</f>
        <v>0</v>
      </c>
      <c r="S16">
        <f>Q.cost-N.cost</f>
        <v>0</v>
      </c>
      <c r="T16">
        <f>R.cost-N.cost</f>
        <v>0</v>
      </c>
      <c r="U16">
        <f>S.cost-N.cost</f>
        <v>0</v>
      </c>
      <c r="V16">
        <f>T.cost-N.cost</f>
        <v>0</v>
      </c>
      <c r="W16">
        <f>U.cost-N.cost</f>
        <v>0</v>
      </c>
      <c r="X16">
        <f>V.cost-N.cost</f>
        <v>0</v>
      </c>
      <c r="Y16">
        <f>W.cost-N.cost</f>
        <v>0</v>
      </c>
      <c r="Z16">
        <f>X.cost-N.cost</f>
        <v>0</v>
      </c>
      <c r="AA16">
        <f>Y.cost-N.cost</f>
        <v>0</v>
      </c>
      <c r="AB16">
        <f>Z.cost-N.cost</f>
        <v>0</v>
      </c>
      <c r="AD16" t="s">
        <v>16</v>
      </c>
      <c r="AE16" t="e">
        <f t="shared" si="1"/>
        <v>#DIV/0!</v>
      </c>
      <c r="AF16" t="e">
        <f t="shared" si="22"/>
        <v>#DIV/0!</v>
      </c>
      <c r="AG16" t="e">
        <f t="shared" si="23"/>
        <v>#DIV/0!</v>
      </c>
      <c r="AH16" t="e">
        <f t="shared" si="24"/>
        <v>#DIV/0!</v>
      </c>
      <c r="AI16" t="e">
        <f t="shared" si="25"/>
        <v>#DIV/0!</v>
      </c>
      <c r="AJ16" t="e">
        <f t="shared" si="26"/>
        <v>#DIV/0!</v>
      </c>
      <c r="AK16" t="e">
        <f t="shared" si="2"/>
        <v>#DIV/0!</v>
      </c>
      <c r="AL16" t="e">
        <f t="shared" si="3"/>
        <v>#DIV/0!</v>
      </c>
      <c r="AM16" t="e">
        <f t="shared" si="4"/>
        <v>#DIV/0!</v>
      </c>
      <c r="AN16" t="e">
        <f t="shared" si="5"/>
        <v>#DIV/0!</v>
      </c>
      <c r="AO16" t="e">
        <f t="shared" si="6"/>
        <v>#DIV/0!</v>
      </c>
      <c r="AP16" t="e">
        <f t="shared" si="7"/>
        <v>#DIV/0!</v>
      </c>
      <c r="AQ16" t="e">
        <f t="shared" si="8"/>
        <v>#DIV/0!</v>
      </c>
      <c r="AR16" t="e">
        <f t="shared" si="9"/>
        <v>#DIV/0!</v>
      </c>
      <c r="AS16" t="e">
        <f t="shared" si="10"/>
        <v>#DIV/0!</v>
      </c>
      <c r="AT16" t="e">
        <f t="shared" si="11"/>
        <v>#DIV/0!</v>
      </c>
      <c r="AU16" t="e">
        <f t="shared" si="12"/>
        <v>#DIV/0!</v>
      </c>
      <c r="AV16" t="e">
        <f t="shared" si="13"/>
        <v>#DIV/0!</v>
      </c>
      <c r="AW16" t="e">
        <f t="shared" si="14"/>
        <v>#DIV/0!</v>
      </c>
      <c r="AX16" t="e">
        <f t="shared" si="15"/>
        <v>#DIV/0!</v>
      </c>
      <c r="AY16" t="e">
        <f t="shared" si="16"/>
        <v>#DIV/0!</v>
      </c>
      <c r="AZ16" t="e">
        <f t="shared" si="17"/>
        <v>#DIV/0!</v>
      </c>
      <c r="BA16" t="e">
        <f t="shared" si="18"/>
        <v>#DIV/0!</v>
      </c>
      <c r="BB16" t="e">
        <f t="shared" si="19"/>
        <v>#DIV/0!</v>
      </c>
      <c r="BC16" t="e">
        <f t="shared" si="20"/>
        <v>#DIV/0!</v>
      </c>
      <c r="BD16" t="e">
        <f t="shared" si="21"/>
        <v>#DIV/0!</v>
      </c>
    </row>
    <row r="17" spans="2:56" x14ac:dyDescent="0.25">
      <c r="B17" t="s">
        <v>18</v>
      </c>
      <c r="C17">
        <f>A.cost-O.cost</f>
        <v>0</v>
      </c>
      <c r="D17">
        <f>B.cost-O.cost</f>
        <v>0</v>
      </c>
      <c r="E17">
        <f>C.cost-O.cost</f>
        <v>0</v>
      </c>
      <c r="F17">
        <f>D.cost-O.cost</f>
        <v>0</v>
      </c>
      <c r="G17">
        <f>E.cost - O.cost</f>
        <v>0</v>
      </c>
      <c r="H17">
        <f>F.cost - O.cost</f>
        <v>0</v>
      </c>
      <c r="I17">
        <f>G.cost - O.cost</f>
        <v>0</v>
      </c>
      <c r="J17">
        <f>H.cost-O.cost</f>
        <v>0</v>
      </c>
      <c r="K17">
        <f>I.cost-O.cost</f>
        <v>0</v>
      </c>
      <c r="L17">
        <f>J.cost-O.cost</f>
        <v>0</v>
      </c>
      <c r="M17">
        <f>K.cost-O.cost</f>
        <v>0</v>
      </c>
      <c r="N17">
        <f>L.cost-O.cost</f>
        <v>0</v>
      </c>
      <c r="O17">
        <f>M.cost-O.cost</f>
        <v>0</v>
      </c>
      <c r="P17">
        <f>N.cost-O.cost</f>
        <v>0</v>
      </c>
      <c r="Q17" s="1"/>
      <c r="R17">
        <f>P.cost-O.cost</f>
        <v>0</v>
      </c>
      <c r="S17">
        <f>Q.cost-O.cost</f>
        <v>0</v>
      </c>
      <c r="T17">
        <f>R.cost-O.cost</f>
        <v>0</v>
      </c>
      <c r="U17">
        <f>S.cost-O.cost</f>
        <v>0</v>
      </c>
      <c r="V17">
        <f>T.cost-O.cost</f>
        <v>0</v>
      </c>
      <c r="W17">
        <f>U.cost-O.cost</f>
        <v>0</v>
      </c>
      <c r="X17">
        <f>V.cost-O.cost</f>
        <v>0</v>
      </c>
      <c r="Y17">
        <f>W.cost-O.cost</f>
        <v>0</v>
      </c>
      <c r="Z17">
        <f>X.cost-O.cost</f>
        <v>0</v>
      </c>
      <c r="AA17">
        <f>Y.cost-O.cost</f>
        <v>0</v>
      </c>
      <c r="AB17">
        <f>Z.cost-O.cost</f>
        <v>0</v>
      </c>
      <c r="AD17" t="s">
        <v>18</v>
      </c>
      <c r="AE17" t="e">
        <f t="shared" si="1"/>
        <v>#DIV/0!</v>
      </c>
      <c r="AF17" t="e">
        <f t="shared" si="22"/>
        <v>#DIV/0!</v>
      </c>
      <c r="AG17" t="e">
        <f t="shared" si="23"/>
        <v>#DIV/0!</v>
      </c>
      <c r="AH17" t="e">
        <f t="shared" si="24"/>
        <v>#DIV/0!</v>
      </c>
      <c r="AI17" t="e">
        <f t="shared" si="25"/>
        <v>#DIV/0!</v>
      </c>
      <c r="AJ17" t="e">
        <f t="shared" si="26"/>
        <v>#DIV/0!</v>
      </c>
      <c r="AK17" t="e">
        <f t="shared" si="2"/>
        <v>#DIV/0!</v>
      </c>
      <c r="AL17" t="e">
        <f t="shared" si="3"/>
        <v>#DIV/0!</v>
      </c>
      <c r="AM17" t="e">
        <f t="shared" si="4"/>
        <v>#DIV/0!</v>
      </c>
      <c r="AN17" t="e">
        <f t="shared" si="5"/>
        <v>#DIV/0!</v>
      </c>
      <c r="AO17" t="e">
        <f t="shared" si="6"/>
        <v>#DIV/0!</v>
      </c>
      <c r="AP17" t="e">
        <f t="shared" si="7"/>
        <v>#DIV/0!</v>
      </c>
      <c r="AQ17" t="e">
        <f t="shared" si="8"/>
        <v>#DIV/0!</v>
      </c>
      <c r="AR17" t="e">
        <f t="shared" si="9"/>
        <v>#DIV/0!</v>
      </c>
      <c r="AS17" t="e">
        <f t="shared" si="10"/>
        <v>#DIV/0!</v>
      </c>
      <c r="AT17" t="e">
        <f t="shared" si="11"/>
        <v>#DIV/0!</v>
      </c>
      <c r="AU17" t="e">
        <f t="shared" si="12"/>
        <v>#DIV/0!</v>
      </c>
      <c r="AV17" t="e">
        <f t="shared" si="13"/>
        <v>#DIV/0!</v>
      </c>
      <c r="AW17" t="e">
        <f t="shared" si="14"/>
        <v>#DIV/0!</v>
      </c>
      <c r="AX17" t="e">
        <f t="shared" si="15"/>
        <v>#DIV/0!</v>
      </c>
      <c r="AY17" t="e">
        <f t="shared" si="16"/>
        <v>#DIV/0!</v>
      </c>
      <c r="AZ17" t="e">
        <f t="shared" si="17"/>
        <v>#DIV/0!</v>
      </c>
      <c r="BA17" t="e">
        <f t="shared" si="18"/>
        <v>#DIV/0!</v>
      </c>
      <c r="BB17" t="e">
        <f t="shared" si="19"/>
        <v>#DIV/0!</v>
      </c>
      <c r="BC17" t="e">
        <f t="shared" si="20"/>
        <v>#DIV/0!</v>
      </c>
      <c r="BD17" t="e">
        <f t="shared" si="21"/>
        <v>#DIV/0!</v>
      </c>
    </row>
    <row r="18" spans="2:56" x14ac:dyDescent="0.25">
      <c r="B18" t="s">
        <v>17</v>
      </c>
      <c r="C18">
        <f>A.cost-P.cost</f>
        <v>0</v>
      </c>
      <c r="D18">
        <f>B.cost-P.cost</f>
        <v>0</v>
      </c>
      <c r="E18">
        <f>C.cost-P.cost</f>
        <v>0</v>
      </c>
      <c r="F18">
        <f>D.cost-P.cost</f>
        <v>0</v>
      </c>
      <c r="G18">
        <f>E.cost - P.cost</f>
        <v>0</v>
      </c>
      <c r="H18">
        <f>F.cost - P.cost</f>
        <v>0</v>
      </c>
      <c r="I18">
        <f>G.cost - P.cost</f>
        <v>0</v>
      </c>
      <c r="J18">
        <f>H.cost-P.cost</f>
        <v>0</v>
      </c>
      <c r="K18">
        <f>I.cost-P.cost</f>
        <v>0</v>
      </c>
      <c r="L18">
        <f>J.cost-P.cost</f>
        <v>0</v>
      </c>
      <c r="M18">
        <f>K.cost-P.cost</f>
        <v>0</v>
      </c>
      <c r="N18">
        <f>L.cost-P.cost</f>
        <v>0</v>
      </c>
      <c r="O18">
        <f>M.cost-P.cost</f>
        <v>0</v>
      </c>
      <c r="P18">
        <f>N.cost-P.cost</f>
        <v>0</v>
      </c>
      <c r="Q18">
        <f>O.cost-P.cost</f>
        <v>0</v>
      </c>
      <c r="R18" s="1"/>
      <c r="S18">
        <f>Q.cost-P.cost</f>
        <v>0</v>
      </c>
      <c r="T18">
        <f>R.cost-P.cost</f>
        <v>0</v>
      </c>
      <c r="U18">
        <f>S.cost-P.cost</f>
        <v>0</v>
      </c>
      <c r="V18">
        <f>T.cost-P.cost</f>
        <v>0</v>
      </c>
      <c r="W18">
        <f>U.cost-P.cost</f>
        <v>0</v>
      </c>
      <c r="X18">
        <f>V.cost-P.cost</f>
        <v>0</v>
      </c>
      <c r="Y18">
        <f>W.cost-P.cost</f>
        <v>0</v>
      </c>
      <c r="Z18">
        <f>X.cost-P.cost</f>
        <v>0</v>
      </c>
      <c r="AA18">
        <f>Y.cost-P.cost</f>
        <v>0</v>
      </c>
      <c r="AB18">
        <f>Z.cost-P.cost</f>
        <v>0</v>
      </c>
      <c r="AD18" t="s">
        <v>17</v>
      </c>
      <c r="AE18" t="e">
        <f t="shared" si="1"/>
        <v>#DIV/0!</v>
      </c>
      <c r="AF18" t="e">
        <f t="shared" si="22"/>
        <v>#DIV/0!</v>
      </c>
      <c r="AG18" t="e">
        <f t="shared" si="23"/>
        <v>#DIV/0!</v>
      </c>
      <c r="AH18" t="e">
        <f t="shared" si="24"/>
        <v>#DIV/0!</v>
      </c>
      <c r="AI18" t="e">
        <f t="shared" si="25"/>
        <v>#DIV/0!</v>
      </c>
      <c r="AJ18" t="e">
        <f t="shared" si="26"/>
        <v>#DIV/0!</v>
      </c>
      <c r="AK18" t="e">
        <f t="shared" si="2"/>
        <v>#DIV/0!</v>
      </c>
      <c r="AL18" t="e">
        <f t="shared" si="3"/>
        <v>#DIV/0!</v>
      </c>
      <c r="AM18" t="e">
        <f t="shared" si="4"/>
        <v>#DIV/0!</v>
      </c>
      <c r="AN18" t="e">
        <f t="shared" si="5"/>
        <v>#DIV/0!</v>
      </c>
      <c r="AO18" t="e">
        <f t="shared" si="6"/>
        <v>#DIV/0!</v>
      </c>
      <c r="AP18" t="e">
        <f t="shared" si="7"/>
        <v>#DIV/0!</v>
      </c>
      <c r="AQ18" t="e">
        <f t="shared" si="8"/>
        <v>#DIV/0!</v>
      </c>
      <c r="AR18" t="e">
        <f t="shared" si="9"/>
        <v>#DIV/0!</v>
      </c>
      <c r="AS18" t="e">
        <f t="shared" si="10"/>
        <v>#DIV/0!</v>
      </c>
      <c r="AT18" t="e">
        <f t="shared" si="11"/>
        <v>#DIV/0!</v>
      </c>
      <c r="AU18" t="e">
        <f t="shared" si="12"/>
        <v>#DIV/0!</v>
      </c>
      <c r="AV18" t="e">
        <f t="shared" si="13"/>
        <v>#DIV/0!</v>
      </c>
      <c r="AW18" t="e">
        <f t="shared" si="14"/>
        <v>#DIV/0!</v>
      </c>
      <c r="AX18" t="e">
        <f t="shared" si="15"/>
        <v>#DIV/0!</v>
      </c>
      <c r="AY18" t="e">
        <f t="shared" si="16"/>
        <v>#DIV/0!</v>
      </c>
      <c r="AZ18" t="e">
        <f t="shared" si="17"/>
        <v>#DIV/0!</v>
      </c>
      <c r="BA18" t="e">
        <f t="shared" si="18"/>
        <v>#DIV/0!</v>
      </c>
      <c r="BB18" t="e">
        <f t="shared" si="19"/>
        <v>#DIV/0!</v>
      </c>
      <c r="BC18" t="e">
        <f t="shared" si="20"/>
        <v>#DIV/0!</v>
      </c>
      <c r="BD18" t="e">
        <f t="shared" si="21"/>
        <v>#DIV/0!</v>
      </c>
    </row>
    <row r="19" spans="2:56" x14ac:dyDescent="0.25">
      <c r="B19" t="s">
        <v>19</v>
      </c>
      <c r="C19">
        <f>A.cost-Q.cost</f>
        <v>0</v>
      </c>
      <c r="D19">
        <f>B.cost-Q.cost</f>
        <v>0</v>
      </c>
      <c r="E19">
        <f>C.cost-Q.cost</f>
        <v>0</v>
      </c>
      <c r="F19">
        <f>D.cost-Q.cost</f>
        <v>0</v>
      </c>
      <c r="G19">
        <f>E.cost-Q.cost</f>
        <v>0</v>
      </c>
      <c r="H19">
        <f>F.cost - Q.cost</f>
        <v>0</v>
      </c>
      <c r="I19">
        <f>G.cost-Q.cost</f>
        <v>0</v>
      </c>
      <c r="J19">
        <f>H.cost-Q.cost</f>
        <v>0</v>
      </c>
      <c r="K19">
        <f>I.cost-Q.cost</f>
        <v>0</v>
      </c>
      <c r="L19">
        <f>J.cost-Q.cost</f>
        <v>0</v>
      </c>
      <c r="M19">
        <f>K.cost-Q.cost</f>
        <v>0</v>
      </c>
      <c r="N19">
        <f>L.cost-Q.cost</f>
        <v>0</v>
      </c>
      <c r="O19">
        <f>M.cost-Q.cost</f>
        <v>0</v>
      </c>
      <c r="P19">
        <f>N.cost-Q.cost</f>
        <v>0</v>
      </c>
      <c r="Q19">
        <f>O.cost-Q.cost</f>
        <v>0</v>
      </c>
      <c r="R19">
        <f>P.cost-Q.cost</f>
        <v>0</v>
      </c>
      <c r="S19" s="1"/>
      <c r="T19">
        <f>R.cost-Q.cost</f>
        <v>0</v>
      </c>
      <c r="U19">
        <f>S.cost-Q.cost</f>
        <v>0</v>
      </c>
      <c r="V19">
        <f>T.cost-Q.cost</f>
        <v>0</v>
      </c>
      <c r="W19">
        <f>U.cost-Q.cost</f>
        <v>0</v>
      </c>
      <c r="X19">
        <f>V.cost-Q.cost</f>
        <v>0</v>
      </c>
      <c r="Y19">
        <f>W.cost-Q.cost</f>
        <v>0</v>
      </c>
      <c r="Z19">
        <f>X.cost-Q.cost</f>
        <v>0</v>
      </c>
      <c r="AA19">
        <f>Y.cost-Q.cost</f>
        <v>0</v>
      </c>
      <c r="AB19">
        <f>Z.cost-Q.cost</f>
        <v>0</v>
      </c>
      <c r="AD19" t="s">
        <v>19</v>
      </c>
      <c r="AE19" t="e">
        <f t="shared" si="1"/>
        <v>#DIV/0!</v>
      </c>
      <c r="AF19" t="e">
        <f t="shared" si="22"/>
        <v>#DIV/0!</v>
      </c>
      <c r="AG19" t="e">
        <f t="shared" si="23"/>
        <v>#DIV/0!</v>
      </c>
      <c r="AH19" t="e">
        <f t="shared" si="24"/>
        <v>#DIV/0!</v>
      </c>
      <c r="AI19" t="e">
        <f t="shared" si="25"/>
        <v>#DIV/0!</v>
      </c>
      <c r="AJ19" t="e">
        <f t="shared" si="26"/>
        <v>#DIV/0!</v>
      </c>
      <c r="AK19" t="e">
        <f t="shared" si="2"/>
        <v>#DIV/0!</v>
      </c>
      <c r="AL19" t="e">
        <f t="shared" si="3"/>
        <v>#DIV/0!</v>
      </c>
      <c r="AM19" t="e">
        <f t="shared" si="4"/>
        <v>#DIV/0!</v>
      </c>
      <c r="AN19" t="e">
        <f t="shared" si="5"/>
        <v>#DIV/0!</v>
      </c>
      <c r="AO19" t="e">
        <f t="shared" si="6"/>
        <v>#DIV/0!</v>
      </c>
      <c r="AP19" t="e">
        <f t="shared" si="7"/>
        <v>#DIV/0!</v>
      </c>
      <c r="AQ19" t="e">
        <f t="shared" si="8"/>
        <v>#DIV/0!</v>
      </c>
      <c r="AR19" t="e">
        <f t="shared" si="9"/>
        <v>#DIV/0!</v>
      </c>
      <c r="AS19" t="e">
        <f t="shared" si="10"/>
        <v>#DIV/0!</v>
      </c>
      <c r="AT19" t="e">
        <f t="shared" si="11"/>
        <v>#DIV/0!</v>
      </c>
      <c r="AU19" t="e">
        <f t="shared" si="12"/>
        <v>#DIV/0!</v>
      </c>
      <c r="AV19" t="e">
        <f t="shared" si="13"/>
        <v>#DIV/0!</v>
      </c>
      <c r="AW19" t="e">
        <f t="shared" si="14"/>
        <v>#DIV/0!</v>
      </c>
      <c r="AX19" t="e">
        <f t="shared" si="15"/>
        <v>#DIV/0!</v>
      </c>
      <c r="AY19" t="e">
        <f t="shared" si="16"/>
        <v>#DIV/0!</v>
      </c>
      <c r="AZ19" t="e">
        <f t="shared" si="17"/>
        <v>#DIV/0!</v>
      </c>
      <c r="BA19" t="e">
        <f t="shared" si="18"/>
        <v>#DIV/0!</v>
      </c>
      <c r="BB19" t="e">
        <f t="shared" si="19"/>
        <v>#DIV/0!</v>
      </c>
      <c r="BC19" t="e">
        <f t="shared" si="20"/>
        <v>#DIV/0!</v>
      </c>
      <c r="BD19" t="e">
        <f t="shared" si="21"/>
        <v>#DIV/0!</v>
      </c>
    </row>
    <row r="20" spans="2:56" x14ac:dyDescent="0.25">
      <c r="B20" t="s">
        <v>20</v>
      </c>
      <c r="C20">
        <f>A.cost-R.cost</f>
        <v>0</v>
      </c>
      <c r="D20">
        <f>B.cost-R.cost</f>
        <v>0</v>
      </c>
      <c r="E20">
        <f>C.cost-R.cost</f>
        <v>0</v>
      </c>
      <c r="F20">
        <f>D.cost-R.cost</f>
        <v>0</v>
      </c>
      <c r="G20">
        <f>E.cost - R.cost</f>
        <v>0</v>
      </c>
      <c r="H20">
        <f>F.cost-R.cost</f>
        <v>0</v>
      </c>
      <c r="I20">
        <f>G.cost-R.cost</f>
        <v>0</v>
      </c>
      <c r="J20">
        <f>H.cost-R.cost</f>
        <v>0</v>
      </c>
      <c r="K20">
        <f>I.cost-R.cost</f>
        <v>0</v>
      </c>
      <c r="L20">
        <f>J.cost-R.cost</f>
        <v>0</v>
      </c>
      <c r="M20">
        <f>K.cost-R.cost</f>
        <v>0</v>
      </c>
      <c r="N20">
        <f>L.cost-R.cost</f>
        <v>0</v>
      </c>
      <c r="O20">
        <f>M.cost-R.cost</f>
        <v>0</v>
      </c>
      <c r="P20">
        <f>N.cost-R.cost</f>
        <v>0</v>
      </c>
      <c r="Q20">
        <f>O.cost-R.cost</f>
        <v>0</v>
      </c>
      <c r="R20">
        <f>P.cost-R.cost</f>
        <v>0</v>
      </c>
      <c r="S20">
        <f>Q.cost-R.cost</f>
        <v>0</v>
      </c>
      <c r="T20" s="1"/>
      <c r="U20">
        <f>S.cost-R.cost</f>
        <v>0</v>
      </c>
      <c r="V20">
        <f>T.cost-R.cost</f>
        <v>0</v>
      </c>
      <c r="W20">
        <f>U.cost-R.cost</f>
        <v>0</v>
      </c>
      <c r="X20">
        <f>V.cost-R.cost</f>
        <v>0</v>
      </c>
      <c r="Y20">
        <f>W.cost-R.cost</f>
        <v>0</v>
      </c>
      <c r="Z20">
        <f>X.cost-R.cost</f>
        <v>0</v>
      </c>
      <c r="AA20">
        <f>Y.cost-R.cost</f>
        <v>0</v>
      </c>
      <c r="AB20">
        <f>Z.cost-R.cost</f>
        <v>0</v>
      </c>
      <c r="AD20" t="s">
        <v>20</v>
      </c>
      <c r="AE20" t="e">
        <f t="shared" si="1"/>
        <v>#DIV/0!</v>
      </c>
      <c r="AF20" t="e">
        <f t="shared" si="22"/>
        <v>#DIV/0!</v>
      </c>
      <c r="AG20" t="e">
        <f t="shared" si="23"/>
        <v>#DIV/0!</v>
      </c>
      <c r="AH20" t="e">
        <f t="shared" si="24"/>
        <v>#DIV/0!</v>
      </c>
      <c r="AI20" t="e">
        <f t="shared" si="25"/>
        <v>#DIV/0!</v>
      </c>
      <c r="AJ20" t="e">
        <f t="shared" si="26"/>
        <v>#DIV/0!</v>
      </c>
      <c r="AK20" t="e">
        <f t="shared" si="2"/>
        <v>#DIV/0!</v>
      </c>
      <c r="AL20" t="e">
        <f t="shared" si="3"/>
        <v>#DIV/0!</v>
      </c>
      <c r="AM20" t="e">
        <f t="shared" si="4"/>
        <v>#DIV/0!</v>
      </c>
      <c r="AN20" t="e">
        <f t="shared" si="5"/>
        <v>#DIV/0!</v>
      </c>
      <c r="AO20" t="e">
        <f t="shared" si="6"/>
        <v>#DIV/0!</v>
      </c>
      <c r="AP20" t="e">
        <f t="shared" si="7"/>
        <v>#DIV/0!</v>
      </c>
      <c r="AQ20" t="e">
        <f t="shared" si="8"/>
        <v>#DIV/0!</v>
      </c>
      <c r="AR20" t="e">
        <f t="shared" si="9"/>
        <v>#DIV/0!</v>
      </c>
      <c r="AS20" t="e">
        <f t="shared" si="10"/>
        <v>#DIV/0!</v>
      </c>
      <c r="AT20" t="e">
        <f t="shared" si="11"/>
        <v>#DIV/0!</v>
      </c>
      <c r="AU20" t="e">
        <f t="shared" si="12"/>
        <v>#DIV/0!</v>
      </c>
      <c r="AV20" t="e">
        <f t="shared" si="13"/>
        <v>#DIV/0!</v>
      </c>
      <c r="AW20" t="e">
        <f t="shared" si="14"/>
        <v>#DIV/0!</v>
      </c>
      <c r="AX20" t="e">
        <f t="shared" si="15"/>
        <v>#DIV/0!</v>
      </c>
      <c r="AY20" t="e">
        <f t="shared" si="16"/>
        <v>#DIV/0!</v>
      </c>
      <c r="AZ20" t="e">
        <f t="shared" si="17"/>
        <v>#DIV/0!</v>
      </c>
      <c r="BA20" t="e">
        <f t="shared" si="18"/>
        <v>#DIV/0!</v>
      </c>
      <c r="BB20" t="e">
        <f t="shared" si="19"/>
        <v>#DIV/0!</v>
      </c>
      <c r="BC20" t="e">
        <f t="shared" si="20"/>
        <v>#DIV/0!</v>
      </c>
      <c r="BD20" t="e">
        <f t="shared" si="21"/>
        <v>#DIV/0!</v>
      </c>
    </row>
    <row r="21" spans="2:56" x14ac:dyDescent="0.25">
      <c r="B21" t="s">
        <v>21</v>
      </c>
      <c r="C21">
        <f>A.cost-S.cost</f>
        <v>0</v>
      </c>
      <c r="D21">
        <f>B.cost-S.cost</f>
        <v>0</v>
      </c>
      <c r="E21">
        <f>C.cost-S.cost</f>
        <v>0</v>
      </c>
      <c r="F21">
        <f>D.cost-S.cost</f>
        <v>0</v>
      </c>
      <c r="G21">
        <f>E.cost-S.cost</f>
        <v>0</v>
      </c>
      <c r="H21">
        <f>F.cost-S.cost</f>
        <v>0</v>
      </c>
      <c r="I21">
        <f>G.cost - S.cost</f>
        <v>0</v>
      </c>
      <c r="J21">
        <f>H.cost-S.cost</f>
        <v>0</v>
      </c>
      <c r="K21">
        <f>I.cost-S.cost</f>
        <v>0</v>
      </c>
      <c r="L21">
        <f>J.cost-S.cost</f>
        <v>0</v>
      </c>
      <c r="M21">
        <f>K.cost-S.cost</f>
        <v>0</v>
      </c>
      <c r="N21">
        <f>L.cost-S.cost</f>
        <v>0</v>
      </c>
      <c r="O21">
        <f>M.cost-S.cost</f>
        <v>0</v>
      </c>
      <c r="P21">
        <f>N.cost-S.cost</f>
        <v>0</v>
      </c>
      <c r="Q21">
        <f>O.cost-S.cost</f>
        <v>0</v>
      </c>
      <c r="R21">
        <f>P.cost-S.cost</f>
        <v>0</v>
      </c>
      <c r="S21">
        <f>Q.cost-S.cost</f>
        <v>0</v>
      </c>
      <c r="T21">
        <f>R.cost-S.cost</f>
        <v>0</v>
      </c>
      <c r="U21" s="1"/>
      <c r="V21">
        <f>T.cost-S.cost</f>
        <v>0</v>
      </c>
      <c r="W21">
        <f>U.cost-S.cost</f>
        <v>0</v>
      </c>
      <c r="X21">
        <f>V.cost-S.cost</f>
        <v>0</v>
      </c>
      <c r="Y21">
        <f>W.cost-S.cost</f>
        <v>0</v>
      </c>
      <c r="Z21">
        <f>X.cost-S.cost</f>
        <v>0</v>
      </c>
      <c r="AA21">
        <f>Y.cost-S.cost</f>
        <v>0</v>
      </c>
      <c r="AB21">
        <f>Z.cost-S.cost</f>
        <v>0</v>
      </c>
      <c r="AD21" t="s">
        <v>21</v>
      </c>
      <c r="AE21" t="e">
        <f t="shared" si="1"/>
        <v>#DIV/0!</v>
      </c>
      <c r="AF21" t="e">
        <f t="shared" si="22"/>
        <v>#DIV/0!</v>
      </c>
      <c r="AG21" t="e">
        <f t="shared" si="23"/>
        <v>#DIV/0!</v>
      </c>
      <c r="AH21" t="e">
        <f t="shared" si="24"/>
        <v>#DIV/0!</v>
      </c>
      <c r="AI21" t="e">
        <f t="shared" si="25"/>
        <v>#DIV/0!</v>
      </c>
      <c r="AJ21" t="e">
        <f t="shared" si="26"/>
        <v>#DIV/0!</v>
      </c>
      <c r="AK21" t="e">
        <f t="shared" si="2"/>
        <v>#DIV/0!</v>
      </c>
      <c r="AL21" t="e">
        <f t="shared" si="3"/>
        <v>#DIV/0!</v>
      </c>
      <c r="AM21" t="e">
        <f t="shared" si="4"/>
        <v>#DIV/0!</v>
      </c>
      <c r="AN21" t="e">
        <f t="shared" si="5"/>
        <v>#DIV/0!</v>
      </c>
      <c r="AO21" t="e">
        <f t="shared" si="6"/>
        <v>#DIV/0!</v>
      </c>
      <c r="AP21" t="e">
        <f t="shared" si="7"/>
        <v>#DIV/0!</v>
      </c>
      <c r="AQ21" t="e">
        <f t="shared" si="8"/>
        <v>#DIV/0!</v>
      </c>
      <c r="AR21" t="e">
        <f t="shared" si="9"/>
        <v>#DIV/0!</v>
      </c>
      <c r="AS21" t="e">
        <f t="shared" si="10"/>
        <v>#DIV/0!</v>
      </c>
      <c r="AT21" t="e">
        <f t="shared" si="11"/>
        <v>#DIV/0!</v>
      </c>
      <c r="AU21" t="e">
        <f t="shared" si="12"/>
        <v>#DIV/0!</v>
      </c>
      <c r="AV21" t="e">
        <f t="shared" si="13"/>
        <v>#DIV/0!</v>
      </c>
      <c r="AW21" t="e">
        <f t="shared" si="14"/>
        <v>#DIV/0!</v>
      </c>
      <c r="AX21" t="e">
        <f t="shared" si="15"/>
        <v>#DIV/0!</v>
      </c>
      <c r="AY21" t="e">
        <f t="shared" si="16"/>
        <v>#DIV/0!</v>
      </c>
      <c r="AZ21" t="e">
        <f t="shared" si="17"/>
        <v>#DIV/0!</v>
      </c>
      <c r="BA21" t="e">
        <f t="shared" si="18"/>
        <v>#DIV/0!</v>
      </c>
      <c r="BB21" t="e">
        <f t="shared" si="19"/>
        <v>#DIV/0!</v>
      </c>
      <c r="BC21" t="e">
        <f t="shared" si="20"/>
        <v>#DIV/0!</v>
      </c>
      <c r="BD21" t="e">
        <f t="shared" si="21"/>
        <v>#DIV/0!</v>
      </c>
    </row>
    <row r="22" spans="2:56" x14ac:dyDescent="0.25">
      <c r="B22" t="s">
        <v>22</v>
      </c>
      <c r="C22">
        <f>A.cost-T.cost</f>
        <v>0</v>
      </c>
      <c r="D22">
        <f>B.cost-T.cost</f>
        <v>0</v>
      </c>
      <c r="E22">
        <f>C.cost-T.cost</f>
        <v>0</v>
      </c>
      <c r="F22">
        <f>D.cost-T.cost</f>
        <v>0</v>
      </c>
      <c r="G22">
        <f>E.cost - T.cost</f>
        <v>0</v>
      </c>
      <c r="H22">
        <f>F.cost - T.cost</f>
        <v>0</v>
      </c>
      <c r="I22">
        <f>G.cost-T.cost</f>
        <v>0</v>
      </c>
      <c r="J22">
        <f>H.cost-T.cost</f>
        <v>0</v>
      </c>
      <c r="K22">
        <f>I.cost-T.cost</f>
        <v>0</v>
      </c>
      <c r="L22">
        <f>J.cost-T.cost</f>
        <v>0</v>
      </c>
      <c r="M22">
        <f>K.cost-T.cost</f>
        <v>0</v>
      </c>
      <c r="N22">
        <f>L.cost-T.cost</f>
        <v>0</v>
      </c>
      <c r="O22">
        <f>M.cost-T.cost</f>
        <v>0</v>
      </c>
      <c r="P22">
        <f>N.cost-T.cost</f>
        <v>0</v>
      </c>
      <c r="Q22">
        <f>O.cost-T.cost</f>
        <v>0</v>
      </c>
      <c r="R22">
        <f>P.cost-T.cost</f>
        <v>0</v>
      </c>
      <c r="S22">
        <f>Q.cost-T.cost</f>
        <v>0</v>
      </c>
      <c r="T22">
        <f>R.cost-T.cost</f>
        <v>0</v>
      </c>
      <c r="U22">
        <f>S.cost-T.cost</f>
        <v>0</v>
      </c>
      <c r="V22" s="1"/>
      <c r="W22">
        <f>U.cost-T.cost</f>
        <v>0</v>
      </c>
      <c r="X22">
        <f>V.cost-T.cost</f>
        <v>0</v>
      </c>
      <c r="Y22">
        <f>W.cost-T.cost</f>
        <v>0</v>
      </c>
      <c r="Z22">
        <f>X.cost-T.cost</f>
        <v>0</v>
      </c>
      <c r="AA22">
        <f>Y.cost-T.cost</f>
        <v>0</v>
      </c>
      <c r="AB22">
        <f>Z.cost-T.cost</f>
        <v>0</v>
      </c>
      <c r="AD22" t="s">
        <v>22</v>
      </c>
      <c r="AE22" t="e">
        <f t="shared" si="1"/>
        <v>#DIV/0!</v>
      </c>
      <c r="AF22" t="e">
        <f t="shared" si="22"/>
        <v>#DIV/0!</v>
      </c>
      <c r="AG22" t="e">
        <f t="shared" si="23"/>
        <v>#DIV/0!</v>
      </c>
      <c r="AH22" t="e">
        <f t="shared" si="24"/>
        <v>#DIV/0!</v>
      </c>
      <c r="AI22" t="e">
        <f t="shared" si="25"/>
        <v>#DIV/0!</v>
      </c>
      <c r="AJ22" t="e">
        <f t="shared" si="26"/>
        <v>#DIV/0!</v>
      </c>
      <c r="AK22" t="e">
        <f t="shared" si="2"/>
        <v>#DIV/0!</v>
      </c>
      <c r="AL22" t="e">
        <f t="shared" si="3"/>
        <v>#DIV/0!</v>
      </c>
      <c r="AM22" t="e">
        <f t="shared" si="4"/>
        <v>#DIV/0!</v>
      </c>
      <c r="AN22" t="e">
        <f t="shared" si="5"/>
        <v>#DIV/0!</v>
      </c>
      <c r="AO22" t="e">
        <f t="shared" si="6"/>
        <v>#DIV/0!</v>
      </c>
      <c r="AP22" t="e">
        <f t="shared" si="7"/>
        <v>#DIV/0!</v>
      </c>
      <c r="AQ22" t="e">
        <f t="shared" si="8"/>
        <v>#DIV/0!</v>
      </c>
      <c r="AR22" t="e">
        <f t="shared" si="9"/>
        <v>#DIV/0!</v>
      </c>
      <c r="AS22" t="e">
        <f t="shared" si="10"/>
        <v>#DIV/0!</v>
      </c>
      <c r="AT22" t="e">
        <f t="shared" si="11"/>
        <v>#DIV/0!</v>
      </c>
      <c r="AU22" t="e">
        <f t="shared" si="12"/>
        <v>#DIV/0!</v>
      </c>
      <c r="AV22" t="e">
        <f t="shared" si="13"/>
        <v>#DIV/0!</v>
      </c>
      <c r="AW22" t="e">
        <f t="shared" si="14"/>
        <v>#DIV/0!</v>
      </c>
      <c r="AX22" t="e">
        <f t="shared" si="15"/>
        <v>#DIV/0!</v>
      </c>
      <c r="AY22" t="e">
        <f t="shared" si="16"/>
        <v>#DIV/0!</v>
      </c>
      <c r="AZ22" t="e">
        <f t="shared" si="17"/>
        <v>#DIV/0!</v>
      </c>
      <c r="BA22" t="e">
        <f t="shared" si="18"/>
        <v>#DIV/0!</v>
      </c>
      <c r="BB22" t="e">
        <f t="shared" si="19"/>
        <v>#DIV/0!</v>
      </c>
      <c r="BC22" t="e">
        <f t="shared" si="20"/>
        <v>#DIV/0!</v>
      </c>
      <c r="BD22" t="e">
        <f t="shared" si="21"/>
        <v>#DIV/0!</v>
      </c>
    </row>
    <row r="23" spans="2:56" x14ac:dyDescent="0.25">
      <c r="B23" t="s">
        <v>23</v>
      </c>
      <c r="C23">
        <f>A.cost-U.cost</f>
        <v>0</v>
      </c>
      <c r="D23">
        <f>B.cost-U.cost</f>
        <v>0</v>
      </c>
      <c r="E23">
        <f>C.cost-U.cost</f>
        <v>0</v>
      </c>
      <c r="F23">
        <f>D.cost-U.cost</f>
        <v>0</v>
      </c>
      <c r="G23">
        <f>E.cost - U.cost</f>
        <v>0</v>
      </c>
      <c r="H23">
        <f>F.cost-U.cost</f>
        <v>0</v>
      </c>
      <c r="I23">
        <f>G.cost-U.cost</f>
        <v>0</v>
      </c>
      <c r="J23">
        <f>H.cost-U.cost</f>
        <v>0</v>
      </c>
      <c r="K23">
        <f>I.cost-U.cost</f>
        <v>0</v>
      </c>
      <c r="L23">
        <f>J.cost-U.cost</f>
        <v>0</v>
      </c>
      <c r="M23">
        <f>K.cost-U.cost</f>
        <v>0</v>
      </c>
      <c r="N23">
        <f>L.cost-U.cost</f>
        <v>0</v>
      </c>
      <c r="O23">
        <f>M.cost-U.cost</f>
        <v>0</v>
      </c>
      <c r="P23">
        <f>N.cost-U.cost</f>
        <v>0</v>
      </c>
      <c r="Q23">
        <f>O.cost-U.cost</f>
        <v>0</v>
      </c>
      <c r="R23">
        <f>P.cost-U.cost</f>
        <v>0</v>
      </c>
      <c r="S23">
        <f>Q.cost-U.cost</f>
        <v>0</v>
      </c>
      <c r="T23">
        <f>R.cost-U.cost</f>
        <v>0</v>
      </c>
      <c r="U23">
        <f>S.cost-U.cost</f>
        <v>0</v>
      </c>
      <c r="V23">
        <f>T.cost-U.cost</f>
        <v>0</v>
      </c>
      <c r="W23" s="1"/>
      <c r="X23">
        <f>V.cost-U.cost</f>
        <v>0</v>
      </c>
      <c r="Y23">
        <f>W.cost-U.cost</f>
        <v>0</v>
      </c>
      <c r="Z23">
        <f>X.cost-U.cost</f>
        <v>0</v>
      </c>
      <c r="AA23">
        <f>Y.cost-U.cost</f>
        <v>0</v>
      </c>
      <c r="AB23">
        <f>Z.cost-U.cost</f>
        <v>0</v>
      </c>
      <c r="AD23" t="s">
        <v>23</v>
      </c>
      <c r="AE23" t="e">
        <f t="shared" si="1"/>
        <v>#DIV/0!</v>
      </c>
      <c r="AF23" t="e">
        <f t="shared" si="22"/>
        <v>#DIV/0!</v>
      </c>
      <c r="AG23" t="e">
        <f t="shared" si="23"/>
        <v>#DIV/0!</v>
      </c>
      <c r="AH23" t="e">
        <f t="shared" si="24"/>
        <v>#DIV/0!</v>
      </c>
      <c r="AI23" t="e">
        <f t="shared" si="25"/>
        <v>#DIV/0!</v>
      </c>
      <c r="AJ23" t="e">
        <f t="shared" si="26"/>
        <v>#DIV/0!</v>
      </c>
      <c r="AK23" t="e">
        <f t="shared" si="2"/>
        <v>#DIV/0!</v>
      </c>
      <c r="AL23" t="e">
        <f t="shared" si="3"/>
        <v>#DIV/0!</v>
      </c>
      <c r="AM23" t="e">
        <f t="shared" si="4"/>
        <v>#DIV/0!</v>
      </c>
      <c r="AN23" t="e">
        <f t="shared" si="5"/>
        <v>#DIV/0!</v>
      </c>
      <c r="AO23" t="e">
        <f t="shared" si="6"/>
        <v>#DIV/0!</v>
      </c>
      <c r="AP23" t="e">
        <f t="shared" si="7"/>
        <v>#DIV/0!</v>
      </c>
      <c r="AQ23" t="e">
        <f t="shared" si="8"/>
        <v>#DIV/0!</v>
      </c>
      <c r="AR23" t="e">
        <f t="shared" si="9"/>
        <v>#DIV/0!</v>
      </c>
      <c r="AS23" t="e">
        <f t="shared" si="10"/>
        <v>#DIV/0!</v>
      </c>
      <c r="AT23" t="e">
        <f t="shared" si="11"/>
        <v>#DIV/0!</v>
      </c>
      <c r="AU23" t="e">
        <f t="shared" si="12"/>
        <v>#DIV/0!</v>
      </c>
      <c r="AV23" t="e">
        <f t="shared" si="13"/>
        <v>#DIV/0!</v>
      </c>
      <c r="AW23" t="e">
        <f t="shared" si="14"/>
        <v>#DIV/0!</v>
      </c>
      <c r="AX23" t="e">
        <f t="shared" si="15"/>
        <v>#DIV/0!</v>
      </c>
      <c r="AY23" t="e">
        <f t="shared" si="16"/>
        <v>#DIV/0!</v>
      </c>
      <c r="AZ23" t="e">
        <f t="shared" si="17"/>
        <v>#DIV/0!</v>
      </c>
      <c r="BA23" t="e">
        <f t="shared" si="18"/>
        <v>#DIV/0!</v>
      </c>
      <c r="BB23" t="e">
        <f t="shared" si="19"/>
        <v>#DIV/0!</v>
      </c>
      <c r="BC23" t="e">
        <f t="shared" si="20"/>
        <v>#DIV/0!</v>
      </c>
      <c r="BD23" t="e">
        <f t="shared" si="21"/>
        <v>#DIV/0!</v>
      </c>
    </row>
    <row r="24" spans="2:56" x14ac:dyDescent="0.25">
      <c r="B24" t="s">
        <v>24</v>
      </c>
      <c r="C24">
        <f>A.cost-V.cost</f>
        <v>0</v>
      </c>
      <c r="D24">
        <f>B.cost-V.cost</f>
        <v>0</v>
      </c>
      <c r="E24">
        <f>C.cost-V.cost</f>
        <v>0</v>
      </c>
      <c r="F24">
        <f>D.cost-V.cost</f>
        <v>0</v>
      </c>
      <c r="G24">
        <f>E.cost - V.cost</f>
        <v>0</v>
      </c>
      <c r="H24">
        <f>F.cost - V.cost</f>
        <v>0</v>
      </c>
      <c r="I24">
        <f>G.cost-V.cost</f>
        <v>0</v>
      </c>
      <c r="J24">
        <f>H.cost-V.cost</f>
        <v>0</v>
      </c>
      <c r="K24">
        <f>I.cost-V.cost</f>
        <v>0</v>
      </c>
      <c r="L24">
        <f>J.cost-V.cost</f>
        <v>0</v>
      </c>
      <c r="M24">
        <f>K.cost-V.cost</f>
        <v>0</v>
      </c>
      <c r="N24">
        <f>L.cost-V.cost</f>
        <v>0</v>
      </c>
      <c r="O24">
        <f>M.cost-V.cost</f>
        <v>0</v>
      </c>
      <c r="P24">
        <f>N.cost-V.cost</f>
        <v>0</v>
      </c>
      <c r="Q24">
        <f>O.cost-V.cost</f>
        <v>0</v>
      </c>
      <c r="R24">
        <f>P.cost-V.cost</f>
        <v>0</v>
      </c>
      <c r="S24">
        <f>Q.cost-V.cost</f>
        <v>0</v>
      </c>
      <c r="T24">
        <f>R.cost-V.cost</f>
        <v>0</v>
      </c>
      <c r="U24">
        <f>S.cost-V.cost</f>
        <v>0</v>
      </c>
      <c r="V24">
        <f>T.cost-V.cost</f>
        <v>0</v>
      </c>
      <c r="W24">
        <f>U.cost-V.cost</f>
        <v>0</v>
      </c>
      <c r="X24" s="1"/>
      <c r="Y24">
        <f>W.cost-V.cost</f>
        <v>0</v>
      </c>
      <c r="Z24">
        <f>X.cost-V.cost</f>
        <v>0</v>
      </c>
      <c r="AA24">
        <f>Y.cost-V.cost</f>
        <v>0</v>
      </c>
      <c r="AB24">
        <f>Z.cost-V.cost</f>
        <v>0</v>
      </c>
      <c r="AD24" t="s">
        <v>24</v>
      </c>
      <c r="AE24" t="e">
        <f t="shared" si="1"/>
        <v>#DIV/0!</v>
      </c>
      <c r="AF24" t="e">
        <f t="shared" si="22"/>
        <v>#DIV/0!</v>
      </c>
      <c r="AG24" t="e">
        <f t="shared" si="23"/>
        <v>#DIV/0!</v>
      </c>
      <c r="AH24" t="e">
        <f t="shared" si="24"/>
        <v>#DIV/0!</v>
      </c>
      <c r="AI24" t="e">
        <f t="shared" si="25"/>
        <v>#DIV/0!</v>
      </c>
      <c r="AJ24" t="e">
        <f t="shared" si="26"/>
        <v>#DIV/0!</v>
      </c>
      <c r="AK24" t="e">
        <f t="shared" si="2"/>
        <v>#DIV/0!</v>
      </c>
      <c r="AL24" t="e">
        <f t="shared" si="3"/>
        <v>#DIV/0!</v>
      </c>
      <c r="AM24" t="e">
        <f t="shared" si="4"/>
        <v>#DIV/0!</v>
      </c>
      <c r="AN24" t="e">
        <f t="shared" si="5"/>
        <v>#DIV/0!</v>
      </c>
      <c r="AO24" t="e">
        <f t="shared" si="6"/>
        <v>#DIV/0!</v>
      </c>
      <c r="AP24" t="e">
        <f t="shared" si="7"/>
        <v>#DIV/0!</v>
      </c>
      <c r="AQ24" t="e">
        <f t="shared" si="8"/>
        <v>#DIV/0!</v>
      </c>
      <c r="AR24" t="e">
        <f t="shared" si="9"/>
        <v>#DIV/0!</v>
      </c>
      <c r="AS24" t="e">
        <f t="shared" si="10"/>
        <v>#DIV/0!</v>
      </c>
      <c r="AT24" t="e">
        <f t="shared" si="11"/>
        <v>#DIV/0!</v>
      </c>
      <c r="AU24" t="e">
        <f t="shared" si="12"/>
        <v>#DIV/0!</v>
      </c>
      <c r="AV24" t="e">
        <f t="shared" si="13"/>
        <v>#DIV/0!</v>
      </c>
      <c r="AW24" t="e">
        <f t="shared" si="14"/>
        <v>#DIV/0!</v>
      </c>
      <c r="AX24" t="e">
        <f t="shared" si="15"/>
        <v>#DIV/0!</v>
      </c>
      <c r="AY24" t="e">
        <f t="shared" si="16"/>
        <v>#DIV/0!</v>
      </c>
      <c r="AZ24" t="e">
        <f t="shared" si="17"/>
        <v>#DIV/0!</v>
      </c>
      <c r="BA24" t="e">
        <f t="shared" si="18"/>
        <v>#DIV/0!</v>
      </c>
      <c r="BB24" t="e">
        <f t="shared" si="19"/>
        <v>#DIV/0!</v>
      </c>
      <c r="BC24" t="e">
        <f t="shared" si="20"/>
        <v>#DIV/0!</v>
      </c>
      <c r="BD24" t="e">
        <f t="shared" si="21"/>
        <v>#DIV/0!</v>
      </c>
    </row>
    <row r="25" spans="2:56" x14ac:dyDescent="0.25">
      <c r="B25" t="s">
        <v>25</v>
      </c>
      <c r="C25">
        <f>A.cost-W.cost</f>
        <v>0</v>
      </c>
      <c r="D25">
        <f>B.cost-W.cost</f>
        <v>0</v>
      </c>
      <c r="E25">
        <f>C.cost-W.cost</f>
        <v>0</v>
      </c>
      <c r="F25">
        <f>D.cost-W.cost</f>
        <v>0</v>
      </c>
      <c r="G25">
        <f>E.cost-W.cost</f>
        <v>0</v>
      </c>
      <c r="H25">
        <f>F.cost - W.cost</f>
        <v>0</v>
      </c>
      <c r="I25">
        <f>G.cost-W.cost</f>
        <v>0</v>
      </c>
      <c r="J25">
        <f>H.cost-W.cost</f>
        <v>0</v>
      </c>
      <c r="K25">
        <f>I.cost-W.cost</f>
        <v>0</v>
      </c>
      <c r="L25">
        <f>J.cost-W.cost</f>
        <v>0</v>
      </c>
      <c r="M25">
        <f>K.cost-W.cost</f>
        <v>0</v>
      </c>
      <c r="N25">
        <f>L.cost-W.cost</f>
        <v>0</v>
      </c>
      <c r="O25">
        <f>M.cost-W.cost</f>
        <v>0</v>
      </c>
      <c r="P25">
        <f>N.cost-W.cost</f>
        <v>0</v>
      </c>
      <c r="Q25">
        <f>O.cost-W.cost</f>
        <v>0</v>
      </c>
      <c r="R25">
        <f>P.cost-W.cost</f>
        <v>0</v>
      </c>
      <c r="S25">
        <f>Q.cost-W.cost</f>
        <v>0</v>
      </c>
      <c r="T25">
        <f>R.cost-W.cost</f>
        <v>0</v>
      </c>
      <c r="U25">
        <f>S.cost-W.cost</f>
        <v>0</v>
      </c>
      <c r="V25">
        <f>T.cost-W.cost</f>
        <v>0</v>
      </c>
      <c r="W25">
        <f>U.cost-W.cost</f>
        <v>0</v>
      </c>
      <c r="X25">
        <f>V.cost-W.cost</f>
        <v>0</v>
      </c>
      <c r="Y25" s="1"/>
      <c r="Z25">
        <f>X.cost-W.cost</f>
        <v>0</v>
      </c>
      <c r="AA25">
        <f>Y.cost-W.cost</f>
        <v>0</v>
      </c>
      <c r="AB25">
        <f>Z.cost-W.cost</f>
        <v>0</v>
      </c>
      <c r="AD25" t="s">
        <v>25</v>
      </c>
      <c r="AE25" t="e">
        <f t="shared" si="1"/>
        <v>#DIV/0!</v>
      </c>
      <c r="AF25" t="e">
        <f t="shared" si="22"/>
        <v>#DIV/0!</v>
      </c>
      <c r="AG25" t="e">
        <f t="shared" si="23"/>
        <v>#DIV/0!</v>
      </c>
      <c r="AH25" t="e">
        <f t="shared" si="24"/>
        <v>#DIV/0!</v>
      </c>
      <c r="AI25" t="e">
        <f t="shared" si="25"/>
        <v>#DIV/0!</v>
      </c>
      <c r="AJ25" t="e">
        <f t="shared" si="26"/>
        <v>#DIV/0!</v>
      </c>
      <c r="AK25" t="e">
        <f t="shared" si="2"/>
        <v>#DIV/0!</v>
      </c>
      <c r="AL25" t="e">
        <f t="shared" si="3"/>
        <v>#DIV/0!</v>
      </c>
      <c r="AM25" t="e">
        <f t="shared" si="4"/>
        <v>#DIV/0!</v>
      </c>
      <c r="AN25" t="e">
        <f t="shared" si="5"/>
        <v>#DIV/0!</v>
      </c>
      <c r="AO25" t="e">
        <f t="shared" si="6"/>
        <v>#DIV/0!</v>
      </c>
      <c r="AP25" t="e">
        <f t="shared" si="7"/>
        <v>#DIV/0!</v>
      </c>
      <c r="AQ25" t="e">
        <f t="shared" si="8"/>
        <v>#DIV/0!</v>
      </c>
      <c r="AR25" t="e">
        <f t="shared" si="9"/>
        <v>#DIV/0!</v>
      </c>
      <c r="AS25" t="e">
        <f t="shared" si="10"/>
        <v>#DIV/0!</v>
      </c>
      <c r="AT25" t="e">
        <f t="shared" si="11"/>
        <v>#DIV/0!</v>
      </c>
      <c r="AU25" t="e">
        <f t="shared" si="12"/>
        <v>#DIV/0!</v>
      </c>
      <c r="AV25" t="e">
        <f t="shared" si="13"/>
        <v>#DIV/0!</v>
      </c>
      <c r="AW25" t="e">
        <f t="shared" si="14"/>
        <v>#DIV/0!</v>
      </c>
      <c r="AX25" t="e">
        <f t="shared" si="15"/>
        <v>#DIV/0!</v>
      </c>
      <c r="AY25" t="e">
        <f t="shared" si="16"/>
        <v>#DIV/0!</v>
      </c>
      <c r="AZ25" t="e">
        <f t="shared" si="17"/>
        <v>#DIV/0!</v>
      </c>
      <c r="BA25" t="e">
        <f t="shared" si="18"/>
        <v>#DIV/0!</v>
      </c>
      <c r="BB25" t="e">
        <f t="shared" si="19"/>
        <v>#DIV/0!</v>
      </c>
      <c r="BC25" t="e">
        <f t="shared" si="20"/>
        <v>#DIV/0!</v>
      </c>
      <c r="BD25" t="e">
        <f t="shared" si="21"/>
        <v>#DIV/0!</v>
      </c>
    </row>
    <row r="26" spans="2:56" x14ac:dyDescent="0.25">
      <c r="B26" t="s">
        <v>26</v>
      </c>
      <c r="C26">
        <f>A.cost-X.cost</f>
        <v>0</v>
      </c>
      <c r="D26">
        <f>B.cost-X.cost</f>
        <v>0</v>
      </c>
      <c r="E26">
        <f>C.cost - X.cost</f>
        <v>0</v>
      </c>
      <c r="F26">
        <f>D.cost-X.cost</f>
        <v>0</v>
      </c>
      <c r="G26">
        <f>E.cost - X.cost</f>
        <v>0</v>
      </c>
      <c r="H26">
        <f>F.cost-X.cost</f>
        <v>0</v>
      </c>
      <c r="I26">
        <f>G.cost-X.cost</f>
        <v>0</v>
      </c>
      <c r="J26">
        <f>H.cost-X.cost</f>
        <v>0</v>
      </c>
      <c r="K26">
        <f>I.cost-X.cost</f>
        <v>0</v>
      </c>
      <c r="L26">
        <f>J.cost-X.cost</f>
        <v>0</v>
      </c>
      <c r="M26">
        <f>K.cost-X.cost</f>
        <v>0</v>
      </c>
      <c r="N26">
        <f>L.cost-X.cost</f>
        <v>0</v>
      </c>
      <c r="O26">
        <f>M.cost-X.cost</f>
        <v>0</v>
      </c>
      <c r="P26">
        <f>N.cost-X.cost</f>
        <v>0</v>
      </c>
      <c r="Q26">
        <f>O.cost-X.cost</f>
        <v>0</v>
      </c>
      <c r="R26">
        <f>P.cost-X.cost</f>
        <v>0</v>
      </c>
      <c r="S26">
        <f>Q.cost-X.cost</f>
        <v>0</v>
      </c>
      <c r="T26">
        <f>R.cost-X.cost</f>
        <v>0</v>
      </c>
      <c r="U26">
        <f>S.cost-X.cost</f>
        <v>0</v>
      </c>
      <c r="V26">
        <f>T.cost-X.cost</f>
        <v>0</v>
      </c>
      <c r="W26">
        <f>U.cost-X.cost</f>
        <v>0</v>
      </c>
      <c r="X26">
        <f>V.cost-X.cost</f>
        <v>0</v>
      </c>
      <c r="Y26">
        <f>W.cost-X.cost</f>
        <v>0</v>
      </c>
      <c r="Z26" s="1"/>
      <c r="AA26">
        <f>Y.cost-X.cost</f>
        <v>0</v>
      </c>
      <c r="AB26">
        <f>Z.cost-X.cost</f>
        <v>0</v>
      </c>
      <c r="AD26" t="s">
        <v>26</v>
      </c>
      <c r="AE26" t="e">
        <f t="shared" si="1"/>
        <v>#DIV/0!</v>
      </c>
      <c r="AF26" t="e">
        <f t="shared" si="22"/>
        <v>#DIV/0!</v>
      </c>
      <c r="AG26" t="e">
        <f t="shared" si="23"/>
        <v>#DIV/0!</v>
      </c>
      <c r="AH26" t="e">
        <f t="shared" si="24"/>
        <v>#DIV/0!</v>
      </c>
      <c r="AI26" t="e">
        <f t="shared" si="25"/>
        <v>#DIV/0!</v>
      </c>
      <c r="AJ26" t="e">
        <f t="shared" si="26"/>
        <v>#DIV/0!</v>
      </c>
      <c r="AK26" t="e">
        <f t="shared" si="2"/>
        <v>#DIV/0!</v>
      </c>
      <c r="AL26" t="e">
        <f t="shared" si="3"/>
        <v>#DIV/0!</v>
      </c>
      <c r="AM26" t="e">
        <f t="shared" si="4"/>
        <v>#DIV/0!</v>
      </c>
      <c r="AN26" t="e">
        <f t="shared" si="5"/>
        <v>#DIV/0!</v>
      </c>
      <c r="AO26" t="e">
        <f t="shared" si="6"/>
        <v>#DIV/0!</v>
      </c>
      <c r="AP26" t="e">
        <f t="shared" si="7"/>
        <v>#DIV/0!</v>
      </c>
      <c r="AQ26" t="e">
        <f t="shared" si="8"/>
        <v>#DIV/0!</v>
      </c>
      <c r="AR26" t="e">
        <f t="shared" si="9"/>
        <v>#DIV/0!</v>
      </c>
      <c r="AS26" t="e">
        <f t="shared" si="10"/>
        <v>#DIV/0!</v>
      </c>
      <c r="AT26" t="e">
        <f t="shared" si="11"/>
        <v>#DIV/0!</v>
      </c>
      <c r="AU26" t="e">
        <f t="shared" si="12"/>
        <v>#DIV/0!</v>
      </c>
      <c r="AV26" t="e">
        <f t="shared" si="13"/>
        <v>#DIV/0!</v>
      </c>
      <c r="AW26" t="e">
        <f t="shared" si="14"/>
        <v>#DIV/0!</v>
      </c>
      <c r="AX26" t="e">
        <f t="shared" si="15"/>
        <v>#DIV/0!</v>
      </c>
      <c r="AY26" t="e">
        <f t="shared" si="16"/>
        <v>#DIV/0!</v>
      </c>
      <c r="AZ26" t="e">
        <f t="shared" si="17"/>
        <v>#DIV/0!</v>
      </c>
      <c r="BA26" t="e">
        <f t="shared" si="18"/>
        <v>#DIV/0!</v>
      </c>
      <c r="BB26" t="e">
        <f t="shared" si="19"/>
        <v>#DIV/0!</v>
      </c>
      <c r="BC26" t="e">
        <f t="shared" si="20"/>
        <v>#DIV/0!</v>
      </c>
      <c r="BD26" t="e">
        <f t="shared" si="21"/>
        <v>#DIV/0!</v>
      </c>
    </row>
    <row r="27" spans="2:56" x14ac:dyDescent="0.25">
      <c r="B27" t="s">
        <v>27</v>
      </c>
      <c r="C27">
        <f>A.cost-Y.cost</f>
        <v>0</v>
      </c>
      <c r="D27">
        <f>B.cost-Y.cost</f>
        <v>0</v>
      </c>
      <c r="E27">
        <f>C.cost - Y.cost</f>
        <v>0</v>
      </c>
      <c r="F27">
        <f>D.cost-Y.cost</f>
        <v>0</v>
      </c>
      <c r="G27">
        <f>E.cost-Y.cost</f>
        <v>0</v>
      </c>
      <c r="H27">
        <f>F.cost-Y.cost</f>
        <v>0</v>
      </c>
      <c r="I27">
        <f>G.cost-Y.cost</f>
        <v>0</v>
      </c>
      <c r="J27">
        <f>H.cost-Y.cost</f>
        <v>0</v>
      </c>
      <c r="K27">
        <f>I.cost-Y.cost</f>
        <v>0</v>
      </c>
      <c r="L27">
        <f>J.cost-Y.cost</f>
        <v>0</v>
      </c>
      <c r="M27">
        <f>K.cost-Y.cost</f>
        <v>0</v>
      </c>
      <c r="N27">
        <f>L.cost-Y.cost</f>
        <v>0</v>
      </c>
      <c r="O27">
        <f>M.cost-Y.cost</f>
        <v>0</v>
      </c>
      <c r="P27">
        <f>N.cost-Y.cost</f>
        <v>0</v>
      </c>
      <c r="Q27">
        <f>O.cost-Y.cost</f>
        <v>0</v>
      </c>
      <c r="R27">
        <f>P.cost-Y.cost</f>
        <v>0</v>
      </c>
      <c r="S27">
        <f>Q.cost-Y.cost</f>
        <v>0</v>
      </c>
      <c r="T27">
        <f>R.cost-Y.cost</f>
        <v>0</v>
      </c>
      <c r="U27">
        <f>S.cost-Y.cost</f>
        <v>0</v>
      </c>
      <c r="V27">
        <f>T.cost-Y.cost</f>
        <v>0</v>
      </c>
      <c r="W27">
        <f>U.cost-Y.cost</f>
        <v>0</v>
      </c>
      <c r="X27">
        <f>V.cost-Y.cost</f>
        <v>0</v>
      </c>
      <c r="Y27">
        <f>W.cost-Y.cost</f>
        <v>0</v>
      </c>
      <c r="Z27">
        <f>X.cost-Y.cost</f>
        <v>0</v>
      </c>
      <c r="AA27" s="1"/>
      <c r="AB27">
        <f>Z.cost-Y.cost</f>
        <v>0</v>
      </c>
      <c r="AD27" t="s">
        <v>27</v>
      </c>
      <c r="AE27" t="e">
        <f t="shared" si="1"/>
        <v>#DIV/0!</v>
      </c>
      <c r="AF27" t="e">
        <f t="shared" si="22"/>
        <v>#DIV/0!</v>
      </c>
      <c r="AG27" t="e">
        <f t="shared" si="23"/>
        <v>#DIV/0!</v>
      </c>
      <c r="AH27" t="e">
        <f t="shared" si="24"/>
        <v>#DIV/0!</v>
      </c>
      <c r="AI27" t="e">
        <f t="shared" si="25"/>
        <v>#DIV/0!</v>
      </c>
      <c r="AJ27" t="e">
        <f t="shared" si="26"/>
        <v>#DIV/0!</v>
      </c>
      <c r="AK27" t="e">
        <f t="shared" si="2"/>
        <v>#DIV/0!</v>
      </c>
      <c r="AL27" t="e">
        <f t="shared" si="3"/>
        <v>#DIV/0!</v>
      </c>
      <c r="AM27" t="e">
        <f t="shared" si="4"/>
        <v>#DIV/0!</v>
      </c>
      <c r="AN27" t="e">
        <f t="shared" si="5"/>
        <v>#DIV/0!</v>
      </c>
      <c r="AO27" t="e">
        <f t="shared" si="6"/>
        <v>#DIV/0!</v>
      </c>
      <c r="AP27" t="e">
        <f t="shared" si="7"/>
        <v>#DIV/0!</v>
      </c>
      <c r="AQ27" t="e">
        <f t="shared" si="8"/>
        <v>#DIV/0!</v>
      </c>
      <c r="AR27" t="e">
        <f t="shared" si="9"/>
        <v>#DIV/0!</v>
      </c>
      <c r="AS27" t="e">
        <f t="shared" si="10"/>
        <v>#DIV/0!</v>
      </c>
      <c r="AT27" t="e">
        <f t="shared" si="11"/>
        <v>#DIV/0!</v>
      </c>
      <c r="AU27" t="e">
        <f t="shared" si="12"/>
        <v>#DIV/0!</v>
      </c>
      <c r="AV27" t="e">
        <f t="shared" si="13"/>
        <v>#DIV/0!</v>
      </c>
      <c r="AW27" t="e">
        <f t="shared" si="14"/>
        <v>#DIV/0!</v>
      </c>
      <c r="AX27" t="e">
        <f t="shared" si="15"/>
        <v>#DIV/0!</v>
      </c>
      <c r="AY27" t="e">
        <f t="shared" si="16"/>
        <v>#DIV/0!</v>
      </c>
      <c r="AZ27" t="e">
        <f t="shared" si="17"/>
        <v>#DIV/0!</v>
      </c>
      <c r="BA27" t="e">
        <f t="shared" si="18"/>
        <v>#DIV/0!</v>
      </c>
      <c r="BB27" t="e">
        <f t="shared" si="19"/>
        <v>#DIV/0!</v>
      </c>
      <c r="BC27" t="e">
        <f t="shared" si="20"/>
        <v>#DIV/0!</v>
      </c>
      <c r="BD27" t="e">
        <f t="shared" si="21"/>
        <v>#DIV/0!</v>
      </c>
    </row>
    <row r="28" spans="2:56" x14ac:dyDescent="0.25">
      <c r="B28" t="s">
        <v>28</v>
      </c>
      <c r="C28">
        <f>A.cost-Z.cost</f>
        <v>0</v>
      </c>
      <c r="D28">
        <f>B.cost-Z.cost</f>
        <v>0</v>
      </c>
      <c r="E28">
        <f>C.cost - Z.cost</f>
        <v>0</v>
      </c>
      <c r="F28">
        <f>D.cost-Z.cost</f>
        <v>0</v>
      </c>
      <c r="G28">
        <f>E.cost-Z.cost</f>
        <v>0</v>
      </c>
      <c r="H28">
        <f>F.cost-Z.cost</f>
        <v>0</v>
      </c>
      <c r="I28">
        <f>G.cost-Z.cost</f>
        <v>0</v>
      </c>
      <c r="J28">
        <f>H.cost-Z.cost</f>
        <v>0</v>
      </c>
      <c r="K28">
        <f>I.cost-Z.cost</f>
        <v>0</v>
      </c>
      <c r="L28">
        <f>J.cost-Z.cost</f>
        <v>0</v>
      </c>
      <c r="M28">
        <f>K.cost-Z.cost</f>
        <v>0</v>
      </c>
      <c r="N28">
        <f>L.cost-Z.cost</f>
        <v>0</v>
      </c>
      <c r="O28">
        <f>M.cost-Z.cost</f>
        <v>0</v>
      </c>
      <c r="P28">
        <f>N.cost-Z.cost</f>
        <v>0</v>
      </c>
      <c r="Q28">
        <f>O.cost-Z.cost</f>
        <v>0</v>
      </c>
      <c r="R28">
        <f>P.cost-Z.cost</f>
        <v>0</v>
      </c>
      <c r="S28">
        <f>Q.cost-Z.cost</f>
        <v>0</v>
      </c>
      <c r="T28">
        <f>R.cost-Z.cost</f>
        <v>0</v>
      </c>
      <c r="U28">
        <f>S.cost-Z.cost</f>
        <v>0</v>
      </c>
      <c r="V28">
        <f>T.cost-Z.cost</f>
        <v>0</v>
      </c>
      <c r="W28">
        <f>U.cost-Z.cost</f>
        <v>0</v>
      </c>
      <c r="X28">
        <f>V.cost-Z.cost</f>
        <v>0</v>
      </c>
      <c r="Y28">
        <f>W.cost-Z.cost</f>
        <v>0</v>
      </c>
      <c r="Z28">
        <f>X.cost-Z.cost</f>
        <v>0</v>
      </c>
      <c r="AA28">
        <f>Y.cost-Z.cost</f>
        <v>0</v>
      </c>
      <c r="AB28" s="1"/>
      <c r="AD28" t="s">
        <v>28</v>
      </c>
      <c r="AE28" t="e">
        <f t="shared" si="1"/>
        <v>#DIV/0!</v>
      </c>
      <c r="AF28" t="e">
        <f t="shared" si="22"/>
        <v>#DIV/0!</v>
      </c>
      <c r="AG28" t="e">
        <f t="shared" si="23"/>
        <v>#DIV/0!</v>
      </c>
      <c r="AH28" t="e">
        <f t="shared" si="24"/>
        <v>#DIV/0!</v>
      </c>
      <c r="AI28" t="e">
        <f t="shared" si="25"/>
        <v>#DIV/0!</v>
      </c>
      <c r="AJ28" t="e">
        <f t="shared" si="26"/>
        <v>#DIV/0!</v>
      </c>
      <c r="AK28" t="e">
        <f t="shared" si="2"/>
        <v>#DIV/0!</v>
      </c>
      <c r="AL28" t="e">
        <f t="shared" si="3"/>
        <v>#DIV/0!</v>
      </c>
      <c r="AM28" t="e">
        <f t="shared" si="4"/>
        <v>#DIV/0!</v>
      </c>
      <c r="AN28" t="e">
        <f t="shared" si="5"/>
        <v>#DIV/0!</v>
      </c>
      <c r="AO28" t="e">
        <f t="shared" si="6"/>
        <v>#DIV/0!</v>
      </c>
      <c r="AP28" t="e">
        <f t="shared" si="7"/>
        <v>#DIV/0!</v>
      </c>
      <c r="AQ28" t="e">
        <f t="shared" si="8"/>
        <v>#DIV/0!</v>
      </c>
      <c r="AR28" t="e">
        <f t="shared" si="9"/>
        <v>#DIV/0!</v>
      </c>
      <c r="AS28" t="e">
        <f t="shared" si="10"/>
        <v>#DIV/0!</v>
      </c>
      <c r="AT28" t="e">
        <f t="shared" si="11"/>
        <v>#DIV/0!</v>
      </c>
      <c r="AU28" t="e">
        <f t="shared" si="12"/>
        <v>#DIV/0!</v>
      </c>
      <c r="AV28" t="e">
        <f t="shared" si="13"/>
        <v>#DIV/0!</v>
      </c>
      <c r="AW28" t="e">
        <f t="shared" si="14"/>
        <v>#DIV/0!</v>
      </c>
      <c r="AX28" t="e">
        <f t="shared" si="15"/>
        <v>#DIV/0!</v>
      </c>
      <c r="AY28" t="e">
        <f t="shared" si="16"/>
        <v>#DIV/0!</v>
      </c>
      <c r="AZ28" t="e">
        <f t="shared" si="17"/>
        <v>#DIV/0!</v>
      </c>
      <c r="BA28" t="e">
        <f t="shared" si="18"/>
        <v>#DIV/0!</v>
      </c>
      <c r="BB28" t="e">
        <f t="shared" si="19"/>
        <v>#DIV/0!</v>
      </c>
      <c r="BC28" t="e">
        <f t="shared" si="20"/>
        <v>#DIV/0!</v>
      </c>
      <c r="BD28" t="e">
        <f t="shared" si="21"/>
        <v>#DIV/0!</v>
      </c>
    </row>
    <row r="31" spans="2:56" x14ac:dyDescent="0.25">
      <c r="B31" t="s">
        <v>32</v>
      </c>
      <c r="C31" t="s">
        <v>3</v>
      </c>
      <c r="D31" t="s">
        <v>4</v>
      </c>
      <c r="E31" t="s">
        <v>5</v>
      </c>
      <c r="F31" t="s">
        <v>6</v>
      </c>
      <c r="G31" t="s">
        <v>7</v>
      </c>
      <c r="H31" t="s">
        <v>8</v>
      </c>
      <c r="I31" t="s">
        <v>9</v>
      </c>
      <c r="J31" t="s">
        <v>10</v>
      </c>
      <c r="K31" t="s">
        <v>11</v>
      </c>
      <c r="L31" t="s">
        <v>12</v>
      </c>
      <c r="M31" t="s">
        <v>13</v>
      </c>
      <c r="N31" t="s">
        <v>14</v>
      </c>
      <c r="O31" t="s">
        <v>15</v>
      </c>
      <c r="P31" t="s">
        <v>16</v>
      </c>
      <c r="Q31" t="s">
        <v>18</v>
      </c>
      <c r="R31" t="s">
        <v>17</v>
      </c>
      <c r="S31" t="s">
        <v>19</v>
      </c>
      <c r="T31" t="s">
        <v>20</v>
      </c>
      <c r="U31" t="s">
        <v>21</v>
      </c>
      <c r="V31" t="s">
        <v>22</v>
      </c>
      <c r="W31" t="s">
        <v>23</v>
      </c>
      <c r="X31" t="s">
        <v>24</v>
      </c>
      <c r="Y31" t="s">
        <v>25</v>
      </c>
      <c r="Z31" t="s">
        <v>26</v>
      </c>
      <c r="AA31" t="s">
        <v>27</v>
      </c>
      <c r="AB31" t="s">
        <v>28</v>
      </c>
      <c r="AD31" t="s">
        <v>34</v>
      </c>
      <c r="AE31" t="s">
        <v>3</v>
      </c>
      <c r="AF31" t="s">
        <v>4</v>
      </c>
      <c r="AG31" t="s">
        <v>5</v>
      </c>
      <c r="AH31" t="s">
        <v>6</v>
      </c>
      <c r="AI31" t="s">
        <v>7</v>
      </c>
      <c r="AJ31" t="s">
        <v>8</v>
      </c>
      <c r="AK31" t="s">
        <v>9</v>
      </c>
      <c r="AL31" t="s">
        <v>10</v>
      </c>
      <c r="AM31" t="s">
        <v>11</v>
      </c>
      <c r="AN31" t="s">
        <v>12</v>
      </c>
      <c r="AO31" t="s">
        <v>13</v>
      </c>
      <c r="AP31" t="s">
        <v>14</v>
      </c>
      <c r="AQ31" t="s">
        <v>15</v>
      </c>
      <c r="AR31" t="s">
        <v>16</v>
      </c>
      <c r="AS31" t="s">
        <v>18</v>
      </c>
      <c r="AT31" t="s">
        <v>17</v>
      </c>
      <c r="AU31" t="s">
        <v>19</v>
      </c>
      <c r="AV31" t="s">
        <v>20</v>
      </c>
      <c r="AW31" t="s">
        <v>21</v>
      </c>
      <c r="AX31" t="s">
        <v>22</v>
      </c>
      <c r="AY31" t="s">
        <v>23</v>
      </c>
      <c r="AZ31" t="s">
        <v>24</v>
      </c>
      <c r="BA31" t="s">
        <v>25</v>
      </c>
      <c r="BB31" t="s">
        <v>26</v>
      </c>
      <c r="BC31" t="s">
        <v>27</v>
      </c>
      <c r="BD31" t="s">
        <v>28</v>
      </c>
    </row>
    <row r="32" spans="2:56" x14ac:dyDescent="0.25">
      <c r="B32" t="s">
        <v>3</v>
      </c>
      <c r="C32" s="1"/>
      <c r="D32">
        <f>B.ben-A.ben</f>
        <v>0</v>
      </c>
      <c r="E32">
        <f>C.ben-A.ben</f>
        <v>0</v>
      </c>
      <c r="F32">
        <f>D.ben-A.ben</f>
        <v>0</v>
      </c>
      <c r="G32">
        <f>E.ben - A.ben</f>
        <v>0</v>
      </c>
      <c r="H32">
        <f>F.ben-A.ben</f>
        <v>0</v>
      </c>
      <c r="I32">
        <f>G.ben-A.ben</f>
        <v>0</v>
      </c>
      <c r="J32">
        <f>H.ben-A.ben</f>
        <v>0</v>
      </c>
      <c r="K32">
        <f>I.ben-A.ben</f>
        <v>0</v>
      </c>
      <c r="L32">
        <f>J.ben-A.ben</f>
        <v>0</v>
      </c>
      <c r="M32">
        <f>K.ben-A.ben</f>
        <v>0</v>
      </c>
      <c r="N32">
        <f>L.ben-A.ben</f>
        <v>0</v>
      </c>
      <c r="O32">
        <f>M.ben-A.ben</f>
        <v>0</v>
      </c>
      <c r="P32">
        <f>N.ben-A.ben</f>
        <v>0</v>
      </c>
      <c r="Q32">
        <f>O.ben-A.ben</f>
        <v>0</v>
      </c>
      <c r="R32">
        <f>P.ben-A.ben</f>
        <v>0</v>
      </c>
      <c r="S32">
        <f>Q.ben-A.ben</f>
        <v>0</v>
      </c>
      <c r="T32">
        <f>R.ben-A.ben</f>
        <v>0</v>
      </c>
      <c r="U32">
        <f>S.ben-A.ben</f>
        <v>0</v>
      </c>
      <c r="V32">
        <f>T.ben-A.ben</f>
        <v>0</v>
      </c>
      <c r="W32">
        <f>U.ben-A.ben</f>
        <v>0</v>
      </c>
      <c r="X32">
        <f>V.ben-A.ben</f>
        <v>0</v>
      </c>
      <c r="Y32">
        <f>W.ben-A.ben</f>
        <v>0</v>
      </c>
      <c r="Z32">
        <f>X.ben-A.ben</f>
        <v>0</v>
      </c>
      <c r="AA32">
        <f>Y.ben-A.ben</f>
        <v>0</v>
      </c>
      <c r="AB32">
        <f>Z.ben-A.ben</f>
        <v>0</v>
      </c>
      <c r="AD32" t="s">
        <v>3</v>
      </c>
      <c r="AE32" t="str">
        <f>IF(NOT(ISERROR(AE3)),IF(AND(AE3&gt;0,AE3&lt;90),ROUND(TAN(AE3*PI()/180),0),IF(AND(AE3&gt;=90,AE3&lt;180),"Dom'd",IF(AND(AE3&gt;=180,AE3&lt;270),CONCATENATE("(",ROUND(TAN((AE3-180)*PI()/180),0),")"),IF(AE3&lt;360,"Dom's","")))),"")</f>
        <v/>
      </c>
      <c r="AF32" t="str">
        <f t="shared" ref="AF32:BD42" si="27">IF(NOT(ISERROR(AF3)),IF(AND(AF3&gt;0,AF3&lt;90),ROUND(TAN(AF3*PI()/180),0),IF(AND(AF3&gt;=90,AF3&lt;180),"Dom'd",IF(AND(AF3&gt;=180,AF3&lt;270),CONCATENATE("(",ROUND(TAN((AF3-180)*PI()/180),0),")"),IF(AF3&lt;360,"Dom's","")))),"")</f>
        <v/>
      </c>
      <c r="AG32" t="str">
        <f t="shared" si="27"/>
        <v/>
      </c>
      <c r="AH32" t="str">
        <f t="shared" si="27"/>
        <v/>
      </c>
      <c r="AI32" t="str">
        <f t="shared" si="27"/>
        <v/>
      </c>
      <c r="AJ32" t="str">
        <f t="shared" si="27"/>
        <v/>
      </c>
      <c r="AK32" t="str">
        <f t="shared" si="27"/>
        <v/>
      </c>
      <c r="AL32" t="str">
        <f t="shared" si="27"/>
        <v/>
      </c>
      <c r="AM32" t="str">
        <f t="shared" si="27"/>
        <v/>
      </c>
      <c r="AN32" t="str">
        <f t="shared" si="27"/>
        <v/>
      </c>
      <c r="AO32" t="str">
        <f t="shared" si="27"/>
        <v/>
      </c>
      <c r="AP32" t="str">
        <f t="shared" si="27"/>
        <v/>
      </c>
      <c r="AQ32" t="str">
        <f t="shared" si="27"/>
        <v/>
      </c>
      <c r="AR32" t="str">
        <f t="shared" si="27"/>
        <v/>
      </c>
      <c r="AS32" t="str">
        <f t="shared" si="27"/>
        <v/>
      </c>
      <c r="AT32" t="str">
        <f t="shared" si="27"/>
        <v/>
      </c>
      <c r="AU32" t="str">
        <f t="shared" si="27"/>
        <v/>
      </c>
      <c r="AV32" t="str">
        <f t="shared" si="27"/>
        <v/>
      </c>
      <c r="AW32" t="str">
        <f t="shared" si="27"/>
        <v/>
      </c>
      <c r="AX32" t="str">
        <f t="shared" si="27"/>
        <v/>
      </c>
      <c r="AY32" t="str">
        <f t="shared" si="27"/>
        <v/>
      </c>
      <c r="AZ32" t="str">
        <f t="shared" si="27"/>
        <v/>
      </c>
      <c r="BA32" t="str">
        <f t="shared" si="27"/>
        <v/>
      </c>
      <c r="BB32" t="str">
        <f t="shared" si="27"/>
        <v/>
      </c>
      <c r="BC32" t="str">
        <f t="shared" si="27"/>
        <v/>
      </c>
      <c r="BD32" t="str">
        <f t="shared" si="27"/>
        <v/>
      </c>
    </row>
    <row r="33" spans="2:56" x14ac:dyDescent="0.25">
      <c r="B33" t="s">
        <v>4</v>
      </c>
      <c r="C33">
        <f>A.ben-B.ben</f>
        <v>0</v>
      </c>
      <c r="D33" s="1"/>
      <c r="E33">
        <f>C.ben - B.ben</f>
        <v>0</v>
      </c>
      <c r="F33">
        <f>D.ben-B.ben</f>
        <v>0</v>
      </c>
      <c r="G33">
        <f>E.ben-B.ben</f>
        <v>0</v>
      </c>
      <c r="H33">
        <f>F.ben-B.ben</f>
        <v>0</v>
      </c>
      <c r="I33">
        <f>G.ben-B.ben</f>
        <v>0</v>
      </c>
      <c r="J33">
        <f>H.ben-B.ben</f>
        <v>0</v>
      </c>
      <c r="K33">
        <f>I.ben-B.ben</f>
        <v>0</v>
      </c>
      <c r="L33">
        <f>J.ben-B.ben</f>
        <v>0</v>
      </c>
      <c r="M33">
        <f>K.ben-B.ben</f>
        <v>0</v>
      </c>
      <c r="N33">
        <f>L.ben-B.ben</f>
        <v>0</v>
      </c>
      <c r="O33">
        <f>M.ben-B.ben</f>
        <v>0</v>
      </c>
      <c r="P33">
        <f>N.ben-B.ben</f>
        <v>0</v>
      </c>
      <c r="Q33">
        <f>O.ben-B.ben</f>
        <v>0</v>
      </c>
      <c r="R33">
        <f>P.ben-B.ben</f>
        <v>0</v>
      </c>
      <c r="S33">
        <f>Q.ben-B.ben</f>
        <v>0</v>
      </c>
      <c r="T33">
        <f>R.ben-B.ben</f>
        <v>0</v>
      </c>
      <c r="U33">
        <f>S.ben-B.ben</f>
        <v>0</v>
      </c>
      <c r="V33">
        <f>T.ben-B.ben</f>
        <v>0</v>
      </c>
      <c r="W33">
        <f>U.ben-B.ben</f>
        <v>0</v>
      </c>
      <c r="X33">
        <f>V.ben-B.ben</f>
        <v>0</v>
      </c>
      <c r="Y33">
        <f>W.ben-B.ben</f>
        <v>0</v>
      </c>
      <c r="Z33">
        <f>X.ben-B.ben</f>
        <v>0</v>
      </c>
      <c r="AA33">
        <f>Y.ben-B.ben</f>
        <v>0</v>
      </c>
      <c r="AB33">
        <f>Z.ben-B.ben</f>
        <v>0</v>
      </c>
      <c r="AD33" t="s">
        <v>4</v>
      </c>
      <c r="AE33" t="str">
        <f t="shared" ref="AE33:AT57" si="28">IF(NOT(ISERROR(AE4)),IF(AND(AE4&gt;0,AE4&lt;90),ROUND(TAN(AE4*PI()/180),0),IF(AND(AE4&gt;=90,AE4&lt;180),"Dom'd",IF(AND(AE4&gt;=180,AE4&lt;270),CONCATENATE("(",ROUND(TAN((AE4-180)*PI()/180),0),")"),IF(AE4&lt;360,"Dom's","")))),"")</f>
        <v/>
      </c>
      <c r="AF33" t="str">
        <f t="shared" si="28"/>
        <v/>
      </c>
      <c r="AG33" t="str">
        <f t="shared" si="28"/>
        <v/>
      </c>
      <c r="AH33" t="str">
        <f t="shared" si="28"/>
        <v/>
      </c>
      <c r="AI33" t="str">
        <f t="shared" si="28"/>
        <v/>
      </c>
      <c r="AJ33" t="str">
        <f t="shared" si="28"/>
        <v/>
      </c>
      <c r="AK33" t="str">
        <f t="shared" si="28"/>
        <v/>
      </c>
      <c r="AL33" t="str">
        <f t="shared" si="28"/>
        <v/>
      </c>
      <c r="AM33" t="str">
        <f t="shared" si="28"/>
        <v/>
      </c>
      <c r="AN33" t="str">
        <f t="shared" si="28"/>
        <v/>
      </c>
      <c r="AO33" t="str">
        <f t="shared" si="28"/>
        <v/>
      </c>
      <c r="AP33" t="str">
        <f t="shared" si="28"/>
        <v/>
      </c>
      <c r="AQ33" t="str">
        <f t="shared" si="28"/>
        <v/>
      </c>
      <c r="AR33" t="str">
        <f t="shared" si="28"/>
        <v/>
      </c>
      <c r="AS33" t="str">
        <f t="shared" si="28"/>
        <v/>
      </c>
      <c r="AT33" t="str">
        <f t="shared" si="28"/>
        <v/>
      </c>
      <c r="AU33" t="str">
        <f t="shared" si="27"/>
        <v/>
      </c>
      <c r="AV33" t="str">
        <f t="shared" si="27"/>
        <v/>
      </c>
      <c r="AW33" t="str">
        <f t="shared" si="27"/>
        <v/>
      </c>
      <c r="AX33" t="str">
        <f t="shared" si="27"/>
        <v/>
      </c>
      <c r="AY33" t="str">
        <f t="shared" si="27"/>
        <v/>
      </c>
      <c r="AZ33" t="str">
        <f t="shared" si="27"/>
        <v/>
      </c>
      <c r="BA33" t="str">
        <f t="shared" si="27"/>
        <v/>
      </c>
      <c r="BB33" t="str">
        <f t="shared" si="27"/>
        <v/>
      </c>
      <c r="BC33" t="str">
        <f t="shared" si="27"/>
        <v/>
      </c>
      <c r="BD33" t="str">
        <f t="shared" si="27"/>
        <v/>
      </c>
    </row>
    <row r="34" spans="2:56" x14ac:dyDescent="0.25">
      <c r="B34" t="s">
        <v>5</v>
      </c>
      <c r="C34">
        <f>A.ben-C.ben</f>
        <v>0</v>
      </c>
      <c r="D34">
        <f>B.ben-C.ben</f>
        <v>0</v>
      </c>
      <c r="E34" s="1"/>
      <c r="F34">
        <f>D.ben-C.ben</f>
        <v>0</v>
      </c>
      <c r="G34">
        <f>E.ben-C.ben</f>
        <v>0</v>
      </c>
      <c r="H34">
        <f>F.ben-C.ben</f>
        <v>0</v>
      </c>
      <c r="I34">
        <f>G.ben-C.ben</f>
        <v>0</v>
      </c>
      <c r="J34">
        <f>H.ben-C.ben</f>
        <v>0</v>
      </c>
      <c r="K34">
        <f>I.ben-C.ben</f>
        <v>0</v>
      </c>
      <c r="L34">
        <f>J.ben-C.ben</f>
        <v>0</v>
      </c>
      <c r="M34">
        <f>K.ben-C.ben</f>
        <v>0</v>
      </c>
      <c r="N34">
        <f>L.ben-C.ben</f>
        <v>0</v>
      </c>
      <c r="O34">
        <f>M.ben-C.ben</f>
        <v>0</v>
      </c>
      <c r="P34">
        <f>N.ben-C.ben</f>
        <v>0</v>
      </c>
      <c r="Q34">
        <f>O.ben-C.ben</f>
        <v>0</v>
      </c>
      <c r="R34">
        <f>P.ben-C.ben</f>
        <v>0</v>
      </c>
      <c r="S34">
        <f>Q.ben-C.ben</f>
        <v>0</v>
      </c>
      <c r="T34">
        <f>R.ben-C.ben</f>
        <v>0</v>
      </c>
      <c r="U34">
        <f>S.ben-C.ben</f>
        <v>0</v>
      </c>
      <c r="V34">
        <f>T.ben-C.ben</f>
        <v>0</v>
      </c>
      <c r="W34">
        <f>U.ben-C.ben</f>
        <v>0</v>
      </c>
      <c r="X34">
        <f>V.ben-C.ben</f>
        <v>0</v>
      </c>
      <c r="Y34">
        <f>W.ben-C.ben</f>
        <v>0</v>
      </c>
      <c r="Z34">
        <f>X.ben-C.ben</f>
        <v>0</v>
      </c>
      <c r="AA34">
        <f>Y.ben-C.ben</f>
        <v>0</v>
      </c>
      <c r="AB34">
        <f>Z.ben-C.ben</f>
        <v>0</v>
      </c>
      <c r="AD34" t="s">
        <v>5</v>
      </c>
      <c r="AE34" t="str">
        <f t="shared" si="28"/>
        <v/>
      </c>
      <c r="AF34" t="str">
        <f t="shared" si="27"/>
        <v/>
      </c>
      <c r="AG34" t="str">
        <f t="shared" si="27"/>
        <v/>
      </c>
      <c r="AH34" t="str">
        <f t="shared" si="27"/>
        <v/>
      </c>
      <c r="AI34" t="str">
        <f t="shared" si="27"/>
        <v/>
      </c>
      <c r="AJ34" t="str">
        <f t="shared" si="27"/>
        <v/>
      </c>
      <c r="AK34" t="str">
        <f t="shared" si="27"/>
        <v/>
      </c>
      <c r="AL34" t="str">
        <f t="shared" si="27"/>
        <v/>
      </c>
      <c r="AM34" t="str">
        <f t="shared" si="27"/>
        <v/>
      </c>
      <c r="AN34" t="str">
        <f t="shared" si="27"/>
        <v/>
      </c>
      <c r="AO34" t="str">
        <f t="shared" si="27"/>
        <v/>
      </c>
      <c r="AP34" t="str">
        <f t="shared" si="27"/>
        <v/>
      </c>
      <c r="AQ34" t="str">
        <f t="shared" si="27"/>
        <v/>
      </c>
      <c r="AR34" t="str">
        <f t="shared" si="27"/>
        <v/>
      </c>
      <c r="AS34" t="str">
        <f t="shared" si="27"/>
        <v/>
      </c>
      <c r="AT34" t="str">
        <f t="shared" si="27"/>
        <v/>
      </c>
      <c r="AU34" t="str">
        <f t="shared" si="27"/>
        <v/>
      </c>
      <c r="AV34" t="str">
        <f t="shared" si="27"/>
        <v/>
      </c>
      <c r="AW34" t="str">
        <f t="shared" si="27"/>
        <v/>
      </c>
      <c r="AX34" t="str">
        <f t="shared" si="27"/>
        <v/>
      </c>
      <c r="AY34" t="str">
        <f t="shared" si="27"/>
        <v/>
      </c>
      <c r="AZ34" t="str">
        <f t="shared" si="27"/>
        <v/>
      </c>
      <c r="BA34" t="str">
        <f t="shared" si="27"/>
        <v/>
      </c>
      <c r="BB34" t="str">
        <f t="shared" si="27"/>
        <v/>
      </c>
      <c r="BC34" t="str">
        <f t="shared" si="27"/>
        <v/>
      </c>
      <c r="BD34" t="str">
        <f t="shared" si="27"/>
        <v/>
      </c>
    </row>
    <row r="35" spans="2:56" x14ac:dyDescent="0.25">
      <c r="B35" t="s">
        <v>6</v>
      </c>
      <c r="C35">
        <f>A.ben-D.ben</f>
        <v>0</v>
      </c>
      <c r="D35">
        <f>B.ben-D.ben</f>
        <v>0</v>
      </c>
      <c r="E35">
        <f>C.ben-D.ben</f>
        <v>0</v>
      </c>
      <c r="F35" s="1"/>
      <c r="G35">
        <f>E.ben-D.ben</f>
        <v>0</v>
      </c>
      <c r="H35">
        <f>F.ben-D.ben</f>
        <v>0</v>
      </c>
      <c r="I35">
        <f>G.ben - D.ben</f>
        <v>0</v>
      </c>
      <c r="J35">
        <f>H.ben-D.ben</f>
        <v>0</v>
      </c>
      <c r="K35">
        <f>I.ben-D.ben</f>
        <v>0</v>
      </c>
      <c r="L35">
        <f>J.ben-D.ben</f>
        <v>0</v>
      </c>
      <c r="M35">
        <f>K.ben-D.ben</f>
        <v>0</v>
      </c>
      <c r="N35">
        <f>L.ben-D.ben</f>
        <v>0</v>
      </c>
      <c r="O35">
        <f>M.ben-D.ben</f>
        <v>0</v>
      </c>
      <c r="P35">
        <f>N.ben-D.ben</f>
        <v>0</v>
      </c>
      <c r="Q35">
        <f>O.ben-D.ben</f>
        <v>0</v>
      </c>
      <c r="R35">
        <f>P.ben-D.ben</f>
        <v>0</v>
      </c>
      <c r="S35">
        <f>Q.ben-D.ben</f>
        <v>0</v>
      </c>
      <c r="T35">
        <f>R.ben-D.ben</f>
        <v>0</v>
      </c>
      <c r="U35">
        <f>S.ben-D.ben</f>
        <v>0</v>
      </c>
      <c r="V35">
        <f>T.ben-D.ben</f>
        <v>0</v>
      </c>
      <c r="W35">
        <f>U.ben-D.ben</f>
        <v>0</v>
      </c>
      <c r="X35">
        <f>V.ben-D.ben</f>
        <v>0</v>
      </c>
      <c r="Y35">
        <f>W.ben-D.ben</f>
        <v>0</v>
      </c>
      <c r="Z35">
        <f>X.ben-D.ben</f>
        <v>0</v>
      </c>
      <c r="AA35">
        <f>Y.ben-D.ben</f>
        <v>0</v>
      </c>
      <c r="AB35">
        <f>Z.ben-D.ben</f>
        <v>0</v>
      </c>
      <c r="AD35" t="s">
        <v>6</v>
      </c>
      <c r="AE35" t="str">
        <f t="shared" si="28"/>
        <v/>
      </c>
      <c r="AF35" t="str">
        <f t="shared" si="27"/>
        <v/>
      </c>
      <c r="AG35" t="str">
        <f t="shared" si="27"/>
        <v/>
      </c>
      <c r="AH35" t="str">
        <f t="shared" si="27"/>
        <v/>
      </c>
      <c r="AI35" t="str">
        <f t="shared" si="27"/>
        <v/>
      </c>
      <c r="AJ35" t="str">
        <f t="shared" si="27"/>
        <v/>
      </c>
      <c r="AK35" t="str">
        <f t="shared" si="27"/>
        <v/>
      </c>
      <c r="AL35" t="str">
        <f t="shared" si="27"/>
        <v/>
      </c>
      <c r="AM35" t="str">
        <f t="shared" si="27"/>
        <v/>
      </c>
      <c r="AN35" t="str">
        <f t="shared" si="27"/>
        <v/>
      </c>
      <c r="AO35" t="str">
        <f t="shared" si="27"/>
        <v/>
      </c>
      <c r="AP35" t="str">
        <f t="shared" si="27"/>
        <v/>
      </c>
      <c r="AQ35" t="str">
        <f t="shared" si="27"/>
        <v/>
      </c>
      <c r="AR35" t="str">
        <f t="shared" si="27"/>
        <v/>
      </c>
      <c r="AS35" t="str">
        <f t="shared" si="27"/>
        <v/>
      </c>
      <c r="AT35" t="str">
        <f t="shared" si="27"/>
        <v/>
      </c>
      <c r="AU35" t="str">
        <f t="shared" si="27"/>
        <v/>
      </c>
      <c r="AV35" t="str">
        <f t="shared" si="27"/>
        <v/>
      </c>
      <c r="AW35" t="str">
        <f t="shared" si="27"/>
        <v/>
      </c>
      <c r="AX35" t="str">
        <f t="shared" si="27"/>
        <v/>
      </c>
      <c r="AY35" t="str">
        <f t="shared" si="27"/>
        <v/>
      </c>
      <c r="AZ35" t="str">
        <f t="shared" si="27"/>
        <v/>
      </c>
      <c r="BA35" t="str">
        <f t="shared" si="27"/>
        <v/>
      </c>
      <c r="BB35" t="str">
        <f t="shared" si="27"/>
        <v/>
      </c>
      <c r="BC35" t="str">
        <f t="shared" si="27"/>
        <v/>
      </c>
      <c r="BD35" t="str">
        <f t="shared" si="27"/>
        <v/>
      </c>
    </row>
    <row r="36" spans="2:56" x14ac:dyDescent="0.25">
      <c r="B36" t="s">
        <v>7</v>
      </c>
      <c r="C36">
        <f>A.ben-E.ben</f>
        <v>0</v>
      </c>
      <c r="D36">
        <f>B.ben-E.ben</f>
        <v>0</v>
      </c>
      <c r="E36">
        <f>C.ben-E.ben</f>
        <v>0</v>
      </c>
      <c r="F36">
        <f>D.ben-E.ben</f>
        <v>0</v>
      </c>
      <c r="G36" s="1"/>
      <c r="H36">
        <f>F.ben-E.ben</f>
        <v>0</v>
      </c>
      <c r="I36">
        <f>G.ben - E.ben</f>
        <v>0</v>
      </c>
      <c r="J36">
        <f>H.ben-E.ben</f>
        <v>0</v>
      </c>
      <c r="K36">
        <f>I.ben-E.ben</f>
        <v>0</v>
      </c>
      <c r="L36">
        <f>J.ben-E.ben</f>
        <v>0</v>
      </c>
      <c r="M36">
        <f>K.ben-E.ben</f>
        <v>0</v>
      </c>
      <c r="N36">
        <f>L.ben-E.ben</f>
        <v>0</v>
      </c>
      <c r="O36">
        <f>M.ben-E.ben</f>
        <v>0</v>
      </c>
      <c r="P36">
        <f>N.ben-E.ben</f>
        <v>0</v>
      </c>
      <c r="Q36">
        <f>O.ben-E.ben</f>
        <v>0</v>
      </c>
      <c r="R36">
        <f>P.ben-E.ben</f>
        <v>0</v>
      </c>
      <c r="S36">
        <f>Q.ben-E.ben</f>
        <v>0</v>
      </c>
      <c r="T36">
        <f>R.ben-E.ben</f>
        <v>0</v>
      </c>
      <c r="U36">
        <f>S.ben-E.ben</f>
        <v>0</v>
      </c>
      <c r="V36">
        <f>T.ben-E.ben</f>
        <v>0</v>
      </c>
      <c r="W36">
        <f>U.ben-E.ben</f>
        <v>0</v>
      </c>
      <c r="X36">
        <f>V.ben-E.ben</f>
        <v>0</v>
      </c>
      <c r="Y36">
        <f>W.ben-E.ben</f>
        <v>0</v>
      </c>
      <c r="Z36">
        <f>X.ben-E.ben</f>
        <v>0</v>
      </c>
      <c r="AA36">
        <f>Y.ben-E.ben</f>
        <v>0</v>
      </c>
      <c r="AB36">
        <f>Z.ben-E.ben</f>
        <v>0</v>
      </c>
      <c r="AD36" t="s">
        <v>7</v>
      </c>
      <c r="AE36" t="str">
        <f t="shared" si="28"/>
        <v/>
      </c>
      <c r="AF36" t="str">
        <f t="shared" si="27"/>
        <v/>
      </c>
      <c r="AG36" t="str">
        <f t="shared" si="27"/>
        <v/>
      </c>
      <c r="AH36" t="str">
        <f t="shared" si="27"/>
        <v/>
      </c>
      <c r="AI36" t="str">
        <f t="shared" si="27"/>
        <v/>
      </c>
      <c r="AJ36" t="str">
        <f t="shared" si="27"/>
        <v/>
      </c>
      <c r="AK36" t="str">
        <f t="shared" si="27"/>
        <v/>
      </c>
      <c r="AL36" t="str">
        <f t="shared" si="27"/>
        <v/>
      </c>
      <c r="AM36" t="str">
        <f t="shared" si="27"/>
        <v/>
      </c>
      <c r="AN36" t="str">
        <f t="shared" si="27"/>
        <v/>
      </c>
      <c r="AO36" t="str">
        <f t="shared" si="27"/>
        <v/>
      </c>
      <c r="AP36" t="str">
        <f t="shared" si="27"/>
        <v/>
      </c>
      <c r="AQ36" t="str">
        <f t="shared" si="27"/>
        <v/>
      </c>
      <c r="AR36" t="str">
        <f t="shared" si="27"/>
        <v/>
      </c>
      <c r="AS36" t="str">
        <f t="shared" si="27"/>
        <v/>
      </c>
      <c r="AT36" t="str">
        <f t="shared" si="27"/>
        <v/>
      </c>
      <c r="AU36" t="str">
        <f t="shared" si="27"/>
        <v/>
      </c>
      <c r="AV36" t="str">
        <f t="shared" si="27"/>
        <v/>
      </c>
      <c r="AW36" t="str">
        <f t="shared" si="27"/>
        <v/>
      </c>
      <c r="AX36" t="str">
        <f t="shared" si="27"/>
        <v/>
      </c>
      <c r="AY36" t="str">
        <f t="shared" si="27"/>
        <v/>
      </c>
      <c r="AZ36" t="str">
        <f t="shared" si="27"/>
        <v/>
      </c>
      <c r="BA36" t="str">
        <f t="shared" si="27"/>
        <v/>
      </c>
      <c r="BB36" t="str">
        <f t="shared" si="27"/>
        <v/>
      </c>
      <c r="BC36" t="str">
        <f t="shared" si="27"/>
        <v/>
      </c>
      <c r="BD36" t="str">
        <f t="shared" si="27"/>
        <v/>
      </c>
    </row>
    <row r="37" spans="2:56" x14ac:dyDescent="0.25">
      <c r="B37" t="s">
        <v>8</v>
      </c>
      <c r="C37">
        <f>A.ben-F.ben</f>
        <v>0</v>
      </c>
      <c r="D37">
        <f>B.ben-F.ben</f>
        <v>0</v>
      </c>
      <c r="E37">
        <f>C.ben-F.ben</f>
        <v>0</v>
      </c>
      <c r="F37">
        <f>D.ben-F.ben</f>
        <v>0</v>
      </c>
      <c r="G37" s="2">
        <f>E.ben-F.ben</f>
        <v>0</v>
      </c>
      <c r="H37" s="1"/>
      <c r="I37">
        <f>G.ben - F.ben</f>
        <v>0</v>
      </c>
      <c r="J37">
        <f>H.ben-F.ben</f>
        <v>0</v>
      </c>
      <c r="K37">
        <f>I.ben-F.ben</f>
        <v>0</v>
      </c>
      <c r="L37">
        <f>J.ben-F.ben</f>
        <v>0</v>
      </c>
      <c r="M37">
        <f>K.ben-F.ben</f>
        <v>0</v>
      </c>
      <c r="N37">
        <f>L.ben-F.ben</f>
        <v>0</v>
      </c>
      <c r="O37">
        <f>M.ben-F.ben</f>
        <v>0</v>
      </c>
      <c r="P37">
        <f>N.ben-F.ben</f>
        <v>0</v>
      </c>
      <c r="Q37">
        <f>O.ben-F.ben</f>
        <v>0</v>
      </c>
      <c r="R37">
        <f>P.ben-F.ben</f>
        <v>0</v>
      </c>
      <c r="S37">
        <f>Q.ben-F.ben</f>
        <v>0</v>
      </c>
      <c r="T37">
        <f>R.ben-F.ben</f>
        <v>0</v>
      </c>
      <c r="U37">
        <f>S.ben-F.ben</f>
        <v>0</v>
      </c>
      <c r="V37">
        <f>T.ben-F.ben</f>
        <v>0</v>
      </c>
      <c r="W37">
        <f>U.ben-F.ben</f>
        <v>0</v>
      </c>
      <c r="X37">
        <f>V.ben-F.ben</f>
        <v>0</v>
      </c>
      <c r="Y37">
        <f>W.ben-F.ben</f>
        <v>0</v>
      </c>
      <c r="Z37">
        <f>X.ben-F.ben</f>
        <v>0</v>
      </c>
      <c r="AA37">
        <f>Y.ben-F.ben</f>
        <v>0</v>
      </c>
      <c r="AB37">
        <f>Z.ben-F.ben</f>
        <v>0</v>
      </c>
      <c r="AD37" t="s">
        <v>8</v>
      </c>
      <c r="AE37" t="str">
        <f t="shared" si="28"/>
        <v/>
      </c>
      <c r="AF37" t="str">
        <f t="shared" si="27"/>
        <v/>
      </c>
      <c r="AG37" t="str">
        <f t="shared" si="27"/>
        <v/>
      </c>
      <c r="AH37" t="str">
        <f t="shared" si="27"/>
        <v/>
      </c>
      <c r="AI37" t="str">
        <f t="shared" si="27"/>
        <v/>
      </c>
      <c r="AJ37" t="str">
        <f t="shared" si="27"/>
        <v/>
      </c>
      <c r="AK37" t="str">
        <f t="shared" si="27"/>
        <v/>
      </c>
      <c r="AL37" t="str">
        <f t="shared" si="27"/>
        <v/>
      </c>
      <c r="AM37" t="str">
        <f t="shared" si="27"/>
        <v/>
      </c>
      <c r="AN37" t="str">
        <f t="shared" si="27"/>
        <v/>
      </c>
      <c r="AO37" t="str">
        <f t="shared" si="27"/>
        <v/>
      </c>
      <c r="AP37" t="str">
        <f t="shared" si="27"/>
        <v/>
      </c>
      <c r="AQ37" t="str">
        <f t="shared" si="27"/>
        <v/>
      </c>
      <c r="AR37" t="str">
        <f t="shared" si="27"/>
        <v/>
      </c>
      <c r="AS37" t="str">
        <f t="shared" si="27"/>
        <v/>
      </c>
      <c r="AT37" t="str">
        <f t="shared" si="27"/>
        <v/>
      </c>
      <c r="AU37" t="str">
        <f t="shared" si="27"/>
        <v/>
      </c>
      <c r="AV37" t="str">
        <f t="shared" si="27"/>
        <v/>
      </c>
      <c r="AW37" t="str">
        <f t="shared" si="27"/>
        <v/>
      </c>
      <c r="AX37" t="str">
        <f t="shared" si="27"/>
        <v/>
      </c>
      <c r="AY37" t="str">
        <f t="shared" si="27"/>
        <v/>
      </c>
      <c r="AZ37" t="str">
        <f t="shared" si="27"/>
        <v/>
      </c>
      <c r="BA37" t="str">
        <f t="shared" si="27"/>
        <v/>
      </c>
      <c r="BB37" t="str">
        <f t="shared" si="27"/>
        <v/>
      </c>
      <c r="BC37" t="str">
        <f t="shared" si="27"/>
        <v/>
      </c>
      <c r="BD37" t="str">
        <f t="shared" si="27"/>
        <v/>
      </c>
    </row>
    <row r="38" spans="2:56" x14ac:dyDescent="0.25">
      <c r="B38" t="s">
        <v>9</v>
      </c>
      <c r="C38">
        <f>A.ben-G.ben</f>
        <v>0</v>
      </c>
      <c r="D38">
        <f>B.ben-G.ben</f>
        <v>0</v>
      </c>
      <c r="E38">
        <f>C.ben-G.ben</f>
        <v>0</v>
      </c>
      <c r="F38">
        <f>D.ben - G.ben</f>
        <v>0</v>
      </c>
      <c r="G38">
        <f>E.ben-G.ben</f>
        <v>0</v>
      </c>
      <c r="H38">
        <f>F.ben-G.ben</f>
        <v>0</v>
      </c>
      <c r="I38" s="1"/>
      <c r="J38">
        <f>H.ben-G.ben</f>
        <v>0</v>
      </c>
      <c r="K38">
        <f>I.ben-G.ben</f>
        <v>0</v>
      </c>
      <c r="L38">
        <f>J.ben-G.ben</f>
        <v>0</v>
      </c>
      <c r="M38">
        <f>K.ben-G.ben</f>
        <v>0</v>
      </c>
      <c r="N38">
        <f>L.ben-G.ben</f>
        <v>0</v>
      </c>
      <c r="O38">
        <f>M.ben-G.ben</f>
        <v>0</v>
      </c>
      <c r="P38">
        <f>N.ben-G.ben</f>
        <v>0</v>
      </c>
      <c r="Q38">
        <f>O.ben-G.ben</f>
        <v>0</v>
      </c>
      <c r="R38">
        <f>P.ben-G.ben</f>
        <v>0</v>
      </c>
      <c r="S38">
        <f>Q.ben-G.ben</f>
        <v>0</v>
      </c>
      <c r="T38">
        <f>R.ben-G.ben</f>
        <v>0</v>
      </c>
      <c r="U38">
        <f>S.ben-G.ben</f>
        <v>0</v>
      </c>
      <c r="V38">
        <f>T.ben-G.ben</f>
        <v>0</v>
      </c>
      <c r="W38">
        <f>U.ben-G.ben</f>
        <v>0</v>
      </c>
      <c r="X38">
        <f>V.ben-G.ben</f>
        <v>0</v>
      </c>
      <c r="Y38">
        <f>W.ben-G.ben</f>
        <v>0</v>
      </c>
      <c r="Z38">
        <f>X.ben-G.ben</f>
        <v>0</v>
      </c>
      <c r="AA38">
        <f>Y.ben-G.ben</f>
        <v>0</v>
      </c>
      <c r="AB38">
        <f>Z.ben-G.ben</f>
        <v>0</v>
      </c>
      <c r="AD38" t="s">
        <v>9</v>
      </c>
      <c r="AE38" t="str">
        <f t="shared" si="28"/>
        <v/>
      </c>
      <c r="AF38" t="str">
        <f t="shared" si="27"/>
        <v/>
      </c>
      <c r="AG38" t="str">
        <f t="shared" si="27"/>
        <v/>
      </c>
      <c r="AH38" t="str">
        <f t="shared" si="27"/>
        <v/>
      </c>
      <c r="AI38" t="str">
        <f t="shared" si="27"/>
        <v/>
      </c>
      <c r="AJ38" t="str">
        <f t="shared" si="27"/>
        <v/>
      </c>
      <c r="AK38" t="str">
        <f t="shared" si="27"/>
        <v/>
      </c>
      <c r="AL38" t="str">
        <f t="shared" si="27"/>
        <v/>
      </c>
      <c r="AM38" t="str">
        <f t="shared" si="27"/>
        <v/>
      </c>
      <c r="AN38" t="str">
        <f t="shared" si="27"/>
        <v/>
      </c>
      <c r="AO38" t="str">
        <f t="shared" si="27"/>
        <v/>
      </c>
      <c r="AP38" t="str">
        <f t="shared" si="27"/>
        <v/>
      </c>
      <c r="AQ38" t="str">
        <f t="shared" si="27"/>
        <v/>
      </c>
      <c r="AR38" t="str">
        <f t="shared" si="27"/>
        <v/>
      </c>
      <c r="AS38" t="str">
        <f t="shared" si="27"/>
        <v/>
      </c>
      <c r="AT38" t="str">
        <f t="shared" si="27"/>
        <v/>
      </c>
      <c r="AU38" t="str">
        <f t="shared" si="27"/>
        <v/>
      </c>
      <c r="AV38" t="str">
        <f t="shared" si="27"/>
        <v/>
      </c>
      <c r="AW38" t="str">
        <f t="shared" si="27"/>
        <v/>
      </c>
      <c r="AX38" t="str">
        <f t="shared" si="27"/>
        <v/>
      </c>
      <c r="AY38" t="str">
        <f t="shared" si="27"/>
        <v/>
      </c>
      <c r="AZ38" t="str">
        <f t="shared" si="27"/>
        <v/>
      </c>
      <c r="BA38" t="str">
        <f t="shared" si="27"/>
        <v/>
      </c>
      <c r="BB38" t="str">
        <f t="shared" si="27"/>
        <v/>
      </c>
      <c r="BC38" t="str">
        <f t="shared" si="27"/>
        <v/>
      </c>
      <c r="BD38" t="str">
        <f t="shared" si="27"/>
        <v/>
      </c>
    </row>
    <row r="39" spans="2:56" x14ac:dyDescent="0.25">
      <c r="B39" t="s">
        <v>10</v>
      </c>
      <c r="C39">
        <f>A.ben-H.ben</f>
        <v>0</v>
      </c>
      <c r="D39">
        <f>B.ben-H.ben</f>
        <v>0</v>
      </c>
      <c r="E39">
        <f>C.ben-H.ben</f>
        <v>0</v>
      </c>
      <c r="F39">
        <f>D.ben - H.ben</f>
        <v>0</v>
      </c>
      <c r="G39">
        <f>E.ben-H.ben</f>
        <v>0</v>
      </c>
      <c r="H39">
        <f>F.ben-H.ben</f>
        <v>0</v>
      </c>
      <c r="I39">
        <f>G.ben - H.ben</f>
        <v>0</v>
      </c>
      <c r="J39" s="1"/>
      <c r="K39">
        <f>I.ben-H.ben</f>
        <v>0</v>
      </c>
      <c r="L39">
        <f>J.ben-H.ben</f>
        <v>0</v>
      </c>
      <c r="M39">
        <f>K.ben-H.ben</f>
        <v>0</v>
      </c>
      <c r="N39">
        <f>L.ben-H.ben</f>
        <v>0</v>
      </c>
      <c r="O39">
        <f>M.ben-H.ben</f>
        <v>0</v>
      </c>
      <c r="P39">
        <f>N.ben-H.ben</f>
        <v>0</v>
      </c>
      <c r="Q39">
        <f>O.ben-H.ben</f>
        <v>0</v>
      </c>
      <c r="R39">
        <f>P.ben-H.ben</f>
        <v>0</v>
      </c>
      <c r="S39">
        <f>Q.ben-H.ben</f>
        <v>0</v>
      </c>
      <c r="T39">
        <f>R.ben-H.ben</f>
        <v>0</v>
      </c>
      <c r="U39">
        <f>S.ben-H.ben</f>
        <v>0</v>
      </c>
      <c r="V39">
        <f>T.ben-H.ben</f>
        <v>0</v>
      </c>
      <c r="W39">
        <f>U.ben-H.ben</f>
        <v>0</v>
      </c>
      <c r="X39">
        <f>V.ben-H.ben</f>
        <v>0</v>
      </c>
      <c r="Y39">
        <f>W.ben-H.ben</f>
        <v>0</v>
      </c>
      <c r="Z39">
        <f>X.ben-H.ben</f>
        <v>0</v>
      </c>
      <c r="AA39">
        <f>Y.ben-H.ben</f>
        <v>0</v>
      </c>
      <c r="AB39">
        <f>Z.ben-H.ben</f>
        <v>0</v>
      </c>
      <c r="AD39" t="s">
        <v>10</v>
      </c>
      <c r="AE39" t="str">
        <f t="shared" si="28"/>
        <v/>
      </c>
      <c r="AF39" t="str">
        <f t="shared" si="27"/>
        <v/>
      </c>
      <c r="AG39" t="str">
        <f t="shared" si="27"/>
        <v/>
      </c>
      <c r="AH39" t="str">
        <f t="shared" si="27"/>
        <v/>
      </c>
      <c r="AI39" t="str">
        <f t="shared" si="27"/>
        <v/>
      </c>
      <c r="AJ39" t="str">
        <f t="shared" si="27"/>
        <v/>
      </c>
      <c r="AK39" t="str">
        <f t="shared" si="27"/>
        <v/>
      </c>
      <c r="AL39" t="str">
        <f t="shared" si="27"/>
        <v/>
      </c>
      <c r="AM39" t="str">
        <f t="shared" si="27"/>
        <v/>
      </c>
      <c r="AN39" t="str">
        <f t="shared" si="27"/>
        <v/>
      </c>
      <c r="AO39" t="str">
        <f t="shared" si="27"/>
        <v/>
      </c>
      <c r="AP39" t="str">
        <f t="shared" si="27"/>
        <v/>
      </c>
      <c r="AQ39" t="str">
        <f t="shared" si="27"/>
        <v/>
      </c>
      <c r="AR39" t="str">
        <f t="shared" si="27"/>
        <v/>
      </c>
      <c r="AS39" t="str">
        <f t="shared" si="27"/>
        <v/>
      </c>
      <c r="AT39" t="str">
        <f t="shared" si="27"/>
        <v/>
      </c>
      <c r="AU39" t="str">
        <f t="shared" si="27"/>
        <v/>
      </c>
      <c r="AV39" t="str">
        <f t="shared" si="27"/>
        <v/>
      </c>
      <c r="AW39" t="str">
        <f t="shared" si="27"/>
        <v/>
      </c>
      <c r="AX39" t="str">
        <f t="shared" si="27"/>
        <v/>
      </c>
      <c r="AY39" t="str">
        <f t="shared" si="27"/>
        <v/>
      </c>
      <c r="AZ39" t="str">
        <f t="shared" si="27"/>
        <v/>
      </c>
      <c r="BA39" t="str">
        <f t="shared" si="27"/>
        <v/>
      </c>
      <c r="BB39" t="str">
        <f t="shared" si="27"/>
        <v/>
      </c>
      <c r="BC39" t="str">
        <f t="shared" si="27"/>
        <v/>
      </c>
      <c r="BD39" t="str">
        <f t="shared" si="27"/>
        <v/>
      </c>
    </row>
    <row r="40" spans="2:56" x14ac:dyDescent="0.25">
      <c r="B40" t="s">
        <v>11</v>
      </c>
      <c r="C40">
        <f>A.ben-I.ben</f>
        <v>0</v>
      </c>
      <c r="D40">
        <f>B.ben-I.ben</f>
        <v>0</v>
      </c>
      <c r="E40">
        <f>C.ben- I.ben</f>
        <v>0</v>
      </c>
      <c r="F40">
        <f>D.ben - I.ben</f>
        <v>0</v>
      </c>
      <c r="G40">
        <f>E.ben-I.ben</f>
        <v>0</v>
      </c>
      <c r="H40">
        <f>F.ben-I.ben</f>
        <v>0</v>
      </c>
      <c r="I40">
        <f>G.ben - I.ben</f>
        <v>0</v>
      </c>
      <c r="J40">
        <f>H.ben-I.ben</f>
        <v>0</v>
      </c>
      <c r="K40" s="1"/>
      <c r="L40">
        <f>J.ben-I.ben</f>
        <v>0</v>
      </c>
      <c r="M40">
        <f>K.ben-I.ben</f>
        <v>0</v>
      </c>
      <c r="N40">
        <f>L.ben-I.ben</f>
        <v>0</v>
      </c>
      <c r="O40">
        <f>M.ben-I.ben</f>
        <v>0</v>
      </c>
      <c r="P40">
        <f>N.ben-I.ben</f>
        <v>0</v>
      </c>
      <c r="Q40">
        <f>O.ben-I.ben</f>
        <v>0</v>
      </c>
      <c r="R40">
        <f>P.ben-I.ben</f>
        <v>0</v>
      </c>
      <c r="S40">
        <f>Q.ben-I.ben</f>
        <v>0</v>
      </c>
      <c r="T40">
        <f>R.ben-I.ben</f>
        <v>0</v>
      </c>
      <c r="U40">
        <f>S.ben-I.ben</f>
        <v>0</v>
      </c>
      <c r="V40">
        <f>T.ben-I.ben</f>
        <v>0</v>
      </c>
      <c r="W40">
        <f>U.ben-I.ben</f>
        <v>0</v>
      </c>
      <c r="X40">
        <f>V.ben-I.ben</f>
        <v>0</v>
      </c>
      <c r="Y40">
        <f>W.ben-I.ben</f>
        <v>0</v>
      </c>
      <c r="Z40">
        <f>X.ben-I.ben</f>
        <v>0</v>
      </c>
      <c r="AA40">
        <f>Y.ben-I.ben</f>
        <v>0</v>
      </c>
      <c r="AB40">
        <f>Z.ben-I.ben</f>
        <v>0</v>
      </c>
      <c r="AD40" t="s">
        <v>11</v>
      </c>
      <c r="AE40" t="str">
        <f t="shared" si="28"/>
        <v/>
      </c>
      <c r="AF40" t="str">
        <f t="shared" si="27"/>
        <v/>
      </c>
      <c r="AG40" t="str">
        <f t="shared" si="27"/>
        <v/>
      </c>
      <c r="AH40" t="str">
        <f t="shared" si="27"/>
        <v/>
      </c>
      <c r="AI40" t="str">
        <f t="shared" si="27"/>
        <v/>
      </c>
      <c r="AJ40" t="str">
        <f t="shared" si="27"/>
        <v/>
      </c>
      <c r="AK40" t="str">
        <f t="shared" si="27"/>
        <v/>
      </c>
      <c r="AL40" t="str">
        <f t="shared" si="27"/>
        <v/>
      </c>
      <c r="AM40" t="str">
        <f t="shared" si="27"/>
        <v/>
      </c>
      <c r="AN40" t="str">
        <f t="shared" si="27"/>
        <v/>
      </c>
      <c r="AO40" t="str">
        <f t="shared" si="27"/>
        <v/>
      </c>
      <c r="AP40" t="str">
        <f t="shared" si="27"/>
        <v/>
      </c>
      <c r="AQ40" t="str">
        <f t="shared" si="27"/>
        <v/>
      </c>
      <c r="AR40" t="str">
        <f t="shared" si="27"/>
        <v/>
      </c>
      <c r="AS40" t="str">
        <f t="shared" si="27"/>
        <v/>
      </c>
      <c r="AT40" t="str">
        <f t="shared" si="27"/>
        <v/>
      </c>
      <c r="AU40" t="str">
        <f t="shared" si="27"/>
        <v/>
      </c>
      <c r="AV40" t="str">
        <f t="shared" si="27"/>
        <v/>
      </c>
      <c r="AW40" t="str">
        <f t="shared" si="27"/>
        <v/>
      </c>
      <c r="AX40" t="str">
        <f t="shared" si="27"/>
        <v/>
      </c>
      <c r="AY40" t="str">
        <f t="shared" si="27"/>
        <v/>
      </c>
      <c r="AZ40" t="str">
        <f t="shared" si="27"/>
        <v/>
      </c>
      <c r="BA40" t="str">
        <f t="shared" si="27"/>
        <v/>
      </c>
      <c r="BB40" t="str">
        <f t="shared" si="27"/>
        <v/>
      </c>
      <c r="BC40" t="str">
        <f t="shared" si="27"/>
        <v/>
      </c>
      <c r="BD40" t="str">
        <f t="shared" si="27"/>
        <v/>
      </c>
    </row>
    <row r="41" spans="2:56" x14ac:dyDescent="0.25">
      <c r="B41" t="s">
        <v>12</v>
      </c>
      <c r="C41">
        <f>A.ben-J.ben</f>
        <v>0</v>
      </c>
      <c r="D41">
        <f>B.ben-J.ben</f>
        <v>0</v>
      </c>
      <c r="E41">
        <f xml:space="preserve"> C.ben - J.ben</f>
        <v>0</v>
      </c>
      <c r="F41">
        <f>D.ben - J.ben</f>
        <v>0</v>
      </c>
      <c r="G41">
        <f>E.ben-J.ben</f>
        <v>0</v>
      </c>
      <c r="H41">
        <f>F.ben - J.ben</f>
        <v>0</v>
      </c>
      <c r="I41">
        <f>G.ben - J.ben</f>
        <v>0</v>
      </c>
      <c r="J41">
        <f>H.ben-J.ben</f>
        <v>0</v>
      </c>
      <c r="K41">
        <f>I.ben-J.ben</f>
        <v>0</v>
      </c>
      <c r="L41" s="1"/>
      <c r="M41">
        <f>K.ben-J.ben</f>
        <v>0</v>
      </c>
      <c r="N41">
        <f>L.ben-J.ben</f>
        <v>0</v>
      </c>
      <c r="O41">
        <f>M.ben-J.ben</f>
        <v>0</v>
      </c>
      <c r="P41">
        <f>N.ben-J.ben</f>
        <v>0</v>
      </c>
      <c r="Q41">
        <f>O.ben-J.ben</f>
        <v>0</v>
      </c>
      <c r="R41">
        <f>P.ben-J.ben</f>
        <v>0</v>
      </c>
      <c r="S41">
        <f>Q.ben-J.ben</f>
        <v>0</v>
      </c>
      <c r="T41">
        <f>R.ben-J.ben</f>
        <v>0</v>
      </c>
      <c r="U41">
        <f>S.ben-J.ben</f>
        <v>0</v>
      </c>
      <c r="V41">
        <f>T.ben-J.ben</f>
        <v>0</v>
      </c>
      <c r="W41">
        <f>U.ben-J.ben</f>
        <v>0</v>
      </c>
      <c r="X41">
        <f>V.ben-J.ben</f>
        <v>0</v>
      </c>
      <c r="Y41">
        <f>W.ben-J.ben</f>
        <v>0</v>
      </c>
      <c r="Z41">
        <f>X.ben-J.ben</f>
        <v>0</v>
      </c>
      <c r="AA41">
        <f>Y.ben-J.ben</f>
        <v>0</v>
      </c>
      <c r="AB41">
        <f>Z.ben-J.ben</f>
        <v>0</v>
      </c>
      <c r="AD41" t="s">
        <v>12</v>
      </c>
      <c r="AE41" t="str">
        <f t="shared" si="28"/>
        <v/>
      </c>
      <c r="AF41" t="str">
        <f t="shared" si="27"/>
        <v/>
      </c>
      <c r="AG41" t="str">
        <f t="shared" si="27"/>
        <v/>
      </c>
      <c r="AH41" t="str">
        <f t="shared" si="27"/>
        <v/>
      </c>
      <c r="AI41" t="str">
        <f t="shared" si="27"/>
        <v/>
      </c>
      <c r="AJ41" t="str">
        <f t="shared" si="27"/>
        <v/>
      </c>
      <c r="AK41" t="str">
        <f t="shared" si="27"/>
        <v/>
      </c>
      <c r="AL41" t="str">
        <f t="shared" si="27"/>
        <v/>
      </c>
      <c r="AM41" t="str">
        <f t="shared" si="27"/>
        <v/>
      </c>
      <c r="AN41" t="str">
        <f t="shared" si="27"/>
        <v/>
      </c>
      <c r="AO41" t="str">
        <f t="shared" si="27"/>
        <v/>
      </c>
      <c r="AP41" t="str">
        <f t="shared" si="27"/>
        <v/>
      </c>
      <c r="AQ41" t="str">
        <f t="shared" si="27"/>
        <v/>
      </c>
      <c r="AR41" t="str">
        <f t="shared" si="27"/>
        <v/>
      </c>
      <c r="AS41" t="str">
        <f t="shared" si="27"/>
        <v/>
      </c>
      <c r="AT41" t="str">
        <f t="shared" si="27"/>
        <v/>
      </c>
      <c r="AU41" t="str">
        <f t="shared" si="27"/>
        <v/>
      </c>
      <c r="AV41" t="str">
        <f t="shared" si="27"/>
        <v/>
      </c>
      <c r="AW41" t="str">
        <f t="shared" si="27"/>
        <v/>
      </c>
      <c r="AX41" t="str">
        <f t="shared" si="27"/>
        <v/>
      </c>
      <c r="AY41" t="str">
        <f t="shared" si="27"/>
        <v/>
      </c>
      <c r="AZ41" t="str">
        <f t="shared" si="27"/>
        <v/>
      </c>
      <c r="BA41" t="str">
        <f t="shared" si="27"/>
        <v/>
      </c>
      <c r="BB41" t="str">
        <f t="shared" si="27"/>
        <v/>
      </c>
      <c r="BC41" t="str">
        <f t="shared" si="27"/>
        <v/>
      </c>
      <c r="BD41" t="str">
        <f t="shared" si="27"/>
        <v/>
      </c>
    </row>
    <row r="42" spans="2:56" x14ac:dyDescent="0.25">
      <c r="B42" t="s">
        <v>13</v>
      </c>
      <c r="C42">
        <f>A.ben-K.ben</f>
        <v>0</v>
      </c>
      <c r="D42">
        <f>B.ben-K.ben</f>
        <v>0</v>
      </c>
      <c r="E42">
        <f>C.ben-K.ben</f>
        <v>0</v>
      </c>
      <c r="F42">
        <f>D.ben - K.ben</f>
        <v>0</v>
      </c>
      <c r="G42">
        <f>E.ben-K.ben</f>
        <v>0</v>
      </c>
      <c r="H42">
        <f>F.ben-K.ben</f>
        <v>0</v>
      </c>
      <c r="I42">
        <f>G.ben - K.ben</f>
        <v>0</v>
      </c>
      <c r="J42">
        <f>H.ben-K.ben</f>
        <v>0</v>
      </c>
      <c r="K42">
        <f>I.ben-K.ben</f>
        <v>0</v>
      </c>
      <c r="L42">
        <f>J.ben-K.ben</f>
        <v>0</v>
      </c>
      <c r="M42" s="1"/>
      <c r="N42">
        <f>L.ben-K.ben</f>
        <v>0</v>
      </c>
      <c r="O42">
        <f>M.ben-K.ben</f>
        <v>0</v>
      </c>
      <c r="P42">
        <f>N.ben-K.ben</f>
        <v>0</v>
      </c>
      <c r="Q42">
        <f>O.ben-K.ben</f>
        <v>0</v>
      </c>
      <c r="R42">
        <f>P.ben-K.ben</f>
        <v>0</v>
      </c>
      <c r="S42">
        <f>Q.ben-K.ben</f>
        <v>0</v>
      </c>
      <c r="T42">
        <f>R.ben-K.ben</f>
        <v>0</v>
      </c>
      <c r="U42">
        <f>S.ben-K.ben</f>
        <v>0</v>
      </c>
      <c r="V42">
        <f>T.ben-K.ben</f>
        <v>0</v>
      </c>
      <c r="W42">
        <f>U.ben-K.ben</f>
        <v>0</v>
      </c>
      <c r="X42">
        <f>V.ben-K.ben</f>
        <v>0</v>
      </c>
      <c r="Y42">
        <f>W.ben-K.ben</f>
        <v>0</v>
      </c>
      <c r="Z42">
        <f>X.ben-K.ben</f>
        <v>0</v>
      </c>
      <c r="AA42">
        <f>Y.ben-K.ben</f>
        <v>0</v>
      </c>
      <c r="AB42">
        <f>Z.ben-K.ben</f>
        <v>0</v>
      </c>
      <c r="AD42" t="s">
        <v>13</v>
      </c>
      <c r="AE42" t="str">
        <f t="shared" si="28"/>
        <v/>
      </c>
      <c r="AF42" t="str">
        <f t="shared" si="27"/>
        <v/>
      </c>
      <c r="AG42" t="str">
        <f t="shared" si="27"/>
        <v/>
      </c>
      <c r="AH42" t="str">
        <f t="shared" si="27"/>
        <v/>
      </c>
      <c r="AI42" t="str">
        <f t="shared" si="27"/>
        <v/>
      </c>
      <c r="AJ42" t="str">
        <f t="shared" si="27"/>
        <v/>
      </c>
      <c r="AK42" t="str">
        <f t="shared" si="27"/>
        <v/>
      </c>
      <c r="AL42" t="str">
        <f t="shared" si="27"/>
        <v/>
      </c>
      <c r="AM42" t="str">
        <f t="shared" si="27"/>
        <v/>
      </c>
      <c r="AN42" t="str">
        <f t="shared" si="27"/>
        <v/>
      </c>
      <c r="AO42" t="str">
        <f t="shared" si="27"/>
        <v/>
      </c>
      <c r="AP42" t="str">
        <f t="shared" si="27"/>
        <v/>
      </c>
      <c r="AQ42" t="str">
        <f t="shared" si="27"/>
        <v/>
      </c>
      <c r="AR42" t="str">
        <f t="shared" si="27"/>
        <v/>
      </c>
      <c r="AS42" t="str">
        <f t="shared" si="27"/>
        <v/>
      </c>
      <c r="AT42" t="str">
        <f t="shared" si="27"/>
        <v/>
      </c>
      <c r="AU42" t="str">
        <f t="shared" si="27"/>
        <v/>
      </c>
      <c r="AV42" t="str">
        <f t="shared" si="27"/>
        <v/>
      </c>
      <c r="AW42" t="str">
        <f t="shared" si="27"/>
        <v/>
      </c>
      <c r="AX42" t="str">
        <f t="shared" si="27"/>
        <v/>
      </c>
      <c r="AY42" t="str">
        <f t="shared" si="27"/>
        <v/>
      </c>
      <c r="AZ42" t="str">
        <f t="shared" ref="AF42:BD52" si="29">IF(NOT(ISERROR(AZ13)),IF(AND(AZ13&gt;0,AZ13&lt;90),ROUND(TAN(AZ13*PI()/180),0),IF(AND(AZ13&gt;=90,AZ13&lt;180),"Dom'd",IF(AND(AZ13&gt;=180,AZ13&lt;270),CONCATENATE("(",ROUND(TAN((AZ13-180)*PI()/180),0),")"),IF(AZ13&lt;360,"Dom's","")))),"")</f>
        <v/>
      </c>
      <c r="BA42" t="str">
        <f t="shared" si="29"/>
        <v/>
      </c>
      <c r="BB42" t="str">
        <f t="shared" si="29"/>
        <v/>
      </c>
      <c r="BC42" t="str">
        <f t="shared" si="29"/>
        <v/>
      </c>
      <c r="BD42" t="str">
        <f t="shared" si="29"/>
        <v/>
      </c>
    </row>
    <row r="43" spans="2:56" x14ac:dyDescent="0.25">
      <c r="B43" t="s">
        <v>14</v>
      </c>
      <c r="C43">
        <f>A.ben-L.ben</f>
        <v>0</v>
      </c>
      <c r="D43">
        <f>B.ben-L.ben</f>
        <v>0</v>
      </c>
      <c r="E43">
        <f>C.ben-L.ben</f>
        <v>0</v>
      </c>
      <c r="F43">
        <f>D.ben-L.ben</f>
        <v>0</v>
      </c>
      <c r="G43">
        <f>E.ben-L.ben</f>
        <v>0</v>
      </c>
      <c r="H43">
        <f>F.ben - L.ben</f>
        <v>0</v>
      </c>
      <c r="I43">
        <f>G.ben - L.ben</f>
        <v>0</v>
      </c>
      <c r="J43">
        <f>H.ben-L.ben</f>
        <v>0</v>
      </c>
      <c r="K43">
        <f>I.ben-L.ben</f>
        <v>0</v>
      </c>
      <c r="L43">
        <f>J.ben-L.ben</f>
        <v>0</v>
      </c>
      <c r="M43">
        <f>K.ben-L.ben</f>
        <v>0</v>
      </c>
      <c r="N43" s="1"/>
      <c r="O43">
        <f>M.ben-L.ben</f>
        <v>0</v>
      </c>
      <c r="P43">
        <f>N.ben-L.ben</f>
        <v>0</v>
      </c>
      <c r="Q43">
        <f>O.ben-L.ben</f>
        <v>0</v>
      </c>
      <c r="R43">
        <f>P.ben-L.ben</f>
        <v>0</v>
      </c>
      <c r="S43">
        <f>Q.ben-L.ben</f>
        <v>0</v>
      </c>
      <c r="T43">
        <f>R.ben-L.ben</f>
        <v>0</v>
      </c>
      <c r="U43">
        <f>S.ben-L.ben</f>
        <v>0</v>
      </c>
      <c r="V43">
        <f>T.ben-L.ben</f>
        <v>0</v>
      </c>
      <c r="W43">
        <f>U.ben-L.ben</f>
        <v>0</v>
      </c>
      <c r="X43">
        <f>V.ben-L.ben</f>
        <v>0</v>
      </c>
      <c r="Y43">
        <f>W.ben-L.ben</f>
        <v>0</v>
      </c>
      <c r="Z43">
        <f>X.ben-L.ben</f>
        <v>0</v>
      </c>
      <c r="AA43">
        <f>Y.ben-L.ben</f>
        <v>0</v>
      </c>
      <c r="AB43">
        <f>Z.ben-L.ben</f>
        <v>0</v>
      </c>
      <c r="AD43" t="s">
        <v>14</v>
      </c>
      <c r="AE43" t="str">
        <f t="shared" si="28"/>
        <v/>
      </c>
      <c r="AF43" t="str">
        <f t="shared" si="29"/>
        <v/>
      </c>
      <c r="AG43" t="str">
        <f t="shared" si="29"/>
        <v/>
      </c>
      <c r="AH43" t="str">
        <f t="shared" si="29"/>
        <v/>
      </c>
      <c r="AI43" t="str">
        <f t="shared" si="29"/>
        <v/>
      </c>
      <c r="AJ43" t="str">
        <f t="shared" si="29"/>
        <v/>
      </c>
      <c r="AK43" t="str">
        <f t="shared" si="29"/>
        <v/>
      </c>
      <c r="AL43" t="str">
        <f t="shared" si="29"/>
        <v/>
      </c>
      <c r="AM43" t="str">
        <f t="shared" si="29"/>
        <v/>
      </c>
      <c r="AN43" t="str">
        <f t="shared" si="29"/>
        <v/>
      </c>
      <c r="AO43" t="str">
        <f t="shared" si="29"/>
        <v/>
      </c>
      <c r="AP43" t="str">
        <f t="shared" si="29"/>
        <v/>
      </c>
      <c r="AQ43" t="str">
        <f t="shared" si="29"/>
        <v/>
      </c>
      <c r="AR43" t="str">
        <f t="shared" si="29"/>
        <v/>
      </c>
      <c r="AS43" t="str">
        <f t="shared" si="29"/>
        <v/>
      </c>
      <c r="AT43" t="str">
        <f t="shared" si="29"/>
        <v/>
      </c>
      <c r="AU43" t="str">
        <f t="shared" si="29"/>
        <v/>
      </c>
      <c r="AV43" t="str">
        <f t="shared" si="29"/>
        <v/>
      </c>
      <c r="AW43" t="str">
        <f t="shared" si="29"/>
        <v/>
      </c>
      <c r="AX43" t="str">
        <f t="shared" si="29"/>
        <v/>
      </c>
      <c r="AY43" t="str">
        <f t="shared" si="29"/>
        <v/>
      </c>
      <c r="AZ43" t="str">
        <f t="shared" si="29"/>
        <v/>
      </c>
      <c r="BA43" t="str">
        <f t="shared" si="29"/>
        <v/>
      </c>
      <c r="BB43" t="str">
        <f t="shared" si="29"/>
        <v/>
      </c>
      <c r="BC43" t="str">
        <f t="shared" si="29"/>
        <v/>
      </c>
      <c r="BD43" t="str">
        <f t="shared" si="29"/>
        <v/>
      </c>
    </row>
    <row r="44" spans="2:56" x14ac:dyDescent="0.25">
      <c r="B44" t="s">
        <v>15</v>
      </c>
      <c r="C44">
        <f>A.ben-M.ben</f>
        <v>0</v>
      </c>
      <c r="D44">
        <f>B.ben-M.ben</f>
        <v>0</v>
      </c>
      <c r="E44">
        <f>C.ben-M.ben</f>
        <v>0</v>
      </c>
      <c r="F44">
        <f>D.ben-M.ben</f>
        <v>0</v>
      </c>
      <c r="G44">
        <f>E.ben-M.ben</f>
        <v>0</v>
      </c>
      <c r="H44">
        <f>F.ben - M.ben</f>
        <v>0</v>
      </c>
      <c r="I44">
        <f>G.ben - M.ben</f>
        <v>0</v>
      </c>
      <c r="J44">
        <f>H.ben-M.ben</f>
        <v>0</v>
      </c>
      <c r="K44">
        <f>I.ben-M.ben</f>
        <v>0</v>
      </c>
      <c r="L44">
        <f>J.ben-M.ben</f>
        <v>0</v>
      </c>
      <c r="M44">
        <f>K.ben-M.ben</f>
        <v>0</v>
      </c>
      <c r="N44">
        <f>L.ben-M.ben</f>
        <v>0</v>
      </c>
      <c r="O44" s="1"/>
      <c r="P44">
        <f>N.ben-M.ben</f>
        <v>0</v>
      </c>
      <c r="Q44">
        <f>O.ben-M.ben</f>
        <v>0</v>
      </c>
      <c r="R44">
        <f>P.ben-M.ben</f>
        <v>0</v>
      </c>
      <c r="S44">
        <f>Q.ben-M.ben</f>
        <v>0</v>
      </c>
      <c r="T44">
        <f>R.ben-M.ben</f>
        <v>0</v>
      </c>
      <c r="U44">
        <f>S.ben-M.ben</f>
        <v>0</v>
      </c>
      <c r="V44">
        <f>T.ben-M.ben</f>
        <v>0</v>
      </c>
      <c r="W44">
        <f>U.ben-M.ben</f>
        <v>0</v>
      </c>
      <c r="X44">
        <f>V.ben-M.ben</f>
        <v>0</v>
      </c>
      <c r="Y44">
        <f>W.ben-M.ben</f>
        <v>0</v>
      </c>
      <c r="Z44">
        <f>X.ben-M.ben</f>
        <v>0</v>
      </c>
      <c r="AA44">
        <f>Y.ben-M.ben</f>
        <v>0</v>
      </c>
      <c r="AB44">
        <f>Z.ben-M.ben</f>
        <v>0</v>
      </c>
      <c r="AD44" t="s">
        <v>15</v>
      </c>
      <c r="AE44" t="str">
        <f t="shared" si="28"/>
        <v/>
      </c>
      <c r="AF44" t="str">
        <f t="shared" si="29"/>
        <v/>
      </c>
      <c r="AG44" t="str">
        <f t="shared" si="29"/>
        <v/>
      </c>
      <c r="AH44" t="str">
        <f t="shared" si="29"/>
        <v/>
      </c>
      <c r="AI44" t="str">
        <f t="shared" si="29"/>
        <v/>
      </c>
      <c r="AJ44" t="str">
        <f t="shared" si="29"/>
        <v/>
      </c>
      <c r="AK44" t="str">
        <f t="shared" si="29"/>
        <v/>
      </c>
      <c r="AL44" t="str">
        <f t="shared" si="29"/>
        <v/>
      </c>
      <c r="AM44" t="str">
        <f t="shared" si="29"/>
        <v/>
      </c>
      <c r="AN44" t="str">
        <f t="shared" si="29"/>
        <v/>
      </c>
      <c r="AO44" t="str">
        <f t="shared" si="29"/>
        <v/>
      </c>
      <c r="AP44" t="str">
        <f t="shared" si="29"/>
        <v/>
      </c>
      <c r="AQ44" t="str">
        <f t="shared" si="29"/>
        <v/>
      </c>
      <c r="AR44" t="str">
        <f t="shared" si="29"/>
        <v/>
      </c>
      <c r="AS44" t="str">
        <f t="shared" si="29"/>
        <v/>
      </c>
      <c r="AT44" t="str">
        <f t="shared" si="29"/>
        <v/>
      </c>
      <c r="AU44" t="str">
        <f t="shared" si="29"/>
        <v/>
      </c>
      <c r="AV44" t="str">
        <f t="shared" si="29"/>
        <v/>
      </c>
      <c r="AW44" t="str">
        <f t="shared" si="29"/>
        <v/>
      </c>
      <c r="AX44" t="str">
        <f t="shared" si="29"/>
        <v/>
      </c>
      <c r="AY44" t="str">
        <f t="shared" si="29"/>
        <v/>
      </c>
      <c r="AZ44" t="str">
        <f t="shared" si="29"/>
        <v/>
      </c>
      <c r="BA44" t="str">
        <f t="shared" si="29"/>
        <v/>
      </c>
      <c r="BB44" t="str">
        <f t="shared" si="29"/>
        <v/>
      </c>
      <c r="BC44" t="str">
        <f t="shared" si="29"/>
        <v/>
      </c>
      <c r="BD44" t="str">
        <f t="shared" si="29"/>
        <v/>
      </c>
    </row>
    <row r="45" spans="2:56" x14ac:dyDescent="0.25">
      <c r="B45" t="s">
        <v>16</v>
      </c>
      <c r="C45">
        <f>A.ben-N.ben</f>
        <v>0</v>
      </c>
      <c r="D45">
        <f>B.ben-N.ben</f>
        <v>0</v>
      </c>
      <c r="E45">
        <f>C.ben-N.ben</f>
        <v>0</v>
      </c>
      <c r="F45">
        <f>D.ben-N.ben</f>
        <v>0</v>
      </c>
      <c r="G45">
        <f>E.ben-N.ben</f>
        <v>0</v>
      </c>
      <c r="H45">
        <f>F.ben - N.ben</f>
        <v>0</v>
      </c>
      <c r="I45">
        <f>G.ben-N.ben</f>
        <v>0</v>
      </c>
      <c r="J45">
        <f>H.ben-N.ben</f>
        <v>0</v>
      </c>
      <c r="K45">
        <f>I.ben-N.ben</f>
        <v>0</v>
      </c>
      <c r="L45">
        <f>J.ben-N.ben</f>
        <v>0</v>
      </c>
      <c r="M45">
        <f>K.ben-N.ben</f>
        <v>0</v>
      </c>
      <c r="N45">
        <f>L.ben-N.ben</f>
        <v>0</v>
      </c>
      <c r="O45">
        <f>M.ben-N.ben</f>
        <v>0</v>
      </c>
      <c r="P45" s="1"/>
      <c r="Q45">
        <f>O.ben-N.ben</f>
        <v>0</v>
      </c>
      <c r="R45">
        <f>P.ben-N.ben</f>
        <v>0</v>
      </c>
      <c r="S45">
        <f>Q.ben-N.ben</f>
        <v>0</v>
      </c>
      <c r="T45">
        <f>R.ben-N.ben</f>
        <v>0</v>
      </c>
      <c r="U45">
        <f>S.ben-N.ben</f>
        <v>0</v>
      </c>
      <c r="V45">
        <f>T.ben-N.ben</f>
        <v>0</v>
      </c>
      <c r="W45">
        <f>U.ben-N.ben</f>
        <v>0</v>
      </c>
      <c r="X45">
        <f>V.ben-N.ben</f>
        <v>0</v>
      </c>
      <c r="Y45">
        <f>W.ben-N.ben</f>
        <v>0</v>
      </c>
      <c r="Z45">
        <f>X.ben-N.ben</f>
        <v>0</v>
      </c>
      <c r="AA45">
        <f>Y.ben-N.ben</f>
        <v>0</v>
      </c>
      <c r="AB45">
        <f>Z.ben-N.ben</f>
        <v>0</v>
      </c>
      <c r="AD45" t="s">
        <v>16</v>
      </c>
      <c r="AE45" t="str">
        <f t="shared" si="28"/>
        <v/>
      </c>
      <c r="AF45" t="str">
        <f t="shared" si="29"/>
        <v/>
      </c>
      <c r="AG45" t="str">
        <f t="shared" si="29"/>
        <v/>
      </c>
      <c r="AH45" t="str">
        <f t="shared" si="29"/>
        <v/>
      </c>
      <c r="AI45" t="str">
        <f t="shared" si="29"/>
        <v/>
      </c>
      <c r="AJ45" t="str">
        <f t="shared" si="29"/>
        <v/>
      </c>
      <c r="AK45" t="str">
        <f t="shared" si="29"/>
        <v/>
      </c>
      <c r="AL45" t="str">
        <f t="shared" si="29"/>
        <v/>
      </c>
      <c r="AM45" t="str">
        <f t="shared" si="29"/>
        <v/>
      </c>
      <c r="AN45" t="str">
        <f t="shared" si="29"/>
        <v/>
      </c>
      <c r="AO45" t="str">
        <f t="shared" si="29"/>
        <v/>
      </c>
      <c r="AP45" t="str">
        <f t="shared" si="29"/>
        <v/>
      </c>
      <c r="AQ45" t="str">
        <f t="shared" si="29"/>
        <v/>
      </c>
      <c r="AR45" t="str">
        <f t="shared" si="29"/>
        <v/>
      </c>
      <c r="AS45" t="str">
        <f t="shared" si="29"/>
        <v/>
      </c>
      <c r="AT45" t="str">
        <f t="shared" si="29"/>
        <v/>
      </c>
      <c r="AU45" t="str">
        <f t="shared" si="29"/>
        <v/>
      </c>
      <c r="AV45" t="str">
        <f t="shared" si="29"/>
        <v/>
      </c>
      <c r="AW45" t="str">
        <f t="shared" si="29"/>
        <v/>
      </c>
      <c r="AX45" t="str">
        <f t="shared" si="29"/>
        <v/>
      </c>
      <c r="AY45" t="str">
        <f t="shared" si="29"/>
        <v/>
      </c>
      <c r="AZ45" t="str">
        <f t="shared" si="29"/>
        <v/>
      </c>
      <c r="BA45" t="str">
        <f t="shared" si="29"/>
        <v/>
      </c>
      <c r="BB45" t="str">
        <f t="shared" si="29"/>
        <v/>
      </c>
      <c r="BC45" t="str">
        <f t="shared" si="29"/>
        <v/>
      </c>
      <c r="BD45" t="str">
        <f t="shared" si="29"/>
        <v/>
      </c>
    </row>
    <row r="46" spans="2:56" x14ac:dyDescent="0.25">
      <c r="B46" t="s">
        <v>18</v>
      </c>
      <c r="C46">
        <f>A.ben-O.ben</f>
        <v>0</v>
      </c>
      <c r="D46">
        <f>B.ben-O.ben</f>
        <v>0</v>
      </c>
      <c r="E46">
        <f>C.ben-O.ben</f>
        <v>0</v>
      </c>
      <c r="F46">
        <f>D.ben-O.ben</f>
        <v>0</v>
      </c>
      <c r="G46">
        <f>E.ben - O.ben</f>
        <v>0</v>
      </c>
      <c r="H46">
        <f>F.ben - O.ben</f>
        <v>0</v>
      </c>
      <c r="I46">
        <f>G.ben - O.ben</f>
        <v>0</v>
      </c>
      <c r="J46">
        <f>H.ben-O.ben</f>
        <v>0</v>
      </c>
      <c r="K46">
        <f>I.ben-O.ben</f>
        <v>0</v>
      </c>
      <c r="L46">
        <f>J.ben-O.ben</f>
        <v>0</v>
      </c>
      <c r="M46">
        <f>K.ben-O.ben</f>
        <v>0</v>
      </c>
      <c r="N46">
        <f>L.ben-O.ben</f>
        <v>0</v>
      </c>
      <c r="O46">
        <f>M.ben-O.ben</f>
        <v>0</v>
      </c>
      <c r="P46">
        <f>N.ben-O.ben</f>
        <v>0</v>
      </c>
      <c r="Q46" s="1"/>
      <c r="R46">
        <f>P.ben-O.ben</f>
        <v>0</v>
      </c>
      <c r="S46">
        <f>Q.ben-O.ben</f>
        <v>0</v>
      </c>
      <c r="T46">
        <f>R.ben-O.ben</f>
        <v>0</v>
      </c>
      <c r="U46">
        <f>S.ben-O.ben</f>
        <v>0</v>
      </c>
      <c r="V46">
        <f>T.ben-O.ben</f>
        <v>0</v>
      </c>
      <c r="W46">
        <f>U.ben-O.ben</f>
        <v>0</v>
      </c>
      <c r="X46">
        <f>V.ben-O.ben</f>
        <v>0</v>
      </c>
      <c r="Y46">
        <f>W.ben-O.ben</f>
        <v>0</v>
      </c>
      <c r="Z46">
        <f>X.ben-O.ben</f>
        <v>0</v>
      </c>
      <c r="AA46">
        <f>Y.ben-O.ben</f>
        <v>0</v>
      </c>
      <c r="AB46">
        <f>Z.ben-O.ben</f>
        <v>0</v>
      </c>
      <c r="AD46" t="s">
        <v>18</v>
      </c>
      <c r="AE46" t="str">
        <f t="shared" si="28"/>
        <v/>
      </c>
      <c r="AF46" t="str">
        <f t="shared" si="29"/>
        <v/>
      </c>
      <c r="AG46" t="str">
        <f t="shared" si="29"/>
        <v/>
      </c>
      <c r="AH46" t="str">
        <f t="shared" si="29"/>
        <v/>
      </c>
      <c r="AI46" t="str">
        <f t="shared" si="29"/>
        <v/>
      </c>
      <c r="AJ46" t="str">
        <f t="shared" si="29"/>
        <v/>
      </c>
      <c r="AK46" t="str">
        <f t="shared" si="29"/>
        <v/>
      </c>
      <c r="AL46" t="str">
        <f t="shared" si="29"/>
        <v/>
      </c>
      <c r="AM46" t="str">
        <f t="shared" si="29"/>
        <v/>
      </c>
      <c r="AN46" t="str">
        <f t="shared" si="29"/>
        <v/>
      </c>
      <c r="AO46" t="str">
        <f t="shared" si="29"/>
        <v/>
      </c>
      <c r="AP46" t="str">
        <f t="shared" si="29"/>
        <v/>
      </c>
      <c r="AQ46" t="str">
        <f t="shared" si="29"/>
        <v/>
      </c>
      <c r="AR46" t="str">
        <f t="shared" si="29"/>
        <v/>
      </c>
      <c r="AS46" t="str">
        <f t="shared" si="29"/>
        <v/>
      </c>
      <c r="AT46" t="str">
        <f t="shared" si="29"/>
        <v/>
      </c>
      <c r="AU46" t="str">
        <f t="shared" si="29"/>
        <v/>
      </c>
      <c r="AV46" t="str">
        <f t="shared" si="29"/>
        <v/>
      </c>
      <c r="AW46" t="str">
        <f t="shared" si="29"/>
        <v/>
      </c>
      <c r="AX46" t="str">
        <f t="shared" si="29"/>
        <v/>
      </c>
      <c r="AY46" t="str">
        <f t="shared" si="29"/>
        <v/>
      </c>
      <c r="AZ46" t="str">
        <f t="shared" si="29"/>
        <v/>
      </c>
      <c r="BA46" t="str">
        <f t="shared" si="29"/>
        <v/>
      </c>
      <c r="BB46" t="str">
        <f t="shared" si="29"/>
        <v/>
      </c>
      <c r="BC46" t="str">
        <f t="shared" si="29"/>
        <v/>
      </c>
      <c r="BD46" t="str">
        <f t="shared" si="29"/>
        <v/>
      </c>
    </row>
    <row r="47" spans="2:56" x14ac:dyDescent="0.25">
      <c r="B47" t="s">
        <v>17</v>
      </c>
      <c r="C47">
        <f>A.ben-P.ben</f>
        <v>0</v>
      </c>
      <c r="D47">
        <f>B.ben-P.ben</f>
        <v>0</v>
      </c>
      <c r="E47">
        <f>C.ben-P.ben</f>
        <v>0</v>
      </c>
      <c r="F47">
        <f>D.ben-P.ben</f>
        <v>0</v>
      </c>
      <c r="G47">
        <f>E.ben - P.ben</f>
        <v>0</v>
      </c>
      <c r="H47">
        <f>F.ben - P.ben</f>
        <v>0</v>
      </c>
      <c r="I47">
        <f>G.ben - P.ben</f>
        <v>0</v>
      </c>
      <c r="J47">
        <f>H.ben-P.ben</f>
        <v>0</v>
      </c>
      <c r="K47">
        <f>I.ben-P.ben</f>
        <v>0</v>
      </c>
      <c r="L47">
        <f>J.ben-P.ben</f>
        <v>0</v>
      </c>
      <c r="M47">
        <f>K.ben-P.ben</f>
        <v>0</v>
      </c>
      <c r="N47">
        <f>L.ben-P.ben</f>
        <v>0</v>
      </c>
      <c r="O47">
        <f>M.ben-P.ben</f>
        <v>0</v>
      </c>
      <c r="P47">
        <f>N.ben-P.ben</f>
        <v>0</v>
      </c>
      <c r="Q47">
        <f>O.ben-P.ben</f>
        <v>0</v>
      </c>
      <c r="R47" s="1"/>
      <c r="S47">
        <f>Q.ben-P.ben</f>
        <v>0</v>
      </c>
      <c r="T47">
        <f>R.ben-P.ben</f>
        <v>0</v>
      </c>
      <c r="U47">
        <f>S.ben-P.ben</f>
        <v>0</v>
      </c>
      <c r="V47">
        <f>T.ben-P.ben</f>
        <v>0</v>
      </c>
      <c r="W47">
        <f>U.ben-P.ben</f>
        <v>0</v>
      </c>
      <c r="X47">
        <f>V.ben-P.ben</f>
        <v>0</v>
      </c>
      <c r="Y47">
        <f>W.ben-P.ben</f>
        <v>0</v>
      </c>
      <c r="Z47">
        <f>X.ben-P.ben</f>
        <v>0</v>
      </c>
      <c r="AA47">
        <f>Y.ben-P.ben</f>
        <v>0</v>
      </c>
      <c r="AB47">
        <f>Z.ben-P.ben</f>
        <v>0</v>
      </c>
      <c r="AD47" t="s">
        <v>17</v>
      </c>
      <c r="AE47" t="str">
        <f t="shared" si="28"/>
        <v/>
      </c>
      <c r="AF47" t="str">
        <f t="shared" si="29"/>
        <v/>
      </c>
      <c r="AG47" t="str">
        <f t="shared" si="29"/>
        <v/>
      </c>
      <c r="AH47" t="str">
        <f t="shared" si="29"/>
        <v/>
      </c>
      <c r="AI47" t="str">
        <f t="shared" si="29"/>
        <v/>
      </c>
      <c r="AJ47" t="str">
        <f t="shared" si="29"/>
        <v/>
      </c>
      <c r="AK47" t="str">
        <f t="shared" si="29"/>
        <v/>
      </c>
      <c r="AL47" t="str">
        <f t="shared" si="29"/>
        <v/>
      </c>
      <c r="AM47" t="str">
        <f t="shared" si="29"/>
        <v/>
      </c>
      <c r="AN47" t="str">
        <f t="shared" si="29"/>
        <v/>
      </c>
      <c r="AO47" t="str">
        <f t="shared" si="29"/>
        <v/>
      </c>
      <c r="AP47" t="str">
        <f t="shared" si="29"/>
        <v/>
      </c>
      <c r="AQ47" t="str">
        <f t="shared" si="29"/>
        <v/>
      </c>
      <c r="AR47" t="str">
        <f t="shared" si="29"/>
        <v/>
      </c>
      <c r="AS47" t="str">
        <f t="shared" si="29"/>
        <v/>
      </c>
      <c r="AT47" t="str">
        <f t="shared" si="29"/>
        <v/>
      </c>
      <c r="AU47" t="str">
        <f t="shared" si="29"/>
        <v/>
      </c>
      <c r="AV47" t="str">
        <f t="shared" si="29"/>
        <v/>
      </c>
      <c r="AW47" t="str">
        <f t="shared" si="29"/>
        <v/>
      </c>
      <c r="AX47" t="str">
        <f t="shared" si="29"/>
        <v/>
      </c>
      <c r="AY47" t="str">
        <f t="shared" si="29"/>
        <v/>
      </c>
      <c r="AZ47" t="str">
        <f t="shared" si="29"/>
        <v/>
      </c>
      <c r="BA47" t="str">
        <f t="shared" si="29"/>
        <v/>
      </c>
      <c r="BB47" t="str">
        <f t="shared" si="29"/>
        <v/>
      </c>
      <c r="BC47" t="str">
        <f t="shared" si="29"/>
        <v/>
      </c>
      <c r="BD47" t="str">
        <f t="shared" si="29"/>
        <v/>
      </c>
    </row>
    <row r="48" spans="2:56" x14ac:dyDescent="0.25">
      <c r="B48" t="s">
        <v>19</v>
      </c>
      <c r="C48">
        <f>A.ben-Q.ben</f>
        <v>0</v>
      </c>
      <c r="D48">
        <f>B.ben-Q.ben</f>
        <v>0</v>
      </c>
      <c r="E48">
        <f>C.ben-Q.ben</f>
        <v>0</v>
      </c>
      <c r="F48">
        <f>D.ben-Q.ben</f>
        <v>0</v>
      </c>
      <c r="G48">
        <f>E.ben-Q.ben</f>
        <v>0</v>
      </c>
      <c r="H48">
        <f>F.ben - Q.ben</f>
        <v>0</v>
      </c>
      <c r="I48">
        <f>G.ben-Q.ben</f>
        <v>0</v>
      </c>
      <c r="J48">
        <f>H.ben-Q.ben</f>
        <v>0</v>
      </c>
      <c r="K48">
        <f>I.ben-Q.ben</f>
        <v>0</v>
      </c>
      <c r="L48">
        <f>J.ben-Q.ben</f>
        <v>0</v>
      </c>
      <c r="M48">
        <f>K.ben-Q.ben</f>
        <v>0</v>
      </c>
      <c r="N48">
        <f>L.ben-Q.ben</f>
        <v>0</v>
      </c>
      <c r="O48">
        <f>M.ben-Q.ben</f>
        <v>0</v>
      </c>
      <c r="P48">
        <f>N.ben-Q.ben</f>
        <v>0</v>
      </c>
      <c r="Q48">
        <f>O.ben-Q.ben</f>
        <v>0</v>
      </c>
      <c r="R48">
        <f>P.ben-Q.ben</f>
        <v>0</v>
      </c>
      <c r="S48" s="1"/>
      <c r="T48">
        <f>R.ben-Q.ben</f>
        <v>0</v>
      </c>
      <c r="U48">
        <f>S.ben-Q.ben</f>
        <v>0</v>
      </c>
      <c r="V48">
        <f>T.ben-Q.ben</f>
        <v>0</v>
      </c>
      <c r="W48">
        <f>U.ben-Q.ben</f>
        <v>0</v>
      </c>
      <c r="X48">
        <f>V.ben-Q.ben</f>
        <v>0</v>
      </c>
      <c r="Y48">
        <f>W.ben-Q.ben</f>
        <v>0</v>
      </c>
      <c r="Z48">
        <f>X.ben-Q.ben</f>
        <v>0</v>
      </c>
      <c r="AA48">
        <f>Y.ben-Q.ben</f>
        <v>0</v>
      </c>
      <c r="AB48">
        <f>Z.ben-Q.ben</f>
        <v>0</v>
      </c>
      <c r="AD48" t="s">
        <v>19</v>
      </c>
      <c r="AE48" t="str">
        <f t="shared" si="28"/>
        <v/>
      </c>
      <c r="AF48" t="str">
        <f t="shared" si="29"/>
        <v/>
      </c>
      <c r="AG48" t="str">
        <f t="shared" si="29"/>
        <v/>
      </c>
      <c r="AH48" t="str">
        <f t="shared" si="29"/>
        <v/>
      </c>
      <c r="AI48" t="str">
        <f t="shared" si="29"/>
        <v/>
      </c>
      <c r="AJ48" t="str">
        <f t="shared" si="29"/>
        <v/>
      </c>
      <c r="AK48" t="str">
        <f t="shared" si="29"/>
        <v/>
      </c>
      <c r="AL48" t="str">
        <f t="shared" si="29"/>
        <v/>
      </c>
      <c r="AM48" t="str">
        <f t="shared" si="29"/>
        <v/>
      </c>
      <c r="AN48" t="str">
        <f t="shared" si="29"/>
        <v/>
      </c>
      <c r="AO48" t="str">
        <f t="shared" si="29"/>
        <v/>
      </c>
      <c r="AP48" t="str">
        <f t="shared" si="29"/>
        <v/>
      </c>
      <c r="AQ48" t="str">
        <f t="shared" si="29"/>
        <v/>
      </c>
      <c r="AR48" t="str">
        <f t="shared" si="29"/>
        <v/>
      </c>
      <c r="AS48" t="str">
        <f t="shared" si="29"/>
        <v/>
      </c>
      <c r="AT48" t="str">
        <f t="shared" si="29"/>
        <v/>
      </c>
      <c r="AU48" t="str">
        <f t="shared" si="29"/>
        <v/>
      </c>
      <c r="AV48" t="str">
        <f t="shared" si="29"/>
        <v/>
      </c>
      <c r="AW48" t="str">
        <f t="shared" si="29"/>
        <v/>
      </c>
      <c r="AX48" t="str">
        <f t="shared" si="29"/>
        <v/>
      </c>
      <c r="AY48" t="str">
        <f t="shared" si="29"/>
        <v/>
      </c>
      <c r="AZ48" t="str">
        <f t="shared" si="29"/>
        <v/>
      </c>
      <c r="BA48" t="str">
        <f t="shared" si="29"/>
        <v/>
      </c>
      <c r="BB48" t="str">
        <f t="shared" si="29"/>
        <v/>
      </c>
      <c r="BC48" t="str">
        <f t="shared" si="29"/>
        <v/>
      </c>
      <c r="BD48" t="str">
        <f t="shared" si="29"/>
        <v/>
      </c>
    </row>
    <row r="49" spans="2:56" x14ac:dyDescent="0.25">
      <c r="B49" t="s">
        <v>20</v>
      </c>
      <c r="C49">
        <f>A.ben-R.ben</f>
        <v>0</v>
      </c>
      <c r="D49">
        <f>B.ben-R.ben</f>
        <v>0</v>
      </c>
      <c r="E49">
        <f>C.ben-R.ben</f>
        <v>0</v>
      </c>
      <c r="F49">
        <f>D.ben-R.ben</f>
        <v>0</v>
      </c>
      <c r="G49">
        <f>E.ben - R.ben</f>
        <v>0</v>
      </c>
      <c r="H49">
        <f>F.ben-R.ben</f>
        <v>0</v>
      </c>
      <c r="I49">
        <f>G.ben-R.ben</f>
        <v>0</v>
      </c>
      <c r="J49">
        <f>H.ben-R.ben</f>
        <v>0</v>
      </c>
      <c r="K49">
        <f>I.ben-R.ben</f>
        <v>0</v>
      </c>
      <c r="L49">
        <f>J.ben-R.ben</f>
        <v>0</v>
      </c>
      <c r="M49">
        <f>K.ben-R.ben</f>
        <v>0</v>
      </c>
      <c r="N49">
        <f>L.ben-R.ben</f>
        <v>0</v>
      </c>
      <c r="O49">
        <f>M.ben-R.ben</f>
        <v>0</v>
      </c>
      <c r="P49">
        <f>N.ben-R.ben</f>
        <v>0</v>
      </c>
      <c r="Q49">
        <f>O.ben-R.ben</f>
        <v>0</v>
      </c>
      <c r="R49">
        <f>P.ben-R.ben</f>
        <v>0</v>
      </c>
      <c r="S49">
        <f>Q.ben-R.ben</f>
        <v>0</v>
      </c>
      <c r="T49" s="1"/>
      <c r="U49">
        <f>S.ben-R.ben</f>
        <v>0</v>
      </c>
      <c r="V49">
        <f>T.ben-R.ben</f>
        <v>0</v>
      </c>
      <c r="W49">
        <f>U.ben-R.ben</f>
        <v>0</v>
      </c>
      <c r="X49">
        <f>V.ben-R.ben</f>
        <v>0</v>
      </c>
      <c r="Y49">
        <f>W.ben-R.ben</f>
        <v>0</v>
      </c>
      <c r="Z49">
        <f>X.ben-R.ben</f>
        <v>0</v>
      </c>
      <c r="AA49">
        <f>Y.ben-R.ben</f>
        <v>0</v>
      </c>
      <c r="AB49">
        <f>Z.ben-R.ben</f>
        <v>0</v>
      </c>
      <c r="AD49" t="s">
        <v>20</v>
      </c>
      <c r="AE49" t="str">
        <f t="shared" si="28"/>
        <v/>
      </c>
      <c r="AF49" t="str">
        <f t="shared" si="29"/>
        <v/>
      </c>
      <c r="AG49" t="str">
        <f t="shared" si="29"/>
        <v/>
      </c>
      <c r="AH49" t="str">
        <f t="shared" si="29"/>
        <v/>
      </c>
      <c r="AI49" t="str">
        <f t="shared" si="29"/>
        <v/>
      </c>
      <c r="AJ49" t="str">
        <f t="shared" si="29"/>
        <v/>
      </c>
      <c r="AK49" t="str">
        <f t="shared" si="29"/>
        <v/>
      </c>
      <c r="AL49" t="str">
        <f t="shared" si="29"/>
        <v/>
      </c>
      <c r="AM49" t="str">
        <f t="shared" si="29"/>
        <v/>
      </c>
      <c r="AN49" t="str">
        <f t="shared" si="29"/>
        <v/>
      </c>
      <c r="AO49" t="str">
        <f t="shared" si="29"/>
        <v/>
      </c>
      <c r="AP49" t="str">
        <f t="shared" si="29"/>
        <v/>
      </c>
      <c r="AQ49" t="str">
        <f t="shared" si="29"/>
        <v/>
      </c>
      <c r="AR49" t="str">
        <f t="shared" si="29"/>
        <v/>
      </c>
      <c r="AS49" t="str">
        <f t="shared" si="29"/>
        <v/>
      </c>
      <c r="AT49" t="str">
        <f t="shared" si="29"/>
        <v/>
      </c>
      <c r="AU49" t="str">
        <f t="shared" si="29"/>
        <v/>
      </c>
      <c r="AV49" t="str">
        <f t="shared" si="29"/>
        <v/>
      </c>
      <c r="AW49" t="str">
        <f t="shared" si="29"/>
        <v/>
      </c>
      <c r="AX49" t="str">
        <f t="shared" si="29"/>
        <v/>
      </c>
      <c r="AY49" t="str">
        <f t="shared" si="29"/>
        <v/>
      </c>
      <c r="AZ49" t="str">
        <f t="shared" si="29"/>
        <v/>
      </c>
      <c r="BA49" t="str">
        <f t="shared" si="29"/>
        <v/>
      </c>
      <c r="BB49" t="str">
        <f t="shared" si="29"/>
        <v/>
      </c>
      <c r="BC49" t="str">
        <f t="shared" si="29"/>
        <v/>
      </c>
      <c r="BD49" t="str">
        <f t="shared" si="29"/>
        <v/>
      </c>
    </row>
    <row r="50" spans="2:56" x14ac:dyDescent="0.25">
      <c r="B50" t="s">
        <v>21</v>
      </c>
      <c r="C50">
        <f>A.ben-S.ben</f>
        <v>0</v>
      </c>
      <c r="D50">
        <f>B.ben-S.ben</f>
        <v>0</v>
      </c>
      <c r="E50">
        <f>C.ben-S.ben</f>
        <v>0</v>
      </c>
      <c r="F50">
        <f>D.ben-S.ben</f>
        <v>0</v>
      </c>
      <c r="G50">
        <f>E.ben-S.ben</f>
        <v>0</v>
      </c>
      <c r="H50">
        <f>F.ben-S.ben</f>
        <v>0</v>
      </c>
      <c r="I50">
        <f>G.ben - S.ben</f>
        <v>0</v>
      </c>
      <c r="J50">
        <f>H.ben-S.ben</f>
        <v>0</v>
      </c>
      <c r="K50">
        <f>I.ben-S.ben</f>
        <v>0</v>
      </c>
      <c r="L50">
        <f>J.ben-S.ben</f>
        <v>0</v>
      </c>
      <c r="M50">
        <f>K.ben-S.ben</f>
        <v>0</v>
      </c>
      <c r="N50">
        <f>L.ben-S.ben</f>
        <v>0</v>
      </c>
      <c r="O50">
        <f>M.ben-S.ben</f>
        <v>0</v>
      </c>
      <c r="P50">
        <f>N.ben-S.ben</f>
        <v>0</v>
      </c>
      <c r="Q50">
        <f>O.ben-S.ben</f>
        <v>0</v>
      </c>
      <c r="R50">
        <f>P.ben-S.ben</f>
        <v>0</v>
      </c>
      <c r="S50">
        <f>Q.ben-S.ben</f>
        <v>0</v>
      </c>
      <c r="T50">
        <f>R.ben-S.ben</f>
        <v>0</v>
      </c>
      <c r="U50" s="1"/>
      <c r="V50">
        <f>T.ben-S.ben</f>
        <v>0</v>
      </c>
      <c r="W50">
        <f>U.ben-S.ben</f>
        <v>0</v>
      </c>
      <c r="X50">
        <f>V.ben-S.ben</f>
        <v>0</v>
      </c>
      <c r="Y50">
        <f>W.ben-S.ben</f>
        <v>0</v>
      </c>
      <c r="Z50">
        <f>X.ben-S.ben</f>
        <v>0</v>
      </c>
      <c r="AA50">
        <f>Y.ben-S.ben</f>
        <v>0</v>
      </c>
      <c r="AB50">
        <f>Z.ben-S.ben</f>
        <v>0</v>
      </c>
      <c r="AD50" t="s">
        <v>21</v>
      </c>
      <c r="AE50" t="str">
        <f t="shared" si="28"/>
        <v/>
      </c>
      <c r="AF50" t="str">
        <f t="shared" si="29"/>
        <v/>
      </c>
      <c r="AG50" t="str">
        <f t="shared" si="29"/>
        <v/>
      </c>
      <c r="AH50" t="str">
        <f t="shared" si="29"/>
        <v/>
      </c>
      <c r="AI50" t="str">
        <f t="shared" si="29"/>
        <v/>
      </c>
      <c r="AJ50" t="str">
        <f t="shared" si="29"/>
        <v/>
      </c>
      <c r="AK50" t="str">
        <f t="shared" si="29"/>
        <v/>
      </c>
      <c r="AL50" t="str">
        <f t="shared" si="29"/>
        <v/>
      </c>
      <c r="AM50" t="str">
        <f t="shared" si="29"/>
        <v/>
      </c>
      <c r="AN50" t="str">
        <f t="shared" si="29"/>
        <v/>
      </c>
      <c r="AO50" t="str">
        <f t="shared" si="29"/>
        <v/>
      </c>
      <c r="AP50" t="str">
        <f t="shared" si="29"/>
        <v/>
      </c>
      <c r="AQ50" t="str">
        <f t="shared" si="29"/>
        <v/>
      </c>
      <c r="AR50" t="str">
        <f t="shared" si="29"/>
        <v/>
      </c>
      <c r="AS50" t="str">
        <f t="shared" si="29"/>
        <v/>
      </c>
      <c r="AT50" t="str">
        <f t="shared" si="29"/>
        <v/>
      </c>
      <c r="AU50" t="str">
        <f t="shared" si="29"/>
        <v/>
      </c>
      <c r="AV50" t="str">
        <f t="shared" si="29"/>
        <v/>
      </c>
      <c r="AW50" t="str">
        <f t="shared" si="29"/>
        <v/>
      </c>
      <c r="AX50" t="str">
        <f t="shared" si="29"/>
        <v/>
      </c>
      <c r="AY50" t="str">
        <f t="shared" si="29"/>
        <v/>
      </c>
      <c r="AZ50" t="str">
        <f t="shared" si="29"/>
        <v/>
      </c>
      <c r="BA50" t="str">
        <f t="shared" si="29"/>
        <v/>
      </c>
      <c r="BB50" t="str">
        <f t="shared" si="29"/>
        <v/>
      </c>
      <c r="BC50" t="str">
        <f t="shared" si="29"/>
        <v/>
      </c>
      <c r="BD50" t="str">
        <f t="shared" si="29"/>
        <v/>
      </c>
    </row>
    <row r="51" spans="2:56" x14ac:dyDescent="0.25">
      <c r="B51" t="s">
        <v>22</v>
      </c>
      <c r="C51">
        <f>A.ben-T.ben</f>
        <v>0</v>
      </c>
      <c r="D51">
        <f>B.ben-T.ben</f>
        <v>0</v>
      </c>
      <c r="E51">
        <f>C.ben-T.ben</f>
        <v>0</v>
      </c>
      <c r="F51">
        <f>D.ben-T.ben</f>
        <v>0</v>
      </c>
      <c r="G51">
        <f>E.ben - T.ben</f>
        <v>0</v>
      </c>
      <c r="H51">
        <f>F.ben - T.ben</f>
        <v>0</v>
      </c>
      <c r="I51">
        <f>G.ben-T.ben</f>
        <v>0</v>
      </c>
      <c r="J51">
        <f>H.ben-T.ben</f>
        <v>0</v>
      </c>
      <c r="K51">
        <f>I.ben-T.ben</f>
        <v>0</v>
      </c>
      <c r="L51">
        <f>J.ben-T.ben</f>
        <v>0</v>
      </c>
      <c r="M51">
        <f>K.ben-T.ben</f>
        <v>0</v>
      </c>
      <c r="N51">
        <f>L.ben-T.ben</f>
        <v>0</v>
      </c>
      <c r="O51">
        <f>M.ben-T.ben</f>
        <v>0</v>
      </c>
      <c r="P51">
        <f>N.ben-T.ben</f>
        <v>0</v>
      </c>
      <c r="Q51">
        <f>O.ben-T.ben</f>
        <v>0</v>
      </c>
      <c r="R51">
        <f>P.ben-T.ben</f>
        <v>0</v>
      </c>
      <c r="S51">
        <f>Q.ben-T.ben</f>
        <v>0</v>
      </c>
      <c r="T51">
        <f>R.ben-T.ben</f>
        <v>0</v>
      </c>
      <c r="U51">
        <f>S.ben-T.ben</f>
        <v>0</v>
      </c>
      <c r="V51" s="1"/>
      <c r="W51">
        <f>U.ben-T.ben</f>
        <v>0</v>
      </c>
      <c r="X51">
        <f>V.ben-T.ben</f>
        <v>0</v>
      </c>
      <c r="Y51">
        <f>W.ben-T.ben</f>
        <v>0</v>
      </c>
      <c r="Z51">
        <f>X.ben-T.ben</f>
        <v>0</v>
      </c>
      <c r="AA51">
        <f>Y.ben-T.ben</f>
        <v>0</v>
      </c>
      <c r="AB51">
        <f>Z.ben-T.ben</f>
        <v>0</v>
      </c>
      <c r="AD51" t="s">
        <v>22</v>
      </c>
      <c r="AE51" t="str">
        <f t="shared" si="28"/>
        <v/>
      </c>
      <c r="AF51" t="str">
        <f t="shared" si="29"/>
        <v/>
      </c>
      <c r="AG51" t="str">
        <f t="shared" si="29"/>
        <v/>
      </c>
      <c r="AH51" t="str">
        <f t="shared" si="29"/>
        <v/>
      </c>
      <c r="AI51" t="str">
        <f t="shared" si="29"/>
        <v/>
      </c>
      <c r="AJ51" t="str">
        <f t="shared" si="29"/>
        <v/>
      </c>
      <c r="AK51" t="str">
        <f t="shared" si="29"/>
        <v/>
      </c>
      <c r="AL51" t="str">
        <f t="shared" si="29"/>
        <v/>
      </c>
      <c r="AM51" t="str">
        <f t="shared" si="29"/>
        <v/>
      </c>
      <c r="AN51" t="str">
        <f t="shared" si="29"/>
        <v/>
      </c>
      <c r="AO51" t="str">
        <f t="shared" si="29"/>
        <v/>
      </c>
      <c r="AP51" t="str">
        <f t="shared" si="29"/>
        <v/>
      </c>
      <c r="AQ51" t="str">
        <f t="shared" si="29"/>
        <v/>
      </c>
      <c r="AR51" t="str">
        <f t="shared" si="29"/>
        <v/>
      </c>
      <c r="AS51" t="str">
        <f t="shared" si="29"/>
        <v/>
      </c>
      <c r="AT51" t="str">
        <f t="shared" si="29"/>
        <v/>
      </c>
      <c r="AU51" t="str">
        <f t="shared" si="29"/>
        <v/>
      </c>
      <c r="AV51" t="str">
        <f t="shared" si="29"/>
        <v/>
      </c>
      <c r="AW51" t="str">
        <f t="shared" si="29"/>
        <v/>
      </c>
      <c r="AX51" t="str">
        <f t="shared" si="29"/>
        <v/>
      </c>
      <c r="AY51" t="str">
        <f t="shared" si="29"/>
        <v/>
      </c>
      <c r="AZ51" t="str">
        <f t="shared" si="29"/>
        <v/>
      </c>
      <c r="BA51" t="str">
        <f t="shared" si="29"/>
        <v/>
      </c>
      <c r="BB51" t="str">
        <f t="shared" si="29"/>
        <v/>
      </c>
      <c r="BC51" t="str">
        <f t="shared" si="29"/>
        <v/>
      </c>
      <c r="BD51" t="str">
        <f t="shared" si="29"/>
        <v/>
      </c>
    </row>
    <row r="52" spans="2:56" x14ac:dyDescent="0.25">
      <c r="B52" t="s">
        <v>23</v>
      </c>
      <c r="C52">
        <f>A.ben-U.ben</f>
        <v>0</v>
      </c>
      <c r="D52">
        <f>B.ben-U.ben</f>
        <v>0</v>
      </c>
      <c r="E52">
        <f>C.ben-U.ben</f>
        <v>0</v>
      </c>
      <c r="F52">
        <f>D.ben-U.ben</f>
        <v>0</v>
      </c>
      <c r="G52">
        <f>E.ben - U.ben</f>
        <v>0</v>
      </c>
      <c r="H52">
        <f>F.ben-U.ben</f>
        <v>0</v>
      </c>
      <c r="I52">
        <f>G.ben-U.ben</f>
        <v>0</v>
      </c>
      <c r="J52">
        <f>H.ben-U.ben</f>
        <v>0</v>
      </c>
      <c r="K52">
        <f>I.ben-U.ben</f>
        <v>0</v>
      </c>
      <c r="L52">
        <f>J.ben-U.ben</f>
        <v>0</v>
      </c>
      <c r="M52">
        <f>K.ben-U.ben</f>
        <v>0</v>
      </c>
      <c r="N52">
        <f>L.ben-U.ben</f>
        <v>0</v>
      </c>
      <c r="O52">
        <f>M.ben-U.ben</f>
        <v>0</v>
      </c>
      <c r="P52">
        <f>N.ben-U.ben</f>
        <v>0</v>
      </c>
      <c r="Q52">
        <f>O.ben-U.ben</f>
        <v>0</v>
      </c>
      <c r="R52">
        <f>P.ben-U.ben</f>
        <v>0</v>
      </c>
      <c r="S52">
        <f>Q.ben-U.ben</f>
        <v>0</v>
      </c>
      <c r="T52">
        <f>R.ben-U.ben</f>
        <v>0</v>
      </c>
      <c r="U52">
        <f>S.ben-U.ben</f>
        <v>0</v>
      </c>
      <c r="V52">
        <f>T.ben-U.ben</f>
        <v>0</v>
      </c>
      <c r="W52" s="1"/>
      <c r="X52">
        <f>V.ben-U.ben</f>
        <v>0</v>
      </c>
      <c r="Y52">
        <f>W.ben-U.ben</f>
        <v>0</v>
      </c>
      <c r="Z52">
        <f>X.ben-U.ben</f>
        <v>0</v>
      </c>
      <c r="AA52">
        <f>Y.ben-U.ben</f>
        <v>0</v>
      </c>
      <c r="AB52">
        <f>Z.ben-U.ben</f>
        <v>0</v>
      </c>
      <c r="AD52" t="s">
        <v>23</v>
      </c>
      <c r="AE52" t="str">
        <f t="shared" si="28"/>
        <v/>
      </c>
      <c r="AF52" t="str">
        <f t="shared" si="29"/>
        <v/>
      </c>
      <c r="AG52" t="str">
        <f t="shared" si="29"/>
        <v/>
      </c>
      <c r="AH52" t="str">
        <f t="shared" si="29"/>
        <v/>
      </c>
      <c r="AI52" t="str">
        <f t="shared" si="29"/>
        <v/>
      </c>
      <c r="AJ52" t="str">
        <f t="shared" si="29"/>
        <v/>
      </c>
      <c r="AK52" t="str">
        <f t="shared" si="29"/>
        <v/>
      </c>
      <c r="AL52" t="str">
        <f t="shared" si="29"/>
        <v/>
      </c>
      <c r="AM52" t="str">
        <f t="shared" si="29"/>
        <v/>
      </c>
      <c r="AN52" t="str">
        <f t="shared" si="29"/>
        <v/>
      </c>
      <c r="AO52" t="str">
        <f t="shared" si="29"/>
        <v/>
      </c>
      <c r="AP52" t="str">
        <f t="shared" si="29"/>
        <v/>
      </c>
      <c r="AQ52" t="str">
        <f t="shared" si="29"/>
        <v/>
      </c>
      <c r="AR52" t="str">
        <f t="shared" si="29"/>
        <v/>
      </c>
      <c r="AS52" t="str">
        <f t="shared" si="29"/>
        <v/>
      </c>
      <c r="AT52" t="str">
        <f t="shared" si="29"/>
        <v/>
      </c>
      <c r="AU52" t="str">
        <f t="shared" si="29"/>
        <v/>
      </c>
      <c r="AV52" t="str">
        <f t="shared" si="29"/>
        <v/>
      </c>
      <c r="AW52" t="str">
        <f t="shared" si="29"/>
        <v/>
      </c>
      <c r="AX52" t="str">
        <f t="shared" si="29"/>
        <v/>
      </c>
      <c r="AY52" t="str">
        <f t="shared" si="29"/>
        <v/>
      </c>
      <c r="AZ52" t="str">
        <f t="shared" si="29"/>
        <v/>
      </c>
      <c r="BA52" t="str">
        <f t="shared" si="29"/>
        <v/>
      </c>
      <c r="BB52" t="str">
        <f t="shared" si="29"/>
        <v/>
      </c>
      <c r="BC52" t="str">
        <f t="shared" si="29"/>
        <v/>
      </c>
      <c r="BD52" t="str">
        <f t="shared" si="29"/>
        <v/>
      </c>
    </row>
    <row r="53" spans="2:56" x14ac:dyDescent="0.25">
      <c r="B53" t="s">
        <v>24</v>
      </c>
      <c r="C53">
        <f>A.ben-V.ben</f>
        <v>0</v>
      </c>
      <c r="D53">
        <f>B.ben-V.ben</f>
        <v>0</v>
      </c>
      <c r="E53">
        <f>C.ben-V.ben</f>
        <v>0</v>
      </c>
      <c r="F53">
        <f>D.ben-V.ben</f>
        <v>0</v>
      </c>
      <c r="G53">
        <f>E.ben - V.ben</f>
        <v>0</v>
      </c>
      <c r="H53">
        <f>F.ben - V.ben</f>
        <v>0</v>
      </c>
      <c r="I53">
        <f>G.ben-V.ben</f>
        <v>0</v>
      </c>
      <c r="J53">
        <f>H.ben-V.ben</f>
        <v>0</v>
      </c>
      <c r="K53">
        <f>I.ben-V.ben</f>
        <v>0</v>
      </c>
      <c r="L53">
        <f>J.ben-V.ben</f>
        <v>0</v>
      </c>
      <c r="M53">
        <f>K.ben-V.ben</f>
        <v>0</v>
      </c>
      <c r="N53">
        <f>L.ben-V.ben</f>
        <v>0</v>
      </c>
      <c r="O53">
        <f>M.ben-V.ben</f>
        <v>0</v>
      </c>
      <c r="P53">
        <f>N.ben-V.ben</f>
        <v>0</v>
      </c>
      <c r="Q53">
        <f>O.ben-V.ben</f>
        <v>0</v>
      </c>
      <c r="R53">
        <f>P.ben-V.ben</f>
        <v>0</v>
      </c>
      <c r="S53">
        <f>Q.ben-V.ben</f>
        <v>0</v>
      </c>
      <c r="T53">
        <f>R.ben-V.ben</f>
        <v>0</v>
      </c>
      <c r="U53">
        <f>S.ben-V.ben</f>
        <v>0</v>
      </c>
      <c r="V53">
        <f>T.ben-V.ben</f>
        <v>0</v>
      </c>
      <c r="W53">
        <f>U.ben-V.ben</f>
        <v>0</v>
      </c>
      <c r="X53" s="1"/>
      <c r="Y53">
        <f>W.ben-V.ben</f>
        <v>0</v>
      </c>
      <c r="Z53">
        <f>X.ben-V.ben</f>
        <v>0</v>
      </c>
      <c r="AA53">
        <f>Y.ben-V.ben</f>
        <v>0</v>
      </c>
      <c r="AB53">
        <f>Z.ben-V.ben</f>
        <v>0</v>
      </c>
      <c r="AD53" t="s">
        <v>24</v>
      </c>
      <c r="AE53" t="str">
        <f t="shared" si="28"/>
        <v/>
      </c>
      <c r="AF53" t="str">
        <f t="shared" ref="AF53:BD57" si="30">IF(NOT(ISERROR(AF24)),IF(AND(AF24&gt;0,AF24&lt;90),ROUND(TAN(AF24*PI()/180),0),IF(AND(AF24&gt;=90,AF24&lt;180),"Dom'd",IF(AND(AF24&gt;=180,AF24&lt;270),CONCATENATE("(",ROUND(TAN((AF24-180)*PI()/180),0),")"),IF(AF24&lt;360,"Dom's","")))),"")</f>
        <v/>
      </c>
      <c r="AG53" t="str">
        <f t="shared" si="30"/>
        <v/>
      </c>
      <c r="AH53" t="str">
        <f t="shared" si="30"/>
        <v/>
      </c>
      <c r="AI53" t="str">
        <f t="shared" si="30"/>
        <v/>
      </c>
      <c r="AJ53" t="str">
        <f t="shared" si="30"/>
        <v/>
      </c>
      <c r="AK53" t="str">
        <f t="shared" si="30"/>
        <v/>
      </c>
      <c r="AL53" t="str">
        <f t="shared" si="30"/>
        <v/>
      </c>
      <c r="AM53" t="str">
        <f t="shared" si="30"/>
        <v/>
      </c>
      <c r="AN53" t="str">
        <f t="shared" si="30"/>
        <v/>
      </c>
      <c r="AO53" t="str">
        <f t="shared" si="30"/>
        <v/>
      </c>
      <c r="AP53" t="str">
        <f t="shared" si="30"/>
        <v/>
      </c>
      <c r="AQ53" t="str">
        <f t="shared" si="30"/>
        <v/>
      </c>
      <c r="AR53" t="str">
        <f t="shared" si="30"/>
        <v/>
      </c>
      <c r="AS53" t="str">
        <f t="shared" si="30"/>
        <v/>
      </c>
      <c r="AT53" t="str">
        <f t="shared" si="30"/>
        <v/>
      </c>
      <c r="AU53" t="str">
        <f t="shared" si="30"/>
        <v/>
      </c>
      <c r="AV53" t="str">
        <f t="shared" si="30"/>
        <v/>
      </c>
      <c r="AW53" t="str">
        <f t="shared" si="30"/>
        <v/>
      </c>
      <c r="AX53" t="str">
        <f t="shared" si="30"/>
        <v/>
      </c>
      <c r="AY53" t="str">
        <f t="shared" si="30"/>
        <v/>
      </c>
      <c r="AZ53" t="str">
        <f t="shared" si="30"/>
        <v/>
      </c>
      <c r="BA53" t="str">
        <f t="shared" si="30"/>
        <v/>
      </c>
      <c r="BB53" t="str">
        <f t="shared" si="30"/>
        <v/>
      </c>
      <c r="BC53" t="str">
        <f t="shared" si="30"/>
        <v/>
      </c>
      <c r="BD53" t="str">
        <f t="shared" si="30"/>
        <v/>
      </c>
    </row>
    <row r="54" spans="2:56" x14ac:dyDescent="0.25">
      <c r="B54" t="s">
        <v>25</v>
      </c>
      <c r="C54">
        <f>A.ben-W.ben</f>
        <v>0</v>
      </c>
      <c r="D54">
        <f>B.ben-W.ben</f>
        <v>0</v>
      </c>
      <c r="E54">
        <f>C.ben-W.ben</f>
        <v>0</v>
      </c>
      <c r="F54">
        <f>D.ben-W.ben</f>
        <v>0</v>
      </c>
      <c r="G54">
        <f>E.ben-W.ben</f>
        <v>0</v>
      </c>
      <c r="H54">
        <f>F.ben - W.ben</f>
        <v>0</v>
      </c>
      <c r="I54">
        <f>G.ben-W.ben</f>
        <v>0</v>
      </c>
      <c r="J54">
        <f>H.ben-W.ben</f>
        <v>0</v>
      </c>
      <c r="K54">
        <f>I.ben-W.ben</f>
        <v>0</v>
      </c>
      <c r="L54">
        <f>J.ben-W.ben</f>
        <v>0</v>
      </c>
      <c r="M54">
        <f>K.ben-W.ben</f>
        <v>0</v>
      </c>
      <c r="N54">
        <f>L.ben-W.ben</f>
        <v>0</v>
      </c>
      <c r="O54">
        <f>M.ben-W.ben</f>
        <v>0</v>
      </c>
      <c r="P54">
        <f>N.ben-W.ben</f>
        <v>0</v>
      </c>
      <c r="Q54">
        <f>O.ben-W.ben</f>
        <v>0</v>
      </c>
      <c r="R54">
        <f>P.ben-W.ben</f>
        <v>0</v>
      </c>
      <c r="S54">
        <f>Q.ben-W.ben</f>
        <v>0</v>
      </c>
      <c r="T54">
        <f>R.ben-W.ben</f>
        <v>0</v>
      </c>
      <c r="U54">
        <f>S.ben-W.ben</f>
        <v>0</v>
      </c>
      <c r="V54">
        <f>T.ben-W.ben</f>
        <v>0</v>
      </c>
      <c r="W54">
        <f>U.ben-W.ben</f>
        <v>0</v>
      </c>
      <c r="X54">
        <f>V.ben-W.ben</f>
        <v>0</v>
      </c>
      <c r="Y54" s="1"/>
      <c r="Z54">
        <f>X.ben-W.ben</f>
        <v>0</v>
      </c>
      <c r="AA54">
        <f>Y.ben-W.ben</f>
        <v>0</v>
      </c>
      <c r="AB54">
        <f>Z.ben-W.ben</f>
        <v>0</v>
      </c>
      <c r="AD54" t="s">
        <v>25</v>
      </c>
      <c r="AE54" t="str">
        <f t="shared" si="28"/>
        <v/>
      </c>
      <c r="AF54" t="str">
        <f t="shared" si="30"/>
        <v/>
      </c>
      <c r="AG54" t="str">
        <f t="shared" si="30"/>
        <v/>
      </c>
      <c r="AH54" t="str">
        <f t="shared" si="30"/>
        <v/>
      </c>
      <c r="AI54" t="str">
        <f t="shared" si="30"/>
        <v/>
      </c>
      <c r="AJ54" t="str">
        <f t="shared" si="30"/>
        <v/>
      </c>
      <c r="AK54" t="str">
        <f t="shared" si="30"/>
        <v/>
      </c>
      <c r="AL54" t="str">
        <f t="shared" si="30"/>
        <v/>
      </c>
      <c r="AM54" t="str">
        <f t="shared" si="30"/>
        <v/>
      </c>
      <c r="AN54" t="str">
        <f t="shared" si="30"/>
        <v/>
      </c>
      <c r="AO54" t="str">
        <f t="shared" si="30"/>
        <v/>
      </c>
      <c r="AP54" t="str">
        <f t="shared" si="30"/>
        <v/>
      </c>
      <c r="AQ54" t="str">
        <f t="shared" si="30"/>
        <v/>
      </c>
      <c r="AR54" t="str">
        <f t="shared" si="30"/>
        <v/>
      </c>
      <c r="AS54" t="str">
        <f t="shared" si="30"/>
        <v/>
      </c>
      <c r="AT54" t="str">
        <f t="shared" si="30"/>
        <v/>
      </c>
      <c r="AU54" t="str">
        <f t="shared" si="30"/>
        <v/>
      </c>
      <c r="AV54" t="str">
        <f t="shared" si="30"/>
        <v/>
      </c>
      <c r="AW54" t="str">
        <f t="shared" si="30"/>
        <v/>
      </c>
      <c r="AX54" t="str">
        <f t="shared" si="30"/>
        <v/>
      </c>
      <c r="AY54" t="str">
        <f t="shared" si="30"/>
        <v/>
      </c>
      <c r="AZ54" t="str">
        <f t="shared" si="30"/>
        <v/>
      </c>
      <c r="BA54" t="str">
        <f t="shared" si="30"/>
        <v/>
      </c>
      <c r="BB54" t="str">
        <f t="shared" si="30"/>
        <v/>
      </c>
      <c r="BC54" t="str">
        <f t="shared" si="30"/>
        <v/>
      </c>
      <c r="BD54" t="str">
        <f t="shared" si="30"/>
        <v/>
      </c>
    </row>
    <row r="55" spans="2:56" x14ac:dyDescent="0.25">
      <c r="B55" t="s">
        <v>26</v>
      </c>
      <c r="C55">
        <f>A.ben-X.ben</f>
        <v>0</v>
      </c>
      <c r="D55">
        <f>B.ben-X.ben</f>
        <v>0</v>
      </c>
      <c r="E55">
        <f>C.ben - X.ben</f>
        <v>0</v>
      </c>
      <c r="F55">
        <f>D.ben-X.ben</f>
        <v>0</v>
      </c>
      <c r="G55">
        <f>E.ben - X.ben</f>
        <v>0</v>
      </c>
      <c r="H55">
        <f>F.ben-X.ben</f>
        <v>0</v>
      </c>
      <c r="I55">
        <f>G.ben-X.ben</f>
        <v>0</v>
      </c>
      <c r="J55">
        <f>H.ben-X.ben</f>
        <v>0</v>
      </c>
      <c r="K55">
        <f>I.ben-X.ben</f>
        <v>0</v>
      </c>
      <c r="L55">
        <f>J.ben-X.ben</f>
        <v>0</v>
      </c>
      <c r="M55">
        <f>K.ben-X.ben</f>
        <v>0</v>
      </c>
      <c r="N55">
        <f>L.ben-X.ben</f>
        <v>0</v>
      </c>
      <c r="O55">
        <f>M.ben-X.ben</f>
        <v>0</v>
      </c>
      <c r="P55">
        <f>N.ben-X.ben</f>
        <v>0</v>
      </c>
      <c r="Q55">
        <f>O.ben-X.ben</f>
        <v>0</v>
      </c>
      <c r="R55">
        <f>P.ben-X.ben</f>
        <v>0</v>
      </c>
      <c r="S55">
        <f>Q.ben-X.ben</f>
        <v>0</v>
      </c>
      <c r="T55">
        <f>R.ben-X.ben</f>
        <v>0</v>
      </c>
      <c r="U55">
        <f>S.ben-X.ben</f>
        <v>0</v>
      </c>
      <c r="V55">
        <f>T.ben-X.ben</f>
        <v>0</v>
      </c>
      <c r="W55">
        <f>U.ben-X.ben</f>
        <v>0</v>
      </c>
      <c r="X55">
        <f>V.ben-X.ben</f>
        <v>0</v>
      </c>
      <c r="Y55">
        <f>W.ben-X.ben</f>
        <v>0</v>
      </c>
      <c r="Z55" s="1"/>
      <c r="AA55">
        <f>Y.ben-X.ben</f>
        <v>0</v>
      </c>
      <c r="AB55">
        <f>Z.ben-X.ben</f>
        <v>0</v>
      </c>
      <c r="AD55" t="s">
        <v>26</v>
      </c>
      <c r="AE55" t="str">
        <f t="shared" si="28"/>
        <v/>
      </c>
      <c r="AF55" t="str">
        <f t="shared" si="30"/>
        <v/>
      </c>
      <c r="AG55" t="str">
        <f t="shared" si="30"/>
        <v/>
      </c>
      <c r="AH55" t="str">
        <f t="shared" si="30"/>
        <v/>
      </c>
      <c r="AI55" t="str">
        <f t="shared" si="30"/>
        <v/>
      </c>
      <c r="AJ55" t="str">
        <f t="shared" si="30"/>
        <v/>
      </c>
      <c r="AK55" t="str">
        <f t="shared" si="30"/>
        <v/>
      </c>
      <c r="AL55" t="str">
        <f t="shared" si="30"/>
        <v/>
      </c>
      <c r="AM55" t="str">
        <f t="shared" si="30"/>
        <v/>
      </c>
      <c r="AN55" t="str">
        <f t="shared" si="30"/>
        <v/>
      </c>
      <c r="AO55" t="str">
        <f t="shared" si="30"/>
        <v/>
      </c>
      <c r="AP55" t="str">
        <f t="shared" si="30"/>
        <v/>
      </c>
      <c r="AQ55" t="str">
        <f t="shared" si="30"/>
        <v/>
      </c>
      <c r="AR55" t="str">
        <f t="shared" si="30"/>
        <v/>
      </c>
      <c r="AS55" t="str">
        <f t="shared" si="30"/>
        <v/>
      </c>
      <c r="AT55" t="str">
        <f t="shared" si="30"/>
        <v/>
      </c>
      <c r="AU55" t="str">
        <f t="shared" si="30"/>
        <v/>
      </c>
      <c r="AV55" t="str">
        <f t="shared" si="30"/>
        <v/>
      </c>
      <c r="AW55" t="str">
        <f t="shared" si="30"/>
        <v/>
      </c>
      <c r="AX55" t="str">
        <f t="shared" si="30"/>
        <v/>
      </c>
      <c r="AY55" t="str">
        <f t="shared" si="30"/>
        <v/>
      </c>
      <c r="AZ55" t="str">
        <f t="shared" si="30"/>
        <v/>
      </c>
      <c r="BA55" t="str">
        <f t="shared" si="30"/>
        <v/>
      </c>
      <c r="BB55" t="str">
        <f t="shared" si="30"/>
        <v/>
      </c>
      <c r="BC55" t="str">
        <f t="shared" si="30"/>
        <v/>
      </c>
      <c r="BD55" t="str">
        <f t="shared" si="30"/>
        <v/>
      </c>
    </row>
    <row r="56" spans="2:56" x14ac:dyDescent="0.25">
      <c r="B56" t="s">
        <v>27</v>
      </c>
      <c r="C56">
        <f>A.ben-Y.ben</f>
        <v>0</v>
      </c>
      <c r="D56">
        <f>B.ben-Y.ben</f>
        <v>0</v>
      </c>
      <c r="E56">
        <f>C.ben - Y.ben</f>
        <v>0</v>
      </c>
      <c r="F56">
        <f>D.ben-Y.ben</f>
        <v>0</v>
      </c>
      <c r="G56">
        <f>E.ben-Y.ben</f>
        <v>0</v>
      </c>
      <c r="H56">
        <f>F.ben-Y.ben</f>
        <v>0</v>
      </c>
      <c r="I56">
        <f>G.ben-Y.ben</f>
        <v>0</v>
      </c>
      <c r="J56">
        <f>H.ben-Y.ben</f>
        <v>0</v>
      </c>
      <c r="K56">
        <f>I.ben-Y.ben</f>
        <v>0</v>
      </c>
      <c r="L56">
        <f>J.ben-Y.ben</f>
        <v>0</v>
      </c>
      <c r="M56">
        <f>K.ben-Y.ben</f>
        <v>0</v>
      </c>
      <c r="N56">
        <f>L.ben-Y.ben</f>
        <v>0</v>
      </c>
      <c r="O56">
        <f>M.ben-Y.ben</f>
        <v>0</v>
      </c>
      <c r="P56">
        <f>N.ben-Y.ben</f>
        <v>0</v>
      </c>
      <c r="Q56">
        <f>O.ben-Y.ben</f>
        <v>0</v>
      </c>
      <c r="R56">
        <f>P.ben-Y.ben</f>
        <v>0</v>
      </c>
      <c r="S56">
        <f>Q.ben-Y.ben</f>
        <v>0</v>
      </c>
      <c r="T56">
        <f>R.ben-Y.ben</f>
        <v>0</v>
      </c>
      <c r="U56">
        <f>S.ben-Y.ben</f>
        <v>0</v>
      </c>
      <c r="V56">
        <f>T.ben-Y.ben</f>
        <v>0</v>
      </c>
      <c r="W56">
        <f>U.ben-Y.ben</f>
        <v>0</v>
      </c>
      <c r="X56">
        <f>V.ben-Y.ben</f>
        <v>0</v>
      </c>
      <c r="Y56">
        <f>W.ben-Y.ben</f>
        <v>0</v>
      </c>
      <c r="Z56">
        <f>X.ben-Y.ben</f>
        <v>0</v>
      </c>
      <c r="AA56" s="1"/>
      <c r="AB56">
        <f>Z.ben-Y.ben</f>
        <v>0</v>
      </c>
      <c r="AD56" t="s">
        <v>27</v>
      </c>
      <c r="AE56" t="str">
        <f t="shared" si="28"/>
        <v/>
      </c>
      <c r="AF56" t="str">
        <f t="shared" si="30"/>
        <v/>
      </c>
      <c r="AG56" t="str">
        <f t="shared" si="30"/>
        <v/>
      </c>
      <c r="AH56" t="str">
        <f t="shared" si="30"/>
        <v/>
      </c>
      <c r="AI56" t="str">
        <f t="shared" si="30"/>
        <v/>
      </c>
      <c r="AJ56" t="str">
        <f t="shared" si="30"/>
        <v/>
      </c>
      <c r="AK56" t="str">
        <f t="shared" si="30"/>
        <v/>
      </c>
      <c r="AL56" t="str">
        <f t="shared" si="30"/>
        <v/>
      </c>
      <c r="AM56" t="str">
        <f t="shared" si="30"/>
        <v/>
      </c>
      <c r="AN56" t="str">
        <f t="shared" si="30"/>
        <v/>
      </c>
      <c r="AO56" t="str">
        <f t="shared" si="30"/>
        <v/>
      </c>
      <c r="AP56" t="str">
        <f t="shared" si="30"/>
        <v/>
      </c>
      <c r="AQ56" t="str">
        <f t="shared" si="30"/>
        <v/>
      </c>
      <c r="AR56" t="str">
        <f t="shared" si="30"/>
        <v/>
      </c>
      <c r="AS56" t="str">
        <f t="shared" si="30"/>
        <v/>
      </c>
      <c r="AT56" t="str">
        <f t="shared" si="30"/>
        <v/>
      </c>
      <c r="AU56" t="str">
        <f t="shared" si="30"/>
        <v/>
      </c>
      <c r="AV56" t="str">
        <f t="shared" si="30"/>
        <v/>
      </c>
      <c r="AW56" t="str">
        <f t="shared" si="30"/>
        <v/>
      </c>
      <c r="AX56" t="str">
        <f t="shared" si="30"/>
        <v/>
      </c>
      <c r="AY56" t="str">
        <f t="shared" si="30"/>
        <v/>
      </c>
      <c r="AZ56" t="str">
        <f t="shared" si="30"/>
        <v/>
      </c>
      <c r="BA56" t="str">
        <f t="shared" si="30"/>
        <v/>
      </c>
      <c r="BB56" t="str">
        <f t="shared" si="30"/>
        <v/>
      </c>
      <c r="BC56" t="str">
        <f t="shared" si="30"/>
        <v/>
      </c>
      <c r="BD56" t="str">
        <f t="shared" si="30"/>
        <v/>
      </c>
    </row>
    <row r="57" spans="2:56" x14ac:dyDescent="0.25">
      <c r="B57" t="s">
        <v>28</v>
      </c>
      <c r="C57">
        <f>A.ben-Z.ben</f>
        <v>0</v>
      </c>
      <c r="D57">
        <f>B.ben-Z.ben</f>
        <v>0</v>
      </c>
      <c r="E57">
        <f>C.ben - Z.ben</f>
        <v>0</v>
      </c>
      <c r="F57">
        <f>D.ben-Z.ben</f>
        <v>0</v>
      </c>
      <c r="G57">
        <f>E.ben-Z.ben</f>
        <v>0</v>
      </c>
      <c r="H57">
        <f>F.ben-Z.ben</f>
        <v>0</v>
      </c>
      <c r="I57">
        <f>G.ben-Z.ben</f>
        <v>0</v>
      </c>
      <c r="J57">
        <f>H.ben-Z.ben</f>
        <v>0</v>
      </c>
      <c r="K57">
        <f>I.ben-Z.ben</f>
        <v>0</v>
      </c>
      <c r="L57">
        <f>J.ben-Z.ben</f>
        <v>0</v>
      </c>
      <c r="M57">
        <f>K.ben-Z.ben</f>
        <v>0</v>
      </c>
      <c r="N57">
        <f>L.ben-Z.ben</f>
        <v>0</v>
      </c>
      <c r="O57">
        <f>M.ben-Z.ben</f>
        <v>0</v>
      </c>
      <c r="P57">
        <f>N.ben-Z.ben</f>
        <v>0</v>
      </c>
      <c r="Q57">
        <f>O.ben-Z.ben</f>
        <v>0</v>
      </c>
      <c r="R57">
        <f>P.ben-Z.ben</f>
        <v>0</v>
      </c>
      <c r="S57">
        <f>Q.ben-Z.ben</f>
        <v>0</v>
      </c>
      <c r="T57">
        <f>R.ben-Z.ben</f>
        <v>0</v>
      </c>
      <c r="U57">
        <f>S.ben-Z.ben</f>
        <v>0</v>
      </c>
      <c r="V57">
        <f>T.ben-Z.ben</f>
        <v>0</v>
      </c>
      <c r="W57">
        <f>U.ben-Z.ben</f>
        <v>0</v>
      </c>
      <c r="X57">
        <f>V.ben-Z.ben</f>
        <v>0</v>
      </c>
      <c r="Y57">
        <f>W.ben-Z.ben</f>
        <v>0</v>
      </c>
      <c r="Z57">
        <f>X.ben-Z.ben</f>
        <v>0</v>
      </c>
      <c r="AA57">
        <f>Y.ben-Z.ben</f>
        <v>0</v>
      </c>
      <c r="AB57" s="1"/>
      <c r="AD57" t="s">
        <v>28</v>
      </c>
      <c r="AE57" t="str">
        <f t="shared" si="28"/>
        <v/>
      </c>
      <c r="AF57" t="str">
        <f t="shared" si="30"/>
        <v/>
      </c>
      <c r="AG57" t="str">
        <f t="shared" si="30"/>
        <v/>
      </c>
      <c r="AH57" t="str">
        <f t="shared" si="30"/>
        <v/>
      </c>
      <c r="AI57" t="str">
        <f t="shared" si="30"/>
        <v/>
      </c>
      <c r="AJ57" t="str">
        <f t="shared" si="30"/>
        <v/>
      </c>
      <c r="AK57" t="str">
        <f t="shared" si="30"/>
        <v/>
      </c>
      <c r="AL57" t="str">
        <f t="shared" si="30"/>
        <v/>
      </c>
      <c r="AM57" t="str">
        <f t="shared" si="30"/>
        <v/>
      </c>
      <c r="AN57" t="str">
        <f t="shared" si="30"/>
        <v/>
      </c>
      <c r="AO57" t="str">
        <f t="shared" si="30"/>
        <v/>
      </c>
      <c r="AP57" t="str">
        <f t="shared" si="30"/>
        <v/>
      </c>
      <c r="AQ57" t="str">
        <f t="shared" si="30"/>
        <v/>
      </c>
      <c r="AR57" t="str">
        <f t="shared" si="30"/>
        <v/>
      </c>
      <c r="AS57" t="str">
        <f t="shared" si="30"/>
        <v/>
      </c>
      <c r="AT57" t="str">
        <f t="shared" si="30"/>
        <v/>
      </c>
      <c r="AU57" t="str">
        <f t="shared" si="30"/>
        <v/>
      </c>
      <c r="AV57" t="str">
        <f t="shared" si="30"/>
        <v/>
      </c>
      <c r="AW57" t="str">
        <f t="shared" si="30"/>
        <v/>
      </c>
      <c r="AX57" t="str">
        <f t="shared" si="30"/>
        <v/>
      </c>
      <c r="AY57" t="str">
        <f t="shared" si="30"/>
        <v/>
      </c>
      <c r="AZ57" t="str">
        <f t="shared" si="30"/>
        <v/>
      </c>
      <c r="BA57" t="str">
        <f t="shared" si="30"/>
        <v/>
      </c>
      <c r="BB57" t="str">
        <f t="shared" si="30"/>
        <v/>
      </c>
      <c r="BC57" t="str">
        <f t="shared" si="30"/>
        <v/>
      </c>
      <c r="BD57" t="str">
        <f t="shared" si="3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52</vt:i4>
      </vt:variant>
    </vt:vector>
  </HeadingPairs>
  <TitlesOfParts>
    <vt:vector size="55" baseType="lpstr">
      <vt:lpstr>Summary Tables</vt:lpstr>
      <vt:lpstr>Workings Out</vt:lpstr>
      <vt:lpstr>Cost Effectiveness Plane</vt:lpstr>
      <vt:lpstr>A.ben</vt:lpstr>
      <vt:lpstr>A.cost</vt:lpstr>
      <vt:lpstr>B.ben</vt:lpstr>
      <vt:lpstr>B.cost</vt:lpstr>
      <vt:lpstr>C.ben</vt:lpstr>
      <vt:lpstr>C.cost</vt:lpstr>
      <vt:lpstr>D.ben</vt:lpstr>
      <vt:lpstr>D.cost</vt:lpstr>
      <vt:lpstr>E.ben</vt:lpstr>
      <vt:lpstr>E.cost</vt:lpstr>
      <vt:lpstr>F.ben</vt:lpstr>
      <vt:lpstr>F.cost</vt:lpstr>
      <vt:lpstr>G.ben</vt:lpstr>
      <vt:lpstr>G.cost</vt:lpstr>
      <vt:lpstr>H.ben</vt:lpstr>
      <vt:lpstr>H.cost</vt:lpstr>
      <vt:lpstr>I.ben</vt:lpstr>
      <vt:lpstr>I.cost</vt:lpstr>
      <vt:lpstr>J.ben</vt:lpstr>
      <vt:lpstr>J.cost</vt:lpstr>
      <vt:lpstr>K.ben</vt:lpstr>
      <vt:lpstr>K.cost</vt:lpstr>
      <vt:lpstr>L.ben</vt:lpstr>
      <vt:lpstr>L.cost</vt:lpstr>
      <vt:lpstr>M.ben</vt:lpstr>
      <vt:lpstr>M.cost</vt:lpstr>
      <vt:lpstr>N.ben</vt:lpstr>
      <vt:lpstr>N.cost</vt:lpstr>
      <vt:lpstr>O.ben</vt:lpstr>
      <vt:lpstr>O.cost</vt:lpstr>
      <vt:lpstr>P.ben</vt:lpstr>
      <vt:lpstr>P.cost</vt:lpstr>
      <vt:lpstr>Q.ben</vt:lpstr>
      <vt:lpstr>Q.cost</vt:lpstr>
      <vt:lpstr>R.ben</vt:lpstr>
      <vt:lpstr>R.cost</vt:lpstr>
      <vt:lpstr>S.ben</vt:lpstr>
      <vt:lpstr>S.cost</vt:lpstr>
      <vt:lpstr>T.ben</vt:lpstr>
      <vt:lpstr>T.cost</vt:lpstr>
      <vt:lpstr>U.ben</vt:lpstr>
      <vt:lpstr>U.cost</vt:lpstr>
      <vt:lpstr>V.ben</vt:lpstr>
      <vt:lpstr>V.cost</vt:lpstr>
      <vt:lpstr>W.ben</vt:lpstr>
      <vt:lpstr>W.cost</vt:lpstr>
      <vt:lpstr>X.ben</vt:lpstr>
      <vt:lpstr>X.cost</vt:lpstr>
      <vt:lpstr>Y.ben</vt:lpstr>
      <vt:lpstr>Y.cost</vt:lpstr>
      <vt:lpstr>Z.ben</vt:lpstr>
      <vt:lpstr>Z.cost</vt:lpstr>
    </vt:vector>
  </TitlesOfParts>
  <Company>ScHARR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Minton</dc:creator>
  <cp:lastModifiedBy>Jon Minton</cp:lastModifiedBy>
  <dcterms:created xsi:type="dcterms:W3CDTF">2013-08-14T11:13:49Z</dcterms:created>
  <dcterms:modified xsi:type="dcterms:W3CDTF">2013-08-19T19:14:29Z</dcterms:modified>
</cp:coreProperties>
</file>