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epwonder\Desktop\ProjectJim\Documentation\"/>
    </mc:Choice>
  </mc:AlternateContent>
  <bookViews>
    <workbookView xWindow="0" yWindow="0" windowWidth="23040" windowHeight="9780"/>
  </bookViews>
  <sheets>
    <sheet name="Jim Cost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6" i="1" l="1"/>
  <c r="G24" i="1"/>
  <c r="G25" i="1"/>
  <c r="G27" i="1"/>
  <c r="G28" i="1"/>
  <c r="E4" i="1"/>
  <c r="F4" i="1" s="1"/>
  <c r="E5" i="1"/>
  <c r="F5" i="1" s="1"/>
  <c r="E6" i="1"/>
  <c r="F6" i="1" s="1"/>
  <c r="E7" i="1"/>
  <c r="F7" i="1" s="1"/>
  <c r="H7" i="1" s="1"/>
  <c r="E8" i="1"/>
  <c r="F8" i="1" s="1"/>
  <c r="E9" i="1"/>
  <c r="F9" i="1" s="1"/>
  <c r="H9" i="1" s="1"/>
  <c r="E10" i="1"/>
  <c r="F10" i="1" s="1"/>
  <c r="E11" i="1"/>
  <c r="F11" i="1" s="1"/>
  <c r="H11" i="1" s="1"/>
  <c r="E12" i="1"/>
  <c r="F12" i="1" s="1"/>
  <c r="E13" i="1"/>
  <c r="F13" i="1" s="1"/>
  <c r="E14" i="1"/>
  <c r="F14" i="1" s="1"/>
  <c r="H14" i="1" s="1"/>
  <c r="E15" i="1"/>
  <c r="F15" i="1" s="1"/>
  <c r="E16" i="1"/>
  <c r="F16" i="1" s="1"/>
  <c r="E17" i="1"/>
  <c r="F17" i="1" s="1"/>
  <c r="G17" i="1" s="1"/>
  <c r="E18" i="1"/>
  <c r="F18" i="1" s="1"/>
  <c r="G18" i="1" s="1"/>
  <c r="E19" i="1"/>
  <c r="F19" i="1" s="1"/>
  <c r="H19" i="1" s="1"/>
  <c r="E20" i="1"/>
  <c r="F20" i="1" s="1"/>
  <c r="E21" i="1"/>
  <c r="F21" i="1" s="1"/>
  <c r="H21" i="1" s="1"/>
  <c r="E22" i="1"/>
  <c r="E23" i="1"/>
  <c r="F23" i="1" s="1"/>
  <c r="E24" i="1"/>
  <c r="H24" i="1" s="1"/>
  <c r="E25" i="1"/>
  <c r="H25" i="1" s="1"/>
  <c r="E26" i="1"/>
  <c r="F26" i="1" s="1"/>
  <c r="H26" i="1" s="1"/>
  <c r="E27" i="1"/>
  <c r="H27" i="1" s="1"/>
  <c r="E28" i="1"/>
  <c r="H28" i="1" s="1"/>
  <c r="E3" i="1"/>
  <c r="F3" i="1" s="1"/>
  <c r="G3" i="1" s="1"/>
  <c r="C28" i="1"/>
  <c r="B27" i="1"/>
  <c r="C25" i="1"/>
  <c r="C24" i="1"/>
  <c r="B18" i="1"/>
  <c r="C23" i="1"/>
  <c r="B21" i="1"/>
  <c r="B20" i="1"/>
  <c r="B19" i="1"/>
  <c r="B17" i="1"/>
  <c r="B16" i="1"/>
  <c r="B15" i="1"/>
  <c r="B14" i="1"/>
  <c r="B13" i="1"/>
  <c r="B12" i="1"/>
  <c r="B11" i="1"/>
  <c r="B9" i="1"/>
  <c r="B10" i="1"/>
  <c r="B8" i="1"/>
  <c r="B7" i="1"/>
  <c r="B6" i="1"/>
  <c r="B5" i="1"/>
  <c r="B4" i="1"/>
  <c r="B3" i="1"/>
  <c r="G23" i="1" l="1"/>
  <c r="F22" i="1"/>
  <c r="G22" i="1" s="1"/>
  <c r="G13" i="1"/>
  <c r="H13" i="1"/>
  <c r="H20" i="1"/>
  <c r="G20" i="1"/>
  <c r="H4" i="1"/>
  <c r="G4" i="1"/>
  <c r="G5" i="1"/>
  <c r="H5" i="1"/>
  <c r="H16" i="1"/>
  <c r="G16" i="1"/>
  <c r="G12" i="1"/>
  <c r="H12" i="1"/>
  <c r="H8" i="1"/>
  <c r="G8" i="1"/>
  <c r="H15" i="1"/>
  <c r="G15" i="1"/>
  <c r="G10" i="1"/>
  <c r="H10" i="1"/>
  <c r="H6" i="1"/>
  <c r="G6" i="1"/>
  <c r="G26" i="1"/>
  <c r="G21" i="1"/>
  <c r="H3" i="1"/>
  <c r="G19" i="1"/>
  <c r="H18" i="1"/>
  <c r="H17" i="1"/>
  <c r="G14" i="1"/>
  <c r="G11" i="1"/>
  <c r="G9" i="1"/>
  <c r="G7" i="1"/>
  <c r="H22" i="1" l="1"/>
  <c r="H23" i="1"/>
  <c r="H29" i="1" s="1"/>
  <c r="G29" i="1"/>
</calcChain>
</file>

<file path=xl/sharedStrings.xml><?xml version="1.0" encoding="utf-8"?>
<sst xmlns="http://schemas.openxmlformats.org/spreadsheetml/2006/main" count="62" uniqueCount="42">
  <si>
    <t>Items</t>
  </si>
  <si>
    <t>Part Number</t>
  </si>
  <si>
    <t>Manufacturor/Distributor</t>
  </si>
  <si>
    <t>Price/Unit</t>
  </si>
  <si>
    <t>Quantity/Jim Unit</t>
  </si>
  <si>
    <t>Quantity/Total</t>
  </si>
  <si>
    <t>Price/Jim Unit</t>
  </si>
  <si>
    <t>Price/Total</t>
  </si>
  <si>
    <t>8 Pin Socket</t>
  </si>
  <si>
    <t>6n138 optoisolator</t>
  </si>
  <si>
    <t>18 Pin Socket</t>
  </si>
  <si>
    <t>PIC16F628A</t>
  </si>
  <si>
    <t>22pF Ceramic Capacitor</t>
  </si>
  <si>
    <t>0.1uF Ceramic Capacitor</t>
  </si>
  <si>
    <t>330uF Electrolytic Capacitor</t>
  </si>
  <si>
    <t>1mF Electrolytic Capacitor</t>
  </si>
  <si>
    <t>220Ohm Resistor</t>
  </si>
  <si>
    <t>4.7kOhm Resistor</t>
  </si>
  <si>
    <t>270Ohm Resistor</t>
  </si>
  <si>
    <t>10kOhm Resistor</t>
  </si>
  <si>
    <t>1kOhm Resistor</t>
  </si>
  <si>
    <t>56Ohm Resistor</t>
  </si>
  <si>
    <t>100Ohm Resistor</t>
  </si>
  <si>
    <t>2n3904 Transistor</t>
  </si>
  <si>
    <t>2 White Super Bright LED</t>
  </si>
  <si>
    <t>20MHz Quartz Crystal Resonator</t>
  </si>
  <si>
    <t>Through Hole Male pin things</t>
  </si>
  <si>
    <t>Mouser</t>
  </si>
  <si>
    <t>Jim Circuit Board</t>
  </si>
  <si>
    <t>N/A</t>
  </si>
  <si>
    <t>Female Midi Plug</t>
  </si>
  <si>
    <t>LX0508</t>
  </si>
  <si>
    <t>5V 8A power supply</t>
  </si>
  <si>
    <t>Digi Key</t>
  </si>
  <si>
    <t>2.5mm Female Power cable assembly</t>
  </si>
  <si>
    <t>USB to MIDI cable</t>
  </si>
  <si>
    <t>Tower Pro 9g micro servo</t>
  </si>
  <si>
    <t>SG90</t>
  </si>
  <si>
    <t>1n4148 Fast Switching Diode</t>
  </si>
  <si>
    <t>Lightinthebox</t>
  </si>
  <si>
    <t>Jim Units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</si>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</sst>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H29" totalsRowCount="1" headerRowDxfId="17" dataDxfId="16">
  <autoFilter ref="A2:H28"/>
  <tableColumns count="8">
    <tableColumn id="1" name="Items" totalsRowLabel="Total" dataDxfId="15" totalsRowDxfId="7"/>
    <tableColumn id="2" name="Part Number" dataDxfId="14" totalsRowDxfId="6" dataCellStyle="Hyperlink"/>
    <tableColumn id="3" name="Manufacturor/Distributor" dataDxfId="13" totalsRowDxfId="5"/>
    <tableColumn id="4" name="Quantity/Jim Unit" dataDxfId="12" totalsRowDxfId="4"/>
    <tableColumn id="5" name="Quantity/Total" dataDxfId="11" totalsRowDxfId="3">
      <calculatedColumnFormula>J$3*D3</calculatedColumnFormula>
    </tableColumn>
    <tableColumn id="6" name="Price/Unit" dataDxfId="10" totalsRowDxfId="2"/>
    <tableColumn id="7" name="Price/Jim Unit" totalsRowFunction="sum" dataDxfId="9" totalsRowDxfId="1">
      <calculatedColumnFormula>F3*D3</calculatedColumnFormula>
    </tableColumn>
    <tableColumn id="8" name="Price/Total" totalsRowFunction="sum" dataDxfId="8" totalsRowDxfId="0">
      <calculatedColumnFormula>F3*E3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zoomScale="80" zoomScaleNormal="80" workbookViewId="0">
      <selection activeCell="M17" sqref="M17"/>
    </sheetView>
  </sheetViews>
  <sheetFormatPr defaultRowHeight="14.4" x14ac:dyDescent="0.3"/>
  <cols>
    <col min="1" max="1" width="31.88671875" style="1" bestFit="1" customWidth="1"/>
    <col min="2" max="2" width="23.5546875" style="1" bestFit="1" customWidth="1"/>
    <col min="3" max="3" width="27.33203125" style="1" bestFit="1" customWidth="1"/>
    <col min="4" max="4" width="20.5546875" style="1" bestFit="1" customWidth="1"/>
    <col min="5" max="5" width="18" style="1" bestFit="1" customWidth="1"/>
    <col min="6" max="6" width="14" style="1" bestFit="1" customWidth="1"/>
    <col min="7" max="7" width="17.21875" style="1" bestFit="1" customWidth="1"/>
    <col min="8" max="8" width="14.6640625" style="1" bestFit="1" customWidth="1"/>
    <col min="9" max="9" width="5.21875" style="1" bestFit="1" customWidth="1"/>
    <col min="10" max="10" width="8.33203125" style="1" bestFit="1" customWidth="1"/>
    <col min="11" max="16384" width="8.88671875" style="1"/>
  </cols>
  <sheetData>
    <row r="2" spans="1:10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  <c r="H2" s="1" t="s">
        <v>7</v>
      </c>
      <c r="J2" s="1" t="s">
        <v>40</v>
      </c>
    </row>
    <row r="3" spans="1:10" x14ac:dyDescent="0.3">
      <c r="A3" s="1" t="s">
        <v>10</v>
      </c>
      <c r="B3" s="2" t="str">
        <f>HYPERLINK("https://www.mouser.com/ProductDetail/TE-Connectivity/1-2199298-5?qs=sGAEpiMZZMs%2fSh%2fkjph1tg2rzwRe0qPTk6j11BRLpRw%3d", "571-1-2199298-5")</f>
        <v>571-1-2199298-5</v>
      </c>
      <c r="C3" s="1" t="s">
        <v>27</v>
      </c>
      <c r="D3" s="1">
        <v>1</v>
      </c>
      <c r="E3" s="1">
        <f>J$3*D3</f>
        <v>3</v>
      </c>
      <c r="F3" s="3">
        <f>IF(E3 &lt; 10, 0.28, IF(E3 &lt; 100, 0.225, IF(E3 &lt; 250, 0.182, IF(E3 &lt; 500, 0.172, IF(E3 &lt; 1000, 0.157, IF(E3 &lt; 2500, 0.131, IF(E3 &lt; 5000, 0.12, IF(E3 &lt; 10000, 0.109, 0.105))))))))</f>
        <v>0.28000000000000003</v>
      </c>
      <c r="G3" s="3">
        <f>F3*D3</f>
        <v>0.28000000000000003</v>
      </c>
      <c r="H3" s="3">
        <f>F3*E3</f>
        <v>0.84000000000000008</v>
      </c>
      <c r="J3" s="1">
        <v>3</v>
      </c>
    </row>
    <row r="4" spans="1:10" x14ac:dyDescent="0.3">
      <c r="A4" s="1" t="s">
        <v>11</v>
      </c>
      <c r="B4" s="2" t="str">
        <f>HYPERLINK("https://www.mouser.com/ProductDetail/Microchip-Technology/PIC16F628A-I-P?qs=sGAEpiMZZMvcAs5GUBtMdQ8B5sru48B3", "579-PIC16F628A-I/P")</f>
        <v>579-PIC16F628A-I/P</v>
      </c>
      <c r="C4" s="1" t="s">
        <v>27</v>
      </c>
      <c r="D4" s="1">
        <v>1</v>
      </c>
      <c r="E4" s="1">
        <f t="shared" ref="E4:E28" si="0">J$3*D4</f>
        <v>3</v>
      </c>
      <c r="F4" s="3">
        <f>IF(E4 &lt; 10, 2.08, IF(E4 &lt; 25, 1.73, 1.68))</f>
        <v>2.08</v>
      </c>
      <c r="G4" s="3">
        <f t="shared" ref="G4:G28" si="1">F4*D4</f>
        <v>2.08</v>
      </c>
      <c r="H4" s="3">
        <f t="shared" ref="H4:H28" si="2">F4*E4</f>
        <v>6.24</v>
      </c>
    </row>
    <row r="5" spans="1:10" x14ac:dyDescent="0.3">
      <c r="A5" s="1" t="s">
        <v>8</v>
      </c>
      <c r="B5" s="2" t="str">
        <f>HYPERLINK("https://www.mouser.com/ProductDetail/TE-Connectivity/1-2199298-2?qs=sGAEpiMZZMs%2fSh%2fkjph1tg2rzwRe0qPT4lhpAHCQgcw%3d", "571-1-2199298-2")</f>
        <v>571-1-2199298-2</v>
      </c>
      <c r="C5" s="1" t="s">
        <v>27</v>
      </c>
      <c r="D5" s="1">
        <v>1</v>
      </c>
      <c r="E5" s="1">
        <f t="shared" si="0"/>
        <v>3</v>
      </c>
      <c r="F5" s="3">
        <f>IF(E5 &lt; 10, 0.1, IF(E5 &lt; 100, 0.09, IF(E5 &lt; 1000, 0.08, IF(E5 &lt; 2500, 0.07, 0.069))))</f>
        <v>0.1</v>
      </c>
      <c r="G5" s="3">
        <f t="shared" si="1"/>
        <v>0.1</v>
      </c>
      <c r="H5" s="3">
        <f t="shared" si="2"/>
        <v>0.30000000000000004</v>
      </c>
    </row>
    <row r="6" spans="1:10" x14ac:dyDescent="0.3">
      <c r="A6" s="1" t="s">
        <v>9</v>
      </c>
      <c r="B6" s="2" t="str">
        <f>HYPERLINK("https://www.mouser.com/ProductDetail/Lite-On/6N138M?qs=sGAEpiMZZMtd3yBnp8bAgJVeHfvx%252b1RWDaKIx5bH5CM%3d", "859-6N138M")</f>
        <v>859-6N138M</v>
      </c>
      <c r="C6" s="1" t="s">
        <v>27</v>
      </c>
      <c r="D6" s="1">
        <v>1</v>
      </c>
      <c r="E6" s="1">
        <f t="shared" si="0"/>
        <v>3</v>
      </c>
      <c r="F6" s="3">
        <f>IF(E6 &lt; 10, 0.58, IF(E6 &lt; 100, 0.528, IF(E6 &lt; 500, 0.403, IF(E6 &lt; 1000, 0.348, IF(E6 &lt; 2500, 0.275, IF(E6 &lt; 10000, 0.248, IF(E6 &lt; 25000, 0.244, IF(E6 &lt; 50000, 0.238, 0.299))))))))</f>
        <v>0.57999999999999996</v>
      </c>
      <c r="G6" s="3">
        <f t="shared" si="1"/>
        <v>0.57999999999999996</v>
      </c>
      <c r="H6" s="3">
        <f t="shared" si="2"/>
        <v>1.7399999999999998</v>
      </c>
    </row>
    <row r="7" spans="1:10" x14ac:dyDescent="0.3">
      <c r="A7" s="1" t="s">
        <v>12</v>
      </c>
      <c r="B7" s="2" t="str">
        <f>HYPERLINK("https://www.mouser.com/ProductDetail/Vishay-BC-Components/K220J10C0GF5UH5?qs=sGAEpiMZZMsh%252b1woXyUXj9nJp%252b8gphztXIKBUu3gv%252bs%3d", "594-K220J10C0GF5UH5")</f>
        <v>594-K220J10C0GF5UH5</v>
      </c>
      <c r="C7" s="1" t="s">
        <v>27</v>
      </c>
      <c r="D7" s="1">
        <v>2</v>
      </c>
      <c r="E7" s="1">
        <f t="shared" si="0"/>
        <v>6</v>
      </c>
      <c r="F7" s="3">
        <f>IF(E7 &lt; 50, 0.1, IF(E7 &lt; 1000, 0.035, IF(E7 &lt; 2500, 0.023, IF(E7 &lt; 25000, 0.023, 0.02))))</f>
        <v>0.1</v>
      </c>
      <c r="G7" s="3">
        <f t="shared" si="1"/>
        <v>0.2</v>
      </c>
      <c r="H7" s="3">
        <f t="shared" si="2"/>
        <v>0.60000000000000009</v>
      </c>
    </row>
    <row r="8" spans="1:10" x14ac:dyDescent="0.3">
      <c r="A8" s="1" t="s">
        <v>13</v>
      </c>
      <c r="B8" s="2" t="str">
        <f>HYPERLINK("https://www.mouser.com/ProductDetail/Vishay-BC-Components/K104K15X7RF53H5?qs=sGAEpiMZZMsh%252b1woXyUXj3VKThCaWizcdxQbj9UsiKI%3d", "
594-K104K15X7RF53H5")</f>
        <v xml:space="preserve">
594-K104K15X7RF53H5</v>
      </c>
      <c r="C8" s="1" t="s">
        <v>27</v>
      </c>
      <c r="D8" s="1">
        <v>1</v>
      </c>
      <c r="E8" s="1">
        <f t="shared" si="0"/>
        <v>3</v>
      </c>
      <c r="F8" s="3">
        <f>IF(E8 &lt; 50, 0.1, IF(E8 &lt; 100, 0.054, IF(E8 &lt; 1000, 0.044, IF(E8 &lt; 5000, 0.04, IF(E8 &lt; 30000, 0.033, IF(E8 &lt; 50000, 0.03, 0.028))))))</f>
        <v>0.1</v>
      </c>
      <c r="G8" s="3">
        <f t="shared" si="1"/>
        <v>0.1</v>
      </c>
      <c r="H8" s="3">
        <f t="shared" si="2"/>
        <v>0.30000000000000004</v>
      </c>
    </row>
    <row r="9" spans="1:10" x14ac:dyDescent="0.3">
      <c r="A9" s="1" t="s">
        <v>14</v>
      </c>
      <c r="B9" s="2" t="str">
        <f>HYPERLINK("https://www.mouser.com/ProductDetail/Lelon/REA331M1CBK-0811P?qs=sGAEpiMZZMtZ1n0r9vR22Z8b58wL7Nwv9o%2f79zvptYA%3d", "
140-REA331M1CBK0811P")</f>
        <v xml:space="preserve">
140-REA331M1CBK0811P</v>
      </c>
      <c r="C9" s="1" t="s">
        <v>27</v>
      </c>
      <c r="D9" s="1">
        <v>2</v>
      </c>
      <c r="E9" s="1">
        <f t="shared" si="0"/>
        <v>6</v>
      </c>
      <c r="F9" s="3">
        <f>IF(E9 &lt; 10, 0.12, IF(E9 &lt; 100, 0.11, IF(E9 &lt; 500, 0.092, IF(E9 &lt; 1000, 0.077, IF(E9 &lt; 2000, 0.071, IF(E9 &lt; 5000, 0.06, IF(E9 &lt; 10000, 0.052, IF(E9 &lt; 25000, 0.047, 0.043))))))))</f>
        <v>0.12</v>
      </c>
      <c r="G9" s="3">
        <f t="shared" si="1"/>
        <v>0.24</v>
      </c>
      <c r="H9" s="3">
        <f t="shared" si="2"/>
        <v>0.72</v>
      </c>
    </row>
    <row r="10" spans="1:10" x14ac:dyDescent="0.3">
      <c r="A10" s="1" t="s">
        <v>15</v>
      </c>
      <c r="B10" s="2" t="str">
        <f>HYPERLINK("https://www.mouser.com/ProductDetail/Lelon/REA102M1CBK-1016P?qs=sGAEpiMZZMtZ1n0r9vR22Z8b58wL7NwvJi9xZzd8jmU%3d", "
140-REA102M1CBK1016P ")</f>
        <v xml:space="preserve">
140-REA102M1CBK1016P </v>
      </c>
      <c r="C10" s="1" t="s">
        <v>27</v>
      </c>
      <c r="D10" s="1">
        <v>1</v>
      </c>
      <c r="E10" s="1">
        <f t="shared" si="0"/>
        <v>3</v>
      </c>
      <c r="F10" s="3">
        <f>IF(E10 &lt; 10, 0.26, IF(E10 &lt; 100, 0.207, IF(E10 &lt; 500, 0.184, IF(E10 &lt; 1000, 0.149, IF(E10 &lt; 2000, 0.138, IF(E10 &lt; 5000, 0.112, IF(E10 &lt; 10000, 0.096, IF(E10 &lt; 25000, 0.081, 0.074))))))))</f>
        <v>0.26</v>
      </c>
      <c r="G10" s="3">
        <f t="shared" si="1"/>
        <v>0.26</v>
      </c>
      <c r="H10" s="3">
        <f t="shared" si="2"/>
        <v>0.78</v>
      </c>
    </row>
    <row r="11" spans="1:10" x14ac:dyDescent="0.3">
      <c r="A11" s="1" t="s">
        <v>16</v>
      </c>
      <c r="B11" s="2" t="str">
        <f>HYPERLINK("https://www.mouser.com/ProductDetail/Yageo/CFR-25JR-52-220R?qs=sGAEpiMZZMsPqMdJzcrNwsJljJEG6YukGG7fjsy8I3M%3d", "603-CFR-25JR-52220R")</f>
        <v>603-CFR-25JR-52220R</v>
      </c>
      <c r="C11" s="1" t="s">
        <v>27</v>
      </c>
      <c r="D11" s="1">
        <v>1</v>
      </c>
      <c r="E11" s="1">
        <f t="shared" si="0"/>
        <v>3</v>
      </c>
      <c r="F11" s="3">
        <f>IF(E11 &lt; 10, 0.1, IF(E11 &lt; 100, 0.036, IF(E11 &lt; 1000, 0.012, IF(E11 &lt; 5000, 0.009, IF(E11 &lt; 10000, 0.007, IF(E11 &lt; 25000, 0.006, 0.005))))))</f>
        <v>0.1</v>
      </c>
      <c r="G11" s="3">
        <f t="shared" si="1"/>
        <v>0.1</v>
      </c>
      <c r="H11" s="3">
        <f t="shared" si="2"/>
        <v>0.30000000000000004</v>
      </c>
    </row>
    <row r="12" spans="1:10" x14ac:dyDescent="0.3">
      <c r="A12" s="1" t="s">
        <v>17</v>
      </c>
      <c r="B12" s="2" t="str">
        <f>HYPERLINK("https://www.mouser.com/ProductDetail/Yageo/CFR-25JR-52-4K7?qs=sGAEpiMZZMsPqMdJzcrNwsJljJEG6Yuknnzwet4BGeY%3d", "
603-CFR-25JR-524K7")</f>
        <v xml:space="preserve">
603-CFR-25JR-524K7</v>
      </c>
      <c r="C12" s="1" t="s">
        <v>27</v>
      </c>
      <c r="D12" s="1">
        <v>1</v>
      </c>
      <c r="E12" s="1">
        <f t="shared" si="0"/>
        <v>3</v>
      </c>
      <c r="F12" s="3">
        <f>IF(E12 &lt; 10, 0.1, IF(E12 &lt; 100, 0.036, IF(E12 &lt; 1000, 0.012, IF(E12 &lt; 5000, 0.009, IF(E12 &lt; 10000, 0.007, IF(E12 &lt; 25000, 0.006, 0.005))))))</f>
        <v>0.1</v>
      </c>
      <c r="G12" s="3">
        <f t="shared" si="1"/>
        <v>0.1</v>
      </c>
      <c r="H12" s="3">
        <f t="shared" si="2"/>
        <v>0.30000000000000004</v>
      </c>
    </row>
    <row r="13" spans="1:10" x14ac:dyDescent="0.3">
      <c r="A13" s="1" t="s">
        <v>18</v>
      </c>
      <c r="B13" s="2" t="str">
        <f>HYPERLINK("https://www.mouser.com/ProductDetail/Yageo/CFR-25JR-52-270R?qs=sGAEpiMZZMsPqMdJzcrNwq%2f3sCyPxxe3szfG0lTJMtk%3d", "603-CFR-25JR-52-270R")</f>
        <v>603-CFR-25JR-52-270R</v>
      </c>
      <c r="C13" s="1" t="s">
        <v>27</v>
      </c>
      <c r="D13" s="1">
        <v>1</v>
      </c>
      <c r="E13" s="1">
        <f t="shared" si="0"/>
        <v>3</v>
      </c>
      <c r="F13" s="3">
        <f>IF(E13 &lt; 10, 0.1, IF(E13 &lt; 100, 0.036, IF(E13 &lt; 1000, 0.012, IF(E13 &lt; 5000, 0.009, IF(E13 &lt; 10000, 0.007, IF(E13 &lt; 25000, 0.006, 0.005))))))</f>
        <v>0.1</v>
      </c>
      <c r="G13" s="3">
        <f t="shared" si="1"/>
        <v>0.1</v>
      </c>
      <c r="H13" s="3">
        <f t="shared" si="2"/>
        <v>0.30000000000000004</v>
      </c>
    </row>
    <row r="14" spans="1:10" x14ac:dyDescent="0.3">
      <c r="A14" s="1" t="s">
        <v>19</v>
      </c>
      <c r="B14" s="2" t="str">
        <f>HYPERLINK("https://www.mouser.com/ProductDetail/Yageo/MFR-25FRF52-10K?qs=sGAEpiMZZMsPqMdJzcrNwpu3rDHiYbvod4Vl%252b3rz0Mk%3d", "
603-MFR-25FRF5210K")</f>
        <v xml:space="preserve">
603-MFR-25FRF5210K</v>
      </c>
      <c r="C14" s="1" t="s">
        <v>27</v>
      </c>
      <c r="D14" s="1">
        <v>1</v>
      </c>
      <c r="E14" s="1">
        <f t="shared" si="0"/>
        <v>3</v>
      </c>
      <c r="F14" s="3">
        <f>IF(E14 &lt; 10, 0.1, IF(E14 &lt; 100, 0.08, IF(E14 &lt; 1000, 0.032, IF(E14 &lt; 5000, 0.015, IF(E14 &lt; 10000, 0.011, IF(E14 &lt; 25000, 0.01, IF(E14 &lt; 100000, 0.009, 0.008)))))))</f>
        <v>0.1</v>
      </c>
      <c r="G14" s="3">
        <f t="shared" si="1"/>
        <v>0.1</v>
      </c>
      <c r="H14" s="3">
        <f t="shared" si="2"/>
        <v>0.30000000000000004</v>
      </c>
    </row>
    <row r="15" spans="1:10" x14ac:dyDescent="0.3">
      <c r="A15" s="1" t="s">
        <v>20</v>
      </c>
      <c r="B15" s="2" t="str">
        <f>HYPERLINK("https://www.mouser.com/ProductDetail/Yageo/MFR-25FRF52-1K?qs=sGAEpiMZZMsPqMdJzcrNwpu3rDHiYbvo%2fIANnD1LkXE%3d", "603-MFR-25FRF521K ")</f>
        <v xml:space="preserve">603-MFR-25FRF521K </v>
      </c>
      <c r="C15" s="1" t="s">
        <v>27</v>
      </c>
      <c r="D15" s="1">
        <v>1</v>
      </c>
      <c r="E15" s="1">
        <f t="shared" si="0"/>
        <v>3</v>
      </c>
      <c r="F15" s="3">
        <f>IF(E15 &lt; 10, 0.1, IF(E15 &lt; 100, 0.08, IF(E15 &lt; 1000, 0.032, IF(E15 &lt; 5000, 0.015, IF(E15 &lt; 10000, 0.011, IF(E15 &lt; 25000, 0.01, IF(E15 &lt; 100000, 0.009, 0.008)))))))</f>
        <v>0.1</v>
      </c>
      <c r="G15" s="3">
        <f t="shared" si="1"/>
        <v>0.1</v>
      </c>
      <c r="H15" s="3">
        <f t="shared" si="2"/>
        <v>0.30000000000000004</v>
      </c>
    </row>
    <row r="16" spans="1:10" x14ac:dyDescent="0.3">
      <c r="A16" s="1" t="s">
        <v>21</v>
      </c>
      <c r="B16" s="2" t="str">
        <f>HYPERLINK("https://www.mouser.com/ProductDetail/Yageo/CFR-25JR-52-56R?qs=sGAEpiMZZMsPqMdJzcrNwq%2f3sCyPxxe3Oik6YDCS3Oc%3d", "
603-CFR-25JR-52-56R")</f>
        <v xml:space="preserve">
603-CFR-25JR-52-56R</v>
      </c>
      <c r="C16" s="1" t="s">
        <v>27</v>
      </c>
      <c r="D16" s="1">
        <v>1</v>
      </c>
      <c r="E16" s="1">
        <f t="shared" si="0"/>
        <v>3</v>
      </c>
      <c r="F16" s="3">
        <f>IF(E16 &lt; 10, 0.1, IF(E16 &lt; 100, 0.036, IF(E16 &lt; 1000, 0.012, IF(E16 &lt; 5000, 0.009, IF(E16 &lt; 10000, 0.007, IF(E16 &lt; 25000, 0.006, 0.005))))))</f>
        <v>0.1</v>
      </c>
      <c r="G16" s="3">
        <f t="shared" si="1"/>
        <v>0.1</v>
      </c>
      <c r="H16" s="3">
        <f t="shared" si="2"/>
        <v>0.30000000000000004</v>
      </c>
    </row>
    <row r="17" spans="1:8" x14ac:dyDescent="0.3">
      <c r="A17" s="1" t="s">
        <v>22</v>
      </c>
      <c r="B17" s="2" t="str">
        <f>HYPERLINK("https://www.mouser.com/ProductDetail/Yageo/CFR-25JR-52-100R?qs=sGAEpiMZZMsPqMdJzcrNwiPCnpFTGbbhYHVmSfLkWwk%3d", "603-CFR-25JR-52100R")</f>
        <v>603-CFR-25JR-52100R</v>
      </c>
      <c r="C17" s="1" t="s">
        <v>27</v>
      </c>
      <c r="D17" s="1">
        <v>1</v>
      </c>
      <c r="E17" s="1">
        <f t="shared" si="0"/>
        <v>3</v>
      </c>
      <c r="F17" s="3">
        <f>IF(E17 &lt; 10, 0.1, IF(E17 &lt; 100, 0.036, IF(E17 &lt; 1000, 0.012, IF(E17 &lt; 5000, 0.009, IF(E17 &lt; 10000, 0.007, IF(E17 &lt; 25000, 0.006, 0.005))))))</f>
        <v>0.1</v>
      </c>
      <c r="G17" s="3">
        <f t="shared" si="1"/>
        <v>0.1</v>
      </c>
      <c r="H17" s="3">
        <f t="shared" si="2"/>
        <v>0.30000000000000004</v>
      </c>
    </row>
    <row r="18" spans="1:8" x14ac:dyDescent="0.3">
      <c r="A18" s="1" t="s">
        <v>38</v>
      </c>
      <c r="B18" s="2" t="str">
        <f>HYPERLINK("https://www.mouser.com/ProductDetail/Rectron/1N4148-T?qs=sGAEpiMZZMtoHjESLttvkr6EjNfTfTJYVe0iDtoqTpQ%3d", "583-1N4148-T")</f>
        <v>583-1N4148-T</v>
      </c>
      <c r="C18" s="1" t="s">
        <v>27</v>
      </c>
      <c r="D18" s="1">
        <v>1</v>
      </c>
      <c r="E18" s="1">
        <f t="shared" si="0"/>
        <v>3</v>
      </c>
      <c r="F18" s="3">
        <f>IF(E18 &lt; 25, 0.03, IF(E18 &lt; 500, 0.02, IF(E18 &lt; 1000, 0.017, IF(E18 &lt; 2000, 0.014, IF(E18 &lt; 5000, 0.012, IF(E18 &lt; 10000, 0.011, 0.009))))))</f>
        <v>0.03</v>
      </c>
      <c r="G18" s="3">
        <f t="shared" si="1"/>
        <v>0.03</v>
      </c>
      <c r="H18" s="3">
        <f t="shared" si="2"/>
        <v>0.09</v>
      </c>
    </row>
    <row r="19" spans="1:8" x14ac:dyDescent="0.3">
      <c r="A19" s="1" t="s">
        <v>23</v>
      </c>
      <c r="B19" s="2" t="str">
        <f>HYPERLINK("https://www.mouser.com/ProductDetail/Micro-Commercial-Components-MCC/2N3904-AP?qs=sGAEpiMZZMsSqfo6rglx8Udb9Re3jSfN", "833-2N3904-AP")</f>
        <v>833-2N3904-AP</v>
      </c>
      <c r="C19" s="1" t="s">
        <v>27</v>
      </c>
      <c r="D19" s="1">
        <v>1</v>
      </c>
      <c r="E19" s="1">
        <f t="shared" si="0"/>
        <v>3</v>
      </c>
      <c r="F19" s="3">
        <f>IF(E19 &lt; 10, 0.18, IF(E19 &lt; 100, 0.154, IF(E19 &lt; 1000, 0.054, IF(E19 &lt; 5000, 0.037, IF(E19 &lt; 10000, 0.028, IF(E19 &lt; 20000, 0.024, IF(E19 &lt; 40000, 0.022, IF(E19 &lt; 100000, 0.019, 0.016))))))))</f>
        <v>0.18</v>
      </c>
      <c r="G19" s="3">
        <f t="shared" si="1"/>
        <v>0.18</v>
      </c>
      <c r="H19" s="3">
        <f t="shared" si="2"/>
        <v>0.54</v>
      </c>
    </row>
    <row r="20" spans="1:8" x14ac:dyDescent="0.3">
      <c r="A20" s="1" t="s">
        <v>24</v>
      </c>
      <c r="B20" s="2" t="str">
        <f>HYPERLINK("https://www.mouser.com/ProductDetail/Cree-Inc/C543A-WMN-CCCKK141?qs=sGAEpiMZZMusoohG2hS%252b168PbK3Wnfgf1LYAGphxxN4IzEU%2fYXoilQ%3d%3d", "941-C543AWMNCCCKK141")</f>
        <v>941-C543AWMNCCCKK141</v>
      </c>
      <c r="C20" s="1" t="s">
        <v>27</v>
      </c>
      <c r="D20" s="1">
        <v>2</v>
      </c>
      <c r="E20" s="1">
        <f t="shared" si="0"/>
        <v>6</v>
      </c>
      <c r="F20" s="3">
        <f>IF(E20 &lt; 10, 0.2, IF(E20 &lt; 100, 0.186, IF(E20 &lt; 1000, 0.17, IF(E20 &lt; 10000, 0.154, IF(E20 &lt; 50000, 0.15, 0.138)))))</f>
        <v>0.2</v>
      </c>
      <c r="G20" s="3">
        <f t="shared" si="1"/>
        <v>0.4</v>
      </c>
      <c r="H20" s="3">
        <f t="shared" si="2"/>
        <v>1.2000000000000002</v>
      </c>
    </row>
    <row r="21" spans="1:8" x14ac:dyDescent="0.3">
      <c r="A21" s="1" t="s">
        <v>25</v>
      </c>
      <c r="B21" s="2" t="str">
        <f>HYPERLINK("https://www.mouser.com/ProductDetail/ABRACON/HWZT-2000MD?qs=sGAEpiMZZMsBj6bBr9Q9aZwSgYMCcq7%2fem53ie9O0Og%3d", "815-HWZT-20.00MD ")</f>
        <v xml:space="preserve">815-HWZT-20.00MD </v>
      </c>
      <c r="C21" s="1" t="s">
        <v>27</v>
      </c>
      <c r="D21" s="1">
        <v>1</v>
      </c>
      <c r="E21" s="1">
        <f t="shared" si="0"/>
        <v>3</v>
      </c>
      <c r="F21" s="3">
        <f>IF(E21 &lt; 10, 0.24, IF(E21 &lt; 50, 0.2, IF(E21 &lt; 100, 0.18, IF(E21 &lt; 500, 0.16, IF(E21 &lt; 1000, 0.152, IF(E21 &lt; 2000, 0.128, IF(E21 &lt; 5000, 0.12, IF(E21 &lt; 10000, 0.116, 0.112))))))))</f>
        <v>0.24</v>
      </c>
      <c r="G21" s="3">
        <f t="shared" si="1"/>
        <v>0.24</v>
      </c>
      <c r="H21" s="3">
        <f t="shared" si="2"/>
        <v>0.72</v>
      </c>
    </row>
    <row r="22" spans="1:8" x14ac:dyDescent="0.3">
      <c r="A22" s="1" t="s">
        <v>26</v>
      </c>
      <c r="B22" s="2" t="str">
        <f>HYPERLINK("https://www.mouser.com/ProductDetail/TE-Connectivity-AMP/103239-3?qs=sGAEpiMZZMs%252bGHln7q6pm48SVpWlpfsE4E5prxpv59w%3d", "571-1032393")</f>
        <v>571-1032393</v>
      </c>
      <c r="C22" s="1" t="s">
        <v>27</v>
      </c>
      <c r="D22" s="1">
        <v>18</v>
      </c>
      <c r="E22" s="1">
        <f t="shared" si="0"/>
        <v>54</v>
      </c>
      <c r="F22" s="3">
        <f>IF(E22 &lt; 100, 0.24, IF(E22 &lt; 500, 0.193, IF(E22 &lt; 1000, 0.189, IF(E22 &lt; 2000, 0.174, IF(E22 &lt; 5000, 0.17, IF(E22 &lt; 10000, 0.165, IF(E22 &lt; 25000, 0.16, IF(E22 &lt; 50000, 0.154, 0.149))))))))</f>
        <v>0.24</v>
      </c>
      <c r="G22" s="3">
        <f t="shared" si="1"/>
        <v>4.32</v>
      </c>
      <c r="H22" s="3">
        <f t="shared" si="2"/>
        <v>12.959999999999999</v>
      </c>
    </row>
    <row r="23" spans="1:8" x14ac:dyDescent="0.3">
      <c r="A23" s="1" t="s">
        <v>28</v>
      </c>
      <c r="B23" s="1" t="s">
        <v>29</v>
      </c>
      <c r="C23" s="2" t="str">
        <f>HYPERLINK("http://www.goldphoenixpcb.com/pcb-pool.html", "Gold Phoenix")</f>
        <v>Gold Phoenix</v>
      </c>
      <c r="D23" s="1">
        <v>1</v>
      </c>
      <c r="E23" s="1">
        <f t="shared" si="0"/>
        <v>3</v>
      </c>
      <c r="F23" s="3">
        <f>(20 / E23) + 6.5</f>
        <v>13.166666666666668</v>
      </c>
      <c r="G23" s="3">
        <f t="shared" si="1"/>
        <v>13.166666666666668</v>
      </c>
      <c r="H23" s="3">
        <f t="shared" si="2"/>
        <v>39.5</v>
      </c>
    </row>
    <row r="24" spans="1:8" x14ac:dyDescent="0.3">
      <c r="A24" s="1" t="s">
        <v>30</v>
      </c>
      <c r="B24" s="1" t="s">
        <v>29</v>
      </c>
      <c r="C24" s="2" t="str">
        <f>HYPERLINK("https://www.amazon.com/CESS-Female-Socket-Connector-Soldering/dp/B01GBT9RC0/ref=sr_1_3?ie=UTF8&amp;qid=1519886106&amp;sr=8-3&amp;keywords=midi+jack", "Amazon")</f>
        <v>Amazon</v>
      </c>
      <c r="D24" s="1">
        <v>1</v>
      </c>
      <c r="E24" s="1">
        <f t="shared" si="0"/>
        <v>3</v>
      </c>
      <c r="F24" s="3">
        <v>1.3225</v>
      </c>
      <c r="G24" s="3">
        <f t="shared" si="1"/>
        <v>1.3225</v>
      </c>
      <c r="H24" s="3">
        <f t="shared" si="2"/>
        <v>3.9675000000000002</v>
      </c>
    </row>
    <row r="25" spans="1:8" x14ac:dyDescent="0.3">
      <c r="A25" s="1" t="s">
        <v>32</v>
      </c>
      <c r="B25" s="1" t="s">
        <v>31</v>
      </c>
      <c r="C25" s="2" t="str">
        <f>HYPERLINK("https://www.amazon.com/NEWSTYLE-Supply-Converter-Adapter-5-5x2-1mm/dp/B00MHV7576/ref=sr_1_4?ie=UTF8&amp;qid=1519886729&amp;sr=8-4&amp;keywords=5v+8a+power+supply", "Amazon")</f>
        <v>Amazon</v>
      </c>
      <c r="D25" s="1">
        <v>1</v>
      </c>
      <c r="E25" s="1">
        <f t="shared" si="0"/>
        <v>3</v>
      </c>
      <c r="F25" s="3">
        <v>12.99</v>
      </c>
      <c r="G25" s="3">
        <f t="shared" si="1"/>
        <v>12.99</v>
      </c>
      <c r="H25" s="3">
        <f t="shared" si="2"/>
        <v>38.97</v>
      </c>
    </row>
    <row r="26" spans="1:8" x14ac:dyDescent="0.3">
      <c r="A26" s="1" t="s">
        <v>34</v>
      </c>
      <c r="B26" s="2" t="str">
        <f>HYPERLINK("https://www.digikey.com/products/en?keywords=839-1146-ND", "839-1146-ND")</f>
        <v>839-1146-ND</v>
      </c>
      <c r="C26" s="1" t="s">
        <v>33</v>
      </c>
      <c r="D26" s="1">
        <v>1</v>
      </c>
      <c r="E26" s="1">
        <f t="shared" si="0"/>
        <v>3</v>
      </c>
      <c r="F26" s="3">
        <f>IF(E26 &lt; 10, 2.9, IF(E26 &lt; 25, 2.788, IF(E26 &lt; 50, 2.5552, IF(E26 &lt; 100, 2.4392, IF(E26 &lt; 250, 2.323, IF(E26 &lt; 500, 2.03264, IF(E26 &lt; 1000, 1.97456, IF(E26 &lt; 2500, 1.68418, 1.56802))))))))</f>
        <v>2.9</v>
      </c>
      <c r="G26" s="3">
        <f t="shared" si="1"/>
        <v>2.9</v>
      </c>
      <c r="H26" s="3">
        <f t="shared" si="2"/>
        <v>8.6999999999999993</v>
      </c>
    </row>
    <row r="27" spans="1:8" x14ac:dyDescent="0.3">
      <c r="A27" s="1" t="s">
        <v>35</v>
      </c>
      <c r="B27" s="2" t="str">
        <f>HYPERLINK("https://www.lightinthebox.com/USB-to-MIDI-Converter-Cable_p189268.html?currency=USD&amp;litb_from=bing_shopping&amp;utm_source=bingshopping&amp;utm_medium=cpc&amp;utm_campaign=bingshopping&amp;msclkid=ed56c2b291a7176267149825334da812", "#00189268 ")</f>
        <v xml:space="preserve">#00189268 </v>
      </c>
      <c r="C27" s="1" t="s">
        <v>39</v>
      </c>
      <c r="D27" s="1">
        <v>1</v>
      </c>
      <c r="E27" s="1">
        <f t="shared" si="0"/>
        <v>3</v>
      </c>
      <c r="F27" s="3">
        <v>14</v>
      </c>
      <c r="G27" s="3">
        <f t="shared" si="1"/>
        <v>14</v>
      </c>
      <c r="H27" s="3">
        <f t="shared" si="2"/>
        <v>42</v>
      </c>
    </row>
    <row r="28" spans="1:8" x14ac:dyDescent="0.3">
      <c r="A28" s="1" t="s">
        <v>36</v>
      </c>
      <c r="B28" s="1" t="s">
        <v>37</v>
      </c>
      <c r="C28" s="2" t="str">
        <f>HYPERLINK("https://www.amazon.com/J-Deal-Micro-Helicopter-Airplane-Controls/dp/B015H5AVZG/ref=sr_1_23_sspa?ie=UTF8&amp;qid=1519887306&amp;sr=8-23-spons&amp;keywords=tower+pro+micro+servo+9g&amp;psc=1", "Amazon")</f>
        <v>Amazon</v>
      </c>
      <c r="D28" s="1">
        <v>5</v>
      </c>
      <c r="E28" s="1">
        <f t="shared" si="0"/>
        <v>15</v>
      </c>
      <c r="F28" s="3">
        <v>2.218</v>
      </c>
      <c r="G28" s="3">
        <f t="shared" si="1"/>
        <v>11.09</v>
      </c>
      <c r="H28" s="3">
        <f t="shared" si="2"/>
        <v>33.269999999999996</v>
      </c>
    </row>
    <row r="29" spans="1:8" x14ac:dyDescent="0.3">
      <c r="A29" s="1" t="s">
        <v>41</v>
      </c>
      <c r="B29" s="4"/>
      <c r="G29" s="3">
        <f>SUBTOTAL(109,Table2[Price/Jim Unit])</f>
        <v>65.179166666666674</v>
      </c>
      <c r="H29" s="3">
        <f>SUBTOTAL(109,Table2[Price/Total])</f>
        <v>195.53749999999997</v>
      </c>
    </row>
    <row r="30" spans="1:8" x14ac:dyDescent="0.3">
      <c r="G30" s="3"/>
      <c r="H30" s="3"/>
    </row>
  </sheetData>
  <conditionalFormatting sqref="F3:F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{59BF5789-F614-45F7-B272-782126A0497C}</x14:id>
        </ext>
      </extLst>
    </cfRule>
  </conditionalFormatting>
  <conditionalFormatting sqref="G3:G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{11D47146-1F74-44D6-8B4E-88EBC93FA04D}</x14:id>
        </ext>
      </extLst>
    </cfRule>
  </conditionalFormatting>
  <conditionalFormatting sqref="H3:H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{C73A1683-4BBE-44F6-A587-83070DB74B75}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F5789-F614-45F7-B272-782126A04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F3:F28</xm:sqref>
        </x14:conditionalFormatting>
        <x14:conditionalFormatting xmlns:xm="http://schemas.microsoft.com/office/excel/2006/main">
          <x14:cfRule type="dataBar" id="{11D47146-1F74-44D6-8B4E-88EBC93FA0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G3:G28</xm:sqref>
        </x14:conditionalFormatting>
        <x14:conditionalFormatting xmlns:xm="http://schemas.microsoft.com/office/excel/2006/main">
          <x14:cfRule type="dataBar" id="{C73A1683-4BBE-44F6-A587-83070DB74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 Cost Analysis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Mrowczynski</dc:creator>
  <cp:lastModifiedBy>Jon Mrowczynski</cp:lastModifiedBy>
  <dcterms:created xsi:type="dcterms:W3CDTF">2018-02-21T20:38:31Z</dcterms:created>
  <dcterms:modified xsi:type="dcterms:W3CDTF">2018-03-05T04:34:59Z</dcterms:modified>
</cp:coreProperties>
</file>