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Fakultetas\MTEP vertinimas\2014 metai\publikacijos\"/>
    </mc:Choice>
  </mc:AlternateContent>
  <bookViews>
    <workbookView xWindow="13125" yWindow="105" windowWidth="15675" windowHeight="14115" activeTab="1"/>
  </bookViews>
  <sheets>
    <sheet name="Sheet1" sheetId="1" r:id="rId1"/>
    <sheet name="Sheet2" sheetId="2" r:id="rId2"/>
    <sheet name="Sheet3" sheetId="3" r:id="rId3"/>
  </sheets>
  <calcPr calcId="152511" refMode="R1C1"/>
</workbook>
</file>

<file path=xl/calcChain.xml><?xml version="1.0" encoding="utf-8"?>
<calcChain xmlns="http://schemas.openxmlformats.org/spreadsheetml/2006/main">
  <c r="D48" i="2" l="1"/>
  <c r="E3" i="2" s="1"/>
  <c r="F3" i="2" s="1"/>
  <c r="D37" i="2" l="1"/>
  <c r="D24" i="2"/>
  <c r="U482" i="1"/>
  <c r="U479" i="1"/>
  <c r="T482" i="1"/>
  <c r="T481" i="1"/>
  <c r="T480" i="1"/>
  <c r="T479" i="1"/>
  <c r="E481" i="1"/>
  <c r="J481" i="1"/>
  <c r="K481" i="1"/>
  <c r="D5" i="2" l="1"/>
  <c r="U224" i="1"/>
  <c r="U225" i="1"/>
  <c r="U315" i="1" l="1"/>
  <c r="U313" i="1"/>
  <c r="U233" i="1"/>
  <c r="U227" i="1"/>
  <c r="U195" i="1"/>
  <c r="U173" i="1" l="1"/>
  <c r="U172" i="1"/>
  <c r="D27" i="2"/>
  <c r="U167" i="1"/>
  <c r="U165" i="1"/>
  <c r="U258" i="1"/>
  <c r="U259" i="1"/>
  <c r="D18" i="2" l="1"/>
  <c r="U69" i="1"/>
  <c r="U67" i="1"/>
  <c r="D30" i="2"/>
  <c r="D13" i="2"/>
  <c r="D11" i="2"/>
  <c r="D10" i="2"/>
  <c r="D8" i="2"/>
  <c r="D7" i="2"/>
  <c r="D6" i="2"/>
  <c r="D4" i="2"/>
  <c r="D3" i="2"/>
  <c r="D40" i="2" l="1"/>
  <c r="D41" i="2"/>
  <c r="D32" i="2"/>
  <c r="D26" i="2"/>
  <c r="D35" i="2"/>
  <c r="D23" i="2"/>
  <c r="D17" i="2"/>
  <c r="D28" i="2"/>
  <c r="D38" i="2"/>
  <c r="D31" i="2"/>
  <c r="D14" i="2"/>
  <c r="D12" i="2"/>
  <c r="D39" i="2"/>
  <c r="D22" i="2"/>
  <c r="D16" i="2"/>
  <c r="D36" i="2"/>
  <c r="D19" i="2"/>
  <c r="D33" i="2"/>
  <c r="D15" i="2"/>
  <c r="D29" i="2"/>
  <c r="D20" i="2"/>
  <c r="D21" i="2"/>
  <c r="M432" i="1" l="1"/>
  <c r="N432" i="1"/>
  <c r="M439" i="1"/>
  <c r="N439" i="1"/>
  <c r="P439" i="1" s="1"/>
  <c r="Q439" i="1" s="1"/>
  <c r="O439" i="1"/>
  <c r="M446" i="1"/>
  <c r="N446" i="1"/>
  <c r="M453" i="1"/>
  <c r="N453" i="1"/>
  <c r="O453" i="1"/>
  <c r="M460" i="1"/>
  <c r="N460" i="1"/>
  <c r="P460" i="1" s="1"/>
  <c r="Q460" i="1" s="1"/>
  <c r="T460" i="1" s="1"/>
  <c r="U460" i="1" s="1"/>
  <c r="O460" i="1"/>
  <c r="M467" i="1"/>
  <c r="N467" i="1"/>
  <c r="P467" i="1" s="1"/>
  <c r="Q467" i="1" s="1"/>
  <c r="T467" i="1" s="1"/>
  <c r="U467" i="1" s="1"/>
  <c r="O467" i="1"/>
  <c r="M474" i="1"/>
  <c r="N474" i="1"/>
  <c r="L481" i="1"/>
  <c r="M481" i="1"/>
  <c r="N481" i="1"/>
  <c r="O481" i="1"/>
  <c r="L488" i="1"/>
  <c r="M488" i="1"/>
  <c r="N488" i="1"/>
  <c r="P488" i="1" s="1"/>
  <c r="Q488" i="1" s="1"/>
  <c r="O488" i="1"/>
  <c r="E474" i="1"/>
  <c r="L474" i="1" s="1"/>
  <c r="J474" i="1"/>
  <c r="O474" i="1" s="1"/>
  <c r="P474" i="1" s="1"/>
  <c r="Q474" i="1" s="1"/>
  <c r="E467" i="1"/>
  <c r="L467" i="1" s="1"/>
  <c r="J460" i="1"/>
  <c r="J446" i="1"/>
  <c r="O446" i="1" s="1"/>
  <c r="P446" i="1" s="1"/>
  <c r="Q446" i="1" s="1"/>
  <c r="J432" i="1"/>
  <c r="O432" i="1" s="1"/>
  <c r="E425" i="1"/>
  <c r="E418" i="1"/>
  <c r="J425" i="1"/>
  <c r="J418" i="1"/>
  <c r="J411" i="1"/>
  <c r="J390" i="1"/>
  <c r="P432" i="1" l="1"/>
  <c r="Q432" i="1" s="1"/>
  <c r="T474" i="1"/>
  <c r="U474" i="1" s="1"/>
  <c r="T473" i="1"/>
  <c r="T472" i="1"/>
  <c r="T475" i="1"/>
  <c r="T447" i="1"/>
  <c r="T445" i="1"/>
  <c r="U445" i="1" s="1"/>
  <c r="T446" i="1"/>
  <c r="U446" i="1" s="1"/>
  <c r="P481" i="1"/>
  <c r="Q481" i="1" s="1"/>
  <c r="P453" i="1"/>
  <c r="Q453" i="1" s="1"/>
  <c r="T437" i="1"/>
  <c r="U437" i="1" s="1"/>
  <c r="T440" i="1"/>
  <c r="U440" i="1" s="1"/>
  <c r="T439" i="1"/>
  <c r="T438" i="1"/>
  <c r="K474" i="1"/>
  <c r="K467" i="1"/>
  <c r="K460" i="1"/>
  <c r="K453" i="1"/>
  <c r="K446" i="1"/>
  <c r="K439" i="1"/>
  <c r="K432" i="1"/>
  <c r="K425" i="1"/>
  <c r="E460" i="1"/>
  <c r="L460" i="1" s="1"/>
  <c r="E453" i="1"/>
  <c r="L453" i="1" s="1"/>
  <c r="E446" i="1"/>
  <c r="L446" i="1" s="1"/>
  <c r="E439" i="1"/>
  <c r="L439" i="1" s="1"/>
  <c r="E432" i="1"/>
  <c r="L432" i="1" s="1"/>
  <c r="J369" i="1"/>
  <c r="J362" i="1"/>
  <c r="J348" i="1"/>
  <c r="J327" i="1"/>
  <c r="J306" i="1"/>
  <c r="J299" i="1"/>
  <c r="J292" i="1"/>
  <c r="J250" i="1"/>
  <c r="J243" i="1"/>
  <c r="J236" i="1"/>
  <c r="J229" i="1"/>
  <c r="J222" i="1"/>
  <c r="J215" i="1"/>
  <c r="J201" i="1"/>
  <c r="J194" i="1"/>
  <c r="J180" i="1"/>
  <c r="J159" i="1"/>
  <c r="J152" i="1"/>
  <c r="J131" i="1"/>
  <c r="J124" i="1"/>
  <c r="J117" i="1"/>
  <c r="J110" i="1"/>
  <c r="J61" i="1"/>
  <c r="J54" i="1"/>
  <c r="J47" i="1"/>
  <c r="J40" i="1"/>
  <c r="J33" i="1"/>
  <c r="J26" i="1"/>
  <c r="T453" i="1" l="1"/>
  <c r="U453" i="1" s="1"/>
  <c r="T452" i="1"/>
  <c r="U452" i="1" s="1"/>
  <c r="U475" i="1"/>
  <c r="T431" i="1"/>
  <c r="U431" i="1" s="1"/>
  <c r="T432" i="1"/>
  <c r="U432" i="1" s="1"/>
  <c r="E411" i="1"/>
  <c r="E404" i="1"/>
  <c r="E397" i="1"/>
  <c r="L418" i="1" l="1"/>
  <c r="L411" i="1"/>
  <c r="O425" i="1"/>
  <c r="N425" i="1"/>
  <c r="M425" i="1"/>
  <c r="L425" i="1"/>
  <c r="O418" i="1"/>
  <c r="N418" i="1"/>
  <c r="M418" i="1"/>
  <c r="K418" i="1"/>
  <c r="O411" i="1"/>
  <c r="N411" i="1"/>
  <c r="P411" i="1" s="1"/>
  <c r="Q411" i="1" s="1"/>
  <c r="M411" i="1"/>
  <c r="K411" i="1"/>
  <c r="T411" i="1" l="1"/>
  <c r="T410" i="1"/>
  <c r="P418" i="1"/>
  <c r="Q418" i="1" s="1"/>
  <c r="P425" i="1"/>
  <c r="Q425" i="1" s="1"/>
  <c r="E124" i="1"/>
  <c r="T424" i="1" l="1"/>
  <c r="T425" i="1"/>
  <c r="U425" i="1" s="1"/>
  <c r="T418" i="1"/>
  <c r="U418" i="1" s="1"/>
  <c r="T417" i="1"/>
  <c r="T416" i="1"/>
  <c r="T419" i="1"/>
  <c r="U411" i="1"/>
  <c r="E390" i="1"/>
  <c r="O404" i="1"/>
  <c r="N404" i="1"/>
  <c r="M404" i="1"/>
  <c r="K404" i="1"/>
  <c r="L404" i="1"/>
  <c r="O397" i="1"/>
  <c r="N397" i="1"/>
  <c r="M397" i="1"/>
  <c r="L397" i="1"/>
  <c r="K397" i="1"/>
  <c r="U419" i="1" l="1"/>
  <c r="P397" i="1"/>
  <c r="Q397" i="1" s="1"/>
  <c r="T397" i="1" s="1"/>
  <c r="U397" i="1" s="1"/>
  <c r="P404" i="1"/>
  <c r="Q404" i="1" s="1"/>
  <c r="E26" i="1"/>
  <c r="L26" i="1" s="1"/>
  <c r="K26" i="1"/>
  <c r="M26" i="1"/>
  <c r="N26" i="1"/>
  <c r="O26" i="1"/>
  <c r="E47" i="1"/>
  <c r="L47" i="1" s="1"/>
  <c r="K47" i="1"/>
  <c r="M47" i="1"/>
  <c r="N47" i="1"/>
  <c r="O47" i="1"/>
  <c r="E61" i="1"/>
  <c r="L61" i="1" s="1"/>
  <c r="K61" i="1"/>
  <c r="M61" i="1"/>
  <c r="N61" i="1"/>
  <c r="O61" i="1"/>
  <c r="E68" i="1"/>
  <c r="L68" i="1" s="1"/>
  <c r="K68" i="1"/>
  <c r="M68" i="1"/>
  <c r="N68" i="1"/>
  <c r="O68" i="1"/>
  <c r="E75" i="1"/>
  <c r="L75" i="1" s="1"/>
  <c r="K75" i="1"/>
  <c r="M75" i="1"/>
  <c r="N75" i="1"/>
  <c r="O75" i="1"/>
  <c r="E82" i="1"/>
  <c r="L82" i="1" s="1"/>
  <c r="K82" i="1"/>
  <c r="M82" i="1"/>
  <c r="N82" i="1"/>
  <c r="O82" i="1"/>
  <c r="E89" i="1"/>
  <c r="L89" i="1" s="1"/>
  <c r="K89" i="1"/>
  <c r="M89" i="1"/>
  <c r="N89" i="1"/>
  <c r="O89" i="1"/>
  <c r="E96" i="1"/>
  <c r="L96" i="1" s="1"/>
  <c r="K96" i="1"/>
  <c r="M96" i="1"/>
  <c r="N96" i="1"/>
  <c r="O96" i="1"/>
  <c r="E103" i="1"/>
  <c r="L103" i="1" s="1"/>
  <c r="K103" i="1"/>
  <c r="M103" i="1"/>
  <c r="N103" i="1"/>
  <c r="O103" i="1"/>
  <c r="E110" i="1"/>
  <c r="L110" i="1" s="1"/>
  <c r="K110" i="1"/>
  <c r="M110" i="1"/>
  <c r="N110" i="1"/>
  <c r="O110" i="1"/>
  <c r="E131" i="1"/>
  <c r="L131" i="1" s="1"/>
  <c r="K131" i="1"/>
  <c r="M131" i="1"/>
  <c r="N131" i="1"/>
  <c r="O131" i="1"/>
  <c r="E138" i="1"/>
  <c r="L138" i="1" s="1"/>
  <c r="K138" i="1"/>
  <c r="M138" i="1"/>
  <c r="N138" i="1"/>
  <c r="O138" i="1"/>
  <c r="E145" i="1"/>
  <c r="L145" i="1" s="1"/>
  <c r="K145" i="1"/>
  <c r="M145" i="1"/>
  <c r="N145" i="1"/>
  <c r="O145" i="1"/>
  <c r="E152" i="1"/>
  <c r="L152" i="1" s="1"/>
  <c r="K152" i="1"/>
  <c r="M152" i="1"/>
  <c r="N152" i="1"/>
  <c r="O152" i="1"/>
  <c r="E159" i="1"/>
  <c r="L159" i="1" s="1"/>
  <c r="K159" i="1"/>
  <c r="M159" i="1"/>
  <c r="N159" i="1"/>
  <c r="O159" i="1"/>
  <c r="E166" i="1"/>
  <c r="L166" i="1" s="1"/>
  <c r="K166" i="1"/>
  <c r="M166" i="1"/>
  <c r="N166" i="1"/>
  <c r="O166" i="1"/>
  <c r="E173" i="1"/>
  <c r="L173" i="1" s="1"/>
  <c r="K173" i="1"/>
  <c r="M173" i="1"/>
  <c r="N173" i="1"/>
  <c r="O173" i="1"/>
  <c r="E180" i="1"/>
  <c r="L180" i="1" s="1"/>
  <c r="K180" i="1"/>
  <c r="M180" i="1"/>
  <c r="N180" i="1"/>
  <c r="O180" i="1"/>
  <c r="E187" i="1"/>
  <c r="L187" i="1" s="1"/>
  <c r="K187" i="1"/>
  <c r="M187" i="1"/>
  <c r="N187" i="1"/>
  <c r="O187" i="1"/>
  <c r="E194" i="1"/>
  <c r="L194" i="1" s="1"/>
  <c r="K194" i="1"/>
  <c r="M194" i="1"/>
  <c r="N194" i="1"/>
  <c r="O194" i="1"/>
  <c r="E201" i="1"/>
  <c r="L201" i="1" s="1"/>
  <c r="K201" i="1"/>
  <c r="M201" i="1"/>
  <c r="N201" i="1"/>
  <c r="O201" i="1"/>
  <c r="E208" i="1"/>
  <c r="L208" i="1" s="1"/>
  <c r="K208" i="1"/>
  <c r="M208" i="1"/>
  <c r="N208" i="1"/>
  <c r="O208" i="1"/>
  <c r="E215" i="1"/>
  <c r="L215" i="1" s="1"/>
  <c r="K215" i="1"/>
  <c r="M215" i="1"/>
  <c r="N215" i="1"/>
  <c r="O215" i="1"/>
  <c r="E222" i="1"/>
  <c r="L222" i="1" s="1"/>
  <c r="K222" i="1"/>
  <c r="M222" i="1"/>
  <c r="N222" i="1"/>
  <c r="O222" i="1"/>
  <c r="E229" i="1"/>
  <c r="L229" i="1" s="1"/>
  <c r="K229" i="1"/>
  <c r="M229" i="1"/>
  <c r="N229" i="1"/>
  <c r="O229" i="1"/>
  <c r="E236" i="1"/>
  <c r="L236" i="1" s="1"/>
  <c r="K236" i="1"/>
  <c r="M236" i="1"/>
  <c r="N236" i="1"/>
  <c r="O236" i="1"/>
  <c r="E243" i="1"/>
  <c r="L243" i="1" s="1"/>
  <c r="K243" i="1"/>
  <c r="M243" i="1"/>
  <c r="N243" i="1"/>
  <c r="O243" i="1"/>
  <c r="E250" i="1"/>
  <c r="L250" i="1" s="1"/>
  <c r="K250" i="1"/>
  <c r="M250" i="1"/>
  <c r="N250" i="1"/>
  <c r="O250" i="1"/>
  <c r="E257" i="1"/>
  <c r="L257" i="1" s="1"/>
  <c r="K257" i="1"/>
  <c r="M257" i="1"/>
  <c r="N257" i="1"/>
  <c r="O257" i="1"/>
  <c r="E271" i="1"/>
  <c r="L271" i="1" s="1"/>
  <c r="K271" i="1"/>
  <c r="M271" i="1"/>
  <c r="N271" i="1"/>
  <c r="O271" i="1"/>
  <c r="E278" i="1"/>
  <c r="L278" i="1" s="1"/>
  <c r="K278" i="1"/>
  <c r="M278" i="1"/>
  <c r="N278" i="1"/>
  <c r="O278" i="1"/>
  <c r="E285" i="1"/>
  <c r="L285" i="1" s="1"/>
  <c r="K285" i="1"/>
  <c r="M285" i="1"/>
  <c r="N285" i="1"/>
  <c r="O285" i="1"/>
  <c r="E292" i="1"/>
  <c r="L292" i="1" s="1"/>
  <c r="K292" i="1"/>
  <c r="M292" i="1"/>
  <c r="N292" i="1"/>
  <c r="O292" i="1"/>
  <c r="E299" i="1"/>
  <c r="L299" i="1" s="1"/>
  <c r="K299" i="1"/>
  <c r="M299" i="1"/>
  <c r="N299" i="1"/>
  <c r="O299" i="1"/>
  <c r="E306" i="1"/>
  <c r="L306" i="1" s="1"/>
  <c r="K306" i="1"/>
  <c r="M306" i="1"/>
  <c r="N306" i="1"/>
  <c r="O306" i="1"/>
  <c r="E313" i="1"/>
  <c r="L313" i="1" s="1"/>
  <c r="K313" i="1"/>
  <c r="M313" i="1"/>
  <c r="N313" i="1"/>
  <c r="O313" i="1"/>
  <c r="E320" i="1"/>
  <c r="L320" i="1" s="1"/>
  <c r="K320" i="1"/>
  <c r="M320" i="1"/>
  <c r="N320" i="1"/>
  <c r="O320" i="1"/>
  <c r="E327" i="1"/>
  <c r="L327" i="1" s="1"/>
  <c r="K327" i="1"/>
  <c r="M327" i="1"/>
  <c r="N327" i="1"/>
  <c r="O327" i="1"/>
  <c r="E334" i="1"/>
  <c r="L334" i="1" s="1"/>
  <c r="K334" i="1"/>
  <c r="M334" i="1"/>
  <c r="N334" i="1"/>
  <c r="O334" i="1"/>
  <c r="E341" i="1"/>
  <c r="L341" i="1" s="1"/>
  <c r="K341" i="1"/>
  <c r="M341" i="1"/>
  <c r="N341" i="1"/>
  <c r="O341" i="1"/>
  <c r="E348" i="1"/>
  <c r="L348" i="1" s="1"/>
  <c r="K348" i="1"/>
  <c r="M348" i="1"/>
  <c r="N348" i="1"/>
  <c r="O348" i="1"/>
  <c r="E355" i="1"/>
  <c r="L355" i="1" s="1"/>
  <c r="K355" i="1"/>
  <c r="M355" i="1"/>
  <c r="N355" i="1"/>
  <c r="O355" i="1"/>
  <c r="E362" i="1"/>
  <c r="L362" i="1" s="1"/>
  <c r="K362" i="1"/>
  <c r="M362" i="1"/>
  <c r="N362" i="1"/>
  <c r="O362" i="1"/>
  <c r="E369" i="1"/>
  <c r="L369" i="1" s="1"/>
  <c r="K369" i="1"/>
  <c r="M369" i="1"/>
  <c r="N369" i="1"/>
  <c r="O369" i="1"/>
  <c r="E376" i="1"/>
  <c r="L376" i="1" s="1"/>
  <c r="K376" i="1"/>
  <c r="M376" i="1"/>
  <c r="N376" i="1"/>
  <c r="O376" i="1"/>
  <c r="E383" i="1"/>
  <c r="L383" i="1" s="1"/>
  <c r="K383" i="1"/>
  <c r="M383" i="1"/>
  <c r="N383" i="1"/>
  <c r="O383" i="1"/>
  <c r="L390" i="1"/>
  <c r="K390" i="1"/>
  <c r="M390" i="1"/>
  <c r="N390" i="1"/>
  <c r="O390" i="1"/>
  <c r="T404" i="1" l="1"/>
  <c r="U404" i="1" s="1"/>
  <c r="T403" i="1"/>
  <c r="U403" i="1" s="1"/>
  <c r="P341" i="1"/>
  <c r="Q341" i="1" s="1"/>
  <c r="P145" i="1"/>
  <c r="P75" i="1"/>
  <c r="P26" i="1"/>
  <c r="P103" i="1"/>
  <c r="P285" i="1"/>
  <c r="P250" i="1"/>
  <c r="P166" i="1"/>
  <c r="P138" i="1"/>
  <c r="P257" i="1"/>
  <c r="P222" i="1"/>
  <c r="P320" i="1"/>
  <c r="P201" i="1"/>
  <c r="P313" i="1"/>
  <c r="P194" i="1"/>
  <c r="P96" i="1"/>
  <c r="P68" i="1"/>
  <c r="P348" i="1"/>
  <c r="Q348" i="1" s="1"/>
  <c r="P292" i="1"/>
  <c r="P229" i="1"/>
  <c r="P173" i="1"/>
  <c r="P334" i="1"/>
  <c r="P306" i="1"/>
  <c r="P278" i="1"/>
  <c r="P243" i="1"/>
  <c r="P215" i="1"/>
  <c r="P187" i="1"/>
  <c r="P159" i="1"/>
  <c r="P131" i="1"/>
  <c r="P89" i="1"/>
  <c r="P61" i="1"/>
  <c r="P390" i="1"/>
  <c r="P376" i="1"/>
  <c r="Q376" i="1" s="1"/>
  <c r="P369" i="1"/>
  <c r="P355" i="1"/>
  <c r="Q355" i="1" s="1"/>
  <c r="P327" i="1"/>
  <c r="P299" i="1"/>
  <c r="P271" i="1"/>
  <c r="P180" i="1"/>
  <c r="P152" i="1"/>
  <c r="P47" i="1"/>
  <c r="P383" i="1"/>
  <c r="P362" i="1"/>
  <c r="P236" i="1"/>
  <c r="P208" i="1"/>
  <c r="P110" i="1"/>
  <c r="P82" i="1"/>
  <c r="T348" i="1" l="1"/>
  <c r="U348" i="1" s="1"/>
  <c r="T347" i="1"/>
  <c r="U347" i="1" s="1"/>
  <c r="T377" i="1"/>
  <c r="U377" i="1" s="1"/>
  <c r="T376" i="1"/>
  <c r="U376" i="1" s="1"/>
  <c r="T375" i="1"/>
  <c r="T341" i="1"/>
  <c r="T340" i="1"/>
  <c r="T342" i="1"/>
  <c r="U342" i="1" s="1"/>
  <c r="T356" i="1"/>
  <c r="U356" i="1" s="1"/>
  <c r="T354" i="1"/>
  <c r="T355" i="1"/>
  <c r="T358" i="1"/>
  <c r="U358" i="1" s="1"/>
  <c r="T357" i="1"/>
  <c r="T353" i="1"/>
  <c r="Q390" i="1"/>
  <c r="T390" i="1" s="1"/>
  <c r="U390" i="1" s="1"/>
  <c r="Q383" i="1"/>
  <c r="T383" i="1" l="1"/>
  <c r="T382" i="1"/>
  <c r="U353" i="1"/>
  <c r="Q362" i="1"/>
  <c r="Q369" i="1"/>
  <c r="T361" i="1" l="1"/>
  <c r="T363" i="1"/>
  <c r="U363" i="1" s="1"/>
  <c r="T362" i="1"/>
  <c r="U362" i="1" s="1"/>
  <c r="T368" i="1"/>
  <c r="T370" i="1"/>
  <c r="U370" i="1" s="1"/>
  <c r="T367" i="1"/>
  <c r="T369" i="1"/>
  <c r="U383" i="1"/>
  <c r="Q306" i="1"/>
  <c r="Q299" i="1"/>
  <c r="E264" i="1"/>
  <c r="E117" i="1"/>
  <c r="E54" i="1"/>
  <c r="E40" i="1"/>
  <c r="E33" i="1"/>
  <c r="E19" i="1"/>
  <c r="E12" i="1"/>
  <c r="T297" i="1" l="1"/>
  <c r="U297" i="1" s="1"/>
  <c r="T300" i="1"/>
  <c r="T298" i="1"/>
  <c r="T299" i="1"/>
  <c r="U367" i="1"/>
  <c r="T306" i="1"/>
  <c r="T305" i="1"/>
  <c r="Q327" i="1"/>
  <c r="T327" i="1" s="1"/>
  <c r="U327" i="1" s="1"/>
  <c r="Q334" i="1"/>
  <c r="E5" i="1"/>
  <c r="U300" i="1" l="1"/>
  <c r="U306" i="1"/>
  <c r="T336" i="1"/>
  <c r="U336" i="1" s="1"/>
  <c r="T335" i="1"/>
  <c r="U335" i="1" s="1"/>
  <c r="T333" i="1"/>
  <c r="T334" i="1"/>
  <c r="T337" i="1"/>
  <c r="U337" i="1" s="1"/>
  <c r="L5" i="1"/>
  <c r="K5" i="1"/>
  <c r="K12" i="1"/>
  <c r="K19" i="1"/>
  <c r="K33" i="1"/>
  <c r="K40" i="1"/>
  <c r="K54" i="1"/>
  <c r="K117" i="1"/>
  <c r="K124" i="1"/>
  <c r="K264" i="1"/>
  <c r="L19" i="1" l="1"/>
  <c r="O264" i="1"/>
  <c r="N264" i="1"/>
  <c r="M264" i="1"/>
  <c r="L264" i="1"/>
  <c r="M124" i="1"/>
  <c r="M117" i="1"/>
  <c r="M54" i="1"/>
  <c r="M40" i="1"/>
  <c r="M33" i="1"/>
  <c r="M19" i="1"/>
  <c r="M12" i="1"/>
  <c r="M5" i="1"/>
  <c r="N5" i="1"/>
  <c r="O5" i="1"/>
  <c r="L12" i="1"/>
  <c r="N12" i="1"/>
  <c r="O12" i="1"/>
  <c r="N19" i="1"/>
  <c r="O19" i="1"/>
  <c r="L33" i="1"/>
  <c r="N33" i="1"/>
  <c r="O33" i="1"/>
  <c r="L40" i="1"/>
  <c r="N40" i="1"/>
  <c r="O40" i="1"/>
  <c r="L54" i="1"/>
  <c r="N54" i="1"/>
  <c r="O54" i="1"/>
  <c r="L117" i="1"/>
  <c r="N117" i="1"/>
  <c r="O117" i="1"/>
  <c r="L124" i="1"/>
  <c r="N124" i="1"/>
  <c r="O124" i="1"/>
  <c r="Q215" i="1" l="1"/>
  <c r="T215" i="1" s="1"/>
  <c r="U215" i="1" s="1"/>
  <c r="Q222" i="1"/>
  <c r="Q229" i="1"/>
  <c r="Q236" i="1"/>
  <c r="Q243" i="1"/>
  <c r="T243" i="1" s="1"/>
  <c r="U243" i="1" s="1"/>
  <c r="Q250" i="1"/>
  <c r="Q320" i="1"/>
  <c r="P264" i="1"/>
  <c r="Q264" i="1" s="1"/>
  <c r="T264" i="1" s="1"/>
  <c r="U264" i="1" s="1"/>
  <c r="Q194" i="1"/>
  <c r="Q201" i="1"/>
  <c r="Q208" i="1"/>
  <c r="Q187" i="1"/>
  <c r="Q271" i="1"/>
  <c r="Q278" i="1"/>
  <c r="Q285" i="1"/>
  <c r="T285" i="1" s="1"/>
  <c r="U285" i="1" s="1"/>
  <c r="Q292" i="1"/>
  <c r="Q313" i="1"/>
  <c r="Q257" i="1"/>
  <c r="Q138" i="1"/>
  <c r="Q173" i="1"/>
  <c r="Q145" i="1"/>
  <c r="P117" i="1"/>
  <c r="Q117" i="1" s="1"/>
  <c r="Q180" i="1"/>
  <c r="Q166" i="1"/>
  <c r="Q159" i="1"/>
  <c r="Q152" i="1"/>
  <c r="Q131" i="1"/>
  <c r="P124" i="1"/>
  <c r="Q124" i="1" s="1"/>
  <c r="Q110" i="1"/>
  <c r="Q103" i="1"/>
  <c r="Q96" i="1"/>
  <c r="Q89" i="1"/>
  <c r="Q82" i="1"/>
  <c r="Q75" i="1"/>
  <c r="Q26" i="1"/>
  <c r="P40" i="1"/>
  <c r="Q40" i="1" s="1"/>
  <c r="Q68" i="1"/>
  <c r="P19" i="1"/>
  <c r="Q19" i="1" s="1"/>
  <c r="P12" i="1"/>
  <c r="Q12" i="1" s="1"/>
  <c r="Q61" i="1"/>
  <c r="P54" i="1"/>
  <c r="Q54" i="1" s="1"/>
  <c r="Q47" i="1"/>
  <c r="P33" i="1"/>
  <c r="Q33" i="1" s="1"/>
  <c r="P5" i="1"/>
  <c r="Q5" i="1" s="1"/>
  <c r="T54" i="1" l="1"/>
  <c r="T53" i="1"/>
  <c r="T40" i="1"/>
  <c r="T41" i="1"/>
  <c r="U41" i="1" s="1"/>
  <c r="T42" i="1"/>
  <c r="U42" i="1" s="1"/>
  <c r="T123" i="1"/>
  <c r="U123" i="1" s="1"/>
  <c r="T124" i="1"/>
  <c r="U124" i="1" s="1"/>
  <c r="T167" i="1"/>
  <c r="T165" i="1"/>
  <c r="T166" i="1"/>
  <c r="T171" i="1"/>
  <c r="T173" i="1"/>
  <c r="D25" i="2" s="1"/>
  <c r="T172" i="1"/>
  <c r="D34" i="2" s="1"/>
  <c r="T292" i="1"/>
  <c r="U292" i="1" s="1"/>
  <c r="T291" i="1"/>
  <c r="U291" i="1" s="1"/>
  <c r="T188" i="1"/>
  <c r="T187" i="1"/>
  <c r="T185" i="1"/>
  <c r="U189" i="1" s="1"/>
  <c r="T186" i="1"/>
  <c r="T189" i="1"/>
  <c r="T236" i="1"/>
  <c r="T239" i="1"/>
  <c r="U239" i="1" s="1"/>
  <c r="T235" i="1"/>
  <c r="T238" i="1"/>
  <c r="U238" i="1" s="1"/>
  <c r="T237" i="1"/>
  <c r="U237" i="1" s="1"/>
  <c r="T36" i="1"/>
  <c r="T32" i="1"/>
  <c r="U32" i="1" s="1"/>
  <c r="T35" i="1"/>
  <c r="T33" i="1"/>
  <c r="U33" i="1" s="1"/>
  <c r="T34" i="1"/>
  <c r="U34" i="1" s="1"/>
  <c r="T25" i="1"/>
  <c r="T26" i="1"/>
  <c r="T27" i="1"/>
  <c r="U27" i="1" s="1"/>
  <c r="T132" i="1"/>
  <c r="T131" i="1"/>
  <c r="U131" i="1" s="1"/>
  <c r="T130" i="1"/>
  <c r="T321" i="1"/>
  <c r="T320" i="1"/>
  <c r="T19" i="1"/>
  <c r="U19" i="1" s="1"/>
  <c r="T20" i="1"/>
  <c r="U20" i="1" s="1"/>
  <c r="T74" i="1"/>
  <c r="U74" i="1" s="1"/>
  <c r="T77" i="1"/>
  <c r="T75" i="1"/>
  <c r="T76" i="1"/>
  <c r="U76" i="1" s="1"/>
  <c r="T103" i="1"/>
  <c r="T104" i="1"/>
  <c r="U104" i="1" s="1"/>
  <c r="T154" i="1"/>
  <c r="T153" i="1"/>
  <c r="U153" i="1" s="1"/>
  <c r="T152" i="1"/>
  <c r="U152" i="1" s="1"/>
  <c r="T151" i="1"/>
  <c r="T116" i="1"/>
  <c r="T117" i="1"/>
  <c r="U117" i="1" s="1"/>
  <c r="T118" i="1"/>
  <c r="U118" i="1" s="1"/>
  <c r="T258" i="1"/>
  <c r="T257" i="1"/>
  <c r="U257" i="1" s="1"/>
  <c r="T259" i="1"/>
  <c r="T256" i="1"/>
  <c r="T255" i="1"/>
  <c r="U255" i="1" s="1"/>
  <c r="T279" i="1"/>
  <c r="U279" i="1" s="1"/>
  <c r="T278" i="1"/>
  <c r="T277" i="1"/>
  <c r="U277" i="1" s="1"/>
  <c r="T202" i="1"/>
  <c r="U202" i="1" s="1"/>
  <c r="T201" i="1"/>
  <c r="U201" i="1" s="1"/>
  <c r="T199" i="1"/>
  <c r="T200" i="1"/>
  <c r="U200" i="1" s="1"/>
  <c r="T250" i="1"/>
  <c r="U250" i="1" s="1"/>
  <c r="T249" i="1"/>
  <c r="U249" i="1" s="1"/>
  <c r="T221" i="1"/>
  <c r="U221" i="1" s="1"/>
  <c r="T224" i="1"/>
  <c r="T220" i="1"/>
  <c r="T222" i="1"/>
  <c r="T223" i="1"/>
  <c r="U223" i="1" s="1"/>
  <c r="T5" i="1"/>
  <c r="U5" i="1" s="1"/>
  <c r="T8" i="1"/>
  <c r="T4" i="1"/>
  <c r="T6" i="1"/>
  <c r="U6" i="1" s="1"/>
  <c r="T7" i="1"/>
  <c r="T61" i="1"/>
  <c r="U61" i="1" s="1"/>
  <c r="T60" i="1"/>
  <c r="T91" i="1"/>
  <c r="T90" i="1"/>
  <c r="T92" i="1"/>
  <c r="U92" i="1" s="1"/>
  <c r="T88" i="1"/>
  <c r="T89" i="1"/>
  <c r="T12" i="1"/>
  <c r="U12" i="1" s="1"/>
  <c r="T11" i="1"/>
  <c r="T13" i="1"/>
  <c r="T97" i="1"/>
  <c r="T96" i="1"/>
  <c r="U96" i="1" s="1"/>
  <c r="T95" i="1"/>
  <c r="T98" i="1"/>
  <c r="T181" i="1"/>
  <c r="T180" i="1"/>
  <c r="T178" i="1"/>
  <c r="U178" i="1" s="1"/>
  <c r="T182" i="1"/>
  <c r="T179" i="1"/>
  <c r="T137" i="1"/>
  <c r="U137" i="1" s="1"/>
  <c r="T138" i="1"/>
  <c r="U138" i="1" s="1"/>
  <c r="T139" i="1"/>
  <c r="T208" i="1"/>
  <c r="U208" i="1" s="1"/>
  <c r="T207" i="1"/>
  <c r="U207" i="1" s="1"/>
  <c r="T206" i="1"/>
  <c r="U209" i="1" s="1"/>
  <c r="T209" i="1"/>
  <c r="T231" i="1"/>
  <c r="U231" i="1" s="1"/>
  <c r="T227" i="1"/>
  <c r="T230" i="1"/>
  <c r="T232" i="1"/>
  <c r="T228" i="1"/>
  <c r="T233" i="1"/>
  <c r="T229" i="1"/>
  <c r="U229" i="1" s="1"/>
  <c r="T48" i="1"/>
  <c r="T47" i="1"/>
  <c r="T49" i="1"/>
  <c r="T46" i="1"/>
  <c r="T66" i="1"/>
  <c r="T69" i="1"/>
  <c r="T68" i="1"/>
  <c r="U68" i="1" s="1"/>
  <c r="T67" i="1"/>
  <c r="T82" i="1"/>
  <c r="U82" i="1" s="1"/>
  <c r="T81" i="1"/>
  <c r="U81" i="1" s="1"/>
  <c r="T83" i="1"/>
  <c r="U83" i="1" s="1"/>
  <c r="T110" i="1"/>
  <c r="U110" i="1" s="1"/>
  <c r="T109" i="1"/>
  <c r="U109" i="1" s="1"/>
  <c r="T160" i="1"/>
  <c r="T159" i="1"/>
  <c r="U159" i="1" s="1"/>
  <c r="T157" i="1"/>
  <c r="U157" i="1" s="1"/>
  <c r="T161" i="1"/>
  <c r="T158" i="1"/>
  <c r="T146" i="1"/>
  <c r="U146" i="1" s="1"/>
  <c r="T149" i="1"/>
  <c r="U149" i="1" s="1"/>
  <c r="T145" i="1"/>
  <c r="U145" i="1" s="1"/>
  <c r="T147" i="1"/>
  <c r="U147" i="1" s="1"/>
  <c r="T143" i="1"/>
  <c r="T148" i="1"/>
  <c r="T144" i="1"/>
  <c r="T314" i="1"/>
  <c r="U314" i="1" s="1"/>
  <c r="T313" i="1"/>
  <c r="T315" i="1"/>
  <c r="T312" i="1"/>
  <c r="T270" i="1"/>
  <c r="T271" i="1"/>
  <c r="U271" i="1" s="1"/>
  <c r="T272" i="1"/>
  <c r="U272" i="1" s="1"/>
  <c r="T192" i="1"/>
  <c r="T193" i="1"/>
  <c r="U193" i="1" s="1"/>
  <c r="T194" i="1"/>
  <c r="U194" i="1" s="1"/>
  <c r="T195" i="1"/>
  <c r="D9" i="2" l="1"/>
  <c r="U54" i="1"/>
  <c r="U49" i="1"/>
  <c r="U321" i="1"/>
  <c r="U181" i="1"/>
  <c r="U91" i="1"/>
  <c r="U130" i="1"/>
  <c r="U161" i="1"/>
  <c r="U182" i="1"/>
  <c r="U98" i="1"/>
  <c r="U13" i="1"/>
  <c r="T493" i="1"/>
  <c r="U8" i="1"/>
  <c r="U493" i="1" s="1"/>
  <c r="U154" i="1"/>
  <c r="U77" i="1"/>
  <c r="U25" i="1"/>
  <c r="T494" i="1" l="1"/>
  <c r="D44" i="2" l="1"/>
  <c r="D45" i="2" l="1"/>
  <c r="E37" i="2" l="1"/>
  <c r="F37" i="2" s="1"/>
  <c r="E24" i="2"/>
  <c r="F24" i="2" s="1"/>
  <c r="E40" i="2"/>
  <c r="F40" i="2" s="1"/>
  <c r="E41" i="2"/>
  <c r="F41" i="2" s="1"/>
  <c r="E5" i="2"/>
  <c r="F5" i="2" s="1"/>
  <c r="E27" i="2"/>
  <c r="F27" i="2" s="1"/>
  <c r="E26" i="2"/>
  <c r="F26" i="2" s="1"/>
  <c r="E13" i="2"/>
  <c r="F13" i="2" s="1"/>
  <c r="E38" i="2"/>
  <c r="F38" i="2" s="1"/>
  <c r="E14" i="2"/>
  <c r="F14" i="2" s="1"/>
  <c r="E9" i="2"/>
  <c r="F9" i="2" s="1"/>
  <c r="E18" i="2"/>
  <c r="F18" i="2" s="1"/>
  <c r="E30" i="2"/>
  <c r="F30" i="2" s="1"/>
  <c r="E12" i="2"/>
  <c r="F12" i="2" s="1"/>
  <c r="E32" i="2"/>
  <c r="F32" i="2" s="1"/>
  <c r="E10" i="2"/>
  <c r="F10" i="2" s="1"/>
  <c r="E39" i="2"/>
  <c r="F39" i="2" s="1"/>
  <c r="E16" i="2"/>
  <c r="F16" i="2" s="1"/>
  <c r="E31" i="2"/>
  <c r="F31" i="2" s="1"/>
  <c r="E20" i="2"/>
  <c r="F20" i="2" s="1"/>
  <c r="E11" i="2"/>
  <c r="F11" i="2" s="1"/>
  <c r="E36" i="2"/>
  <c r="F36" i="2" s="1"/>
  <c r="E4" i="2"/>
  <c r="F4" i="2" s="1"/>
  <c r="E34" i="2"/>
  <c r="F34" i="2" s="1"/>
  <c r="E23" i="2"/>
  <c r="F23" i="2" s="1"/>
  <c r="E35" i="2"/>
  <c r="F35" i="2" s="1"/>
  <c r="E19" i="2"/>
  <c r="F19" i="2" s="1"/>
  <c r="E17" i="2"/>
  <c r="F17" i="2" s="1"/>
  <c r="E25" i="2"/>
  <c r="F25" i="2" s="1"/>
  <c r="E29" i="2"/>
  <c r="F29" i="2" s="1"/>
  <c r="E8" i="2"/>
  <c r="F8" i="2" s="1"/>
  <c r="E33" i="2"/>
  <c r="F33" i="2" s="1"/>
  <c r="E6" i="2"/>
  <c r="F6" i="2" s="1"/>
  <c r="E21" i="2"/>
  <c r="F21" i="2" s="1"/>
  <c r="E7" i="2"/>
  <c r="F7" i="2" s="1"/>
  <c r="E15" i="2"/>
  <c r="F15" i="2" s="1"/>
  <c r="E28" i="2"/>
  <c r="F28" i="2" s="1"/>
  <c r="E22" i="2"/>
  <c r="F22" i="2" s="1"/>
</calcChain>
</file>

<file path=xl/sharedStrings.xml><?xml version="1.0" encoding="utf-8"?>
<sst xmlns="http://schemas.openxmlformats.org/spreadsheetml/2006/main" count="781" uniqueCount="371">
  <si>
    <t>Visų autorių skaičius (NA)</t>
  </si>
  <si>
    <t>Instituc. (padalinio) autorių skaičius (NIA)</t>
  </si>
  <si>
    <t>Instituc. (padalinio) autorių indėlis</t>
  </si>
  <si>
    <t>Prieskyrų (afiliacijų) skaičius (NIP)</t>
  </si>
  <si>
    <t>Mokslo sritis</t>
  </si>
  <si>
    <t>Publikacijos tipas</t>
  </si>
  <si>
    <t xml:space="preserve">Žurnalo cit. rodiklis (impact factor) IF </t>
  </si>
  <si>
    <t>Agreg. cit. rodiklis (agregate impact factor) AIF</t>
  </si>
  <si>
    <t>Visas bibliografinis aprašas</t>
  </si>
  <si>
    <t xml:space="preserve">Institucijos autoriai </t>
  </si>
  <si>
    <t>ISSN</t>
  </si>
  <si>
    <t>Pastabos</t>
  </si>
  <si>
    <t>ChF taskai</t>
  </si>
  <si>
    <t>Patentai:</t>
  </si>
  <si>
    <t>I kriterijus, turi būti &gt;1</t>
  </si>
  <si>
    <t>Ramanavičius Arūnas</t>
  </si>
  <si>
    <t>Ramanavičienė Almira</t>
  </si>
  <si>
    <t>Kaušaitė-Minkštimienė Asta</t>
  </si>
  <si>
    <t>Vičkačkaitė Vida</t>
  </si>
  <si>
    <t>Padarauskas Audrius</t>
  </si>
  <si>
    <t>Kareiva Aivaras</t>
  </si>
  <si>
    <t>Šakirzanovas Simas</t>
  </si>
  <si>
    <t>Katelnikovas Artūras</t>
  </si>
  <si>
    <t>Barkauskas Jurgis</t>
  </si>
  <si>
    <t xml:space="preserve">Raudonis Rimantas, </t>
  </si>
  <si>
    <t xml:space="preserve">Plaušinaitienė Valentina, </t>
  </si>
  <si>
    <t xml:space="preserve">Kubilius Virgaudas, </t>
  </si>
  <si>
    <t>Šaltytė Zita</t>
  </si>
  <si>
    <t xml:space="preserve">Žalga Artūras, </t>
  </si>
  <si>
    <t xml:space="preserve">Beganskienė Aldona, </t>
  </si>
  <si>
    <t>Abrutis Adulfas</t>
  </si>
  <si>
    <t>Tumkevičius Sigitas</t>
  </si>
  <si>
    <t>Čikotienė Inga</t>
  </si>
  <si>
    <t>Dodonova Jelena</t>
  </si>
  <si>
    <t xml:space="preserve">Butkus Eugenijus, </t>
  </si>
  <si>
    <t>Stončius Sigitas</t>
  </si>
  <si>
    <t>Masevičius Viktoras,</t>
  </si>
  <si>
    <t>Žilinskas Albinas</t>
  </si>
  <si>
    <t xml:space="preserve">Čikotienė Inga, </t>
  </si>
  <si>
    <t>Makuška Ričardas</t>
  </si>
  <si>
    <t>Pavardė</t>
  </si>
  <si>
    <t>Viso Balų</t>
  </si>
  <si>
    <t>Garškaitė Edita</t>
  </si>
  <si>
    <t>Tautkus Stasys</t>
  </si>
  <si>
    <t>Bendra suma</t>
  </si>
  <si>
    <t>Taškai už patentus</t>
  </si>
  <si>
    <t>Paklaida</t>
  </si>
  <si>
    <t>Skirta suma</t>
  </si>
  <si>
    <t>Vieno taško vertė</t>
  </si>
  <si>
    <t>Koeficientas</t>
  </si>
  <si>
    <t>[Juknelevičius Dominykas], [Mikoliūnaitė Lina], [Šakirzanovas Simas], [Kubilius Rytis], [Ramanavičius Arūnas]. A spectrophotometric study of red pyrotechnic flame properties using three classical oxidizers: ammonium perchlorate, potassium perchlorate, potassium chlorate. Zeitschrift fur anorganische und allgemeine chemie. Weinheim : Wiley - VCH Verlag GmbH &amp; Co. KGaA. 2014, vol. 640, iss. 12-13, p. 2560-2565.</t>
  </si>
  <si>
    <t>Menuel Stephane, Rousseau Jolanta, Rousseau Cyril, [Vaičiūnaitė Edita], [Dodonova Jelena], [Tumkevičius Sigitas], Monflier Eric. Access to pyrrole derivatives in water with the assistance of methylated cyclodextrins. European journal of organic chemistry. Weinheim : Wiley - VCH Verlag GmbH &amp; Co. KGaA. 2014, vol. 2014, iss. 20, p. 4356-4361.</t>
  </si>
  <si>
    <t>[Dodonova Jelena], [Tumkevičius Sigitas]. Access to 6-arylpyrrolo[2,3-d]pyrimidines via a palladium-catalyzed direct C-H arylation reaction. RSC advances. Cambridge : R S C Publications. 2014, vol. 4, p. 35966-35974.</t>
  </si>
  <si>
    <t>[Barkauskas Jurgis], [Daškevič Justina], [Budrienė Saulutė], [Razumienė Julija], [Šakinytė Ieva]. Adhesion of graphene oxide on a transparent PET substrate: a study focused on the optimization process. Journal of adhesion science and technology. Abingdon : Taylor &amp; Francis. 2014, vol. 28, no 20, p. 2016-2031.</t>
  </si>
  <si>
    <t>[Makaravičiūtė Asta], Ruzgas Tautgirdas, [Ramanavičius Arūnas], [Ramanavičienė Almira]. Antibody fragment immobilization on planar gold and gold nanoparticle modified quartz crystal microbalance with dissipation sensor surfaces for immunosensor applications. Analytical methods. Cambridge : R S C Publications. 2014, Vol. 6, no 7, p. 2134-2140.</t>
  </si>
  <si>
    <t>[Braziulis Gediminas], [Janulevičius Gytautas], [Stankevičiūtė Rūta], [Žalga Artūras]. Aqueous sol-gel synthesis and thermoanalytical study of the alkaline earth molybdate precursors. Journal of thermal analysis and calorimetry. Budapest : Akademiai Kiado Rt. 2014, vol. 118, iss. 2, p. 613-621.</t>
  </si>
  <si>
    <t>[Zubrienė Asta], [Čapkauskaitė Edita], [Gylytė Joana], [Kišonaitė Miglė], [Tumkevičius Sigitas], [Matulis Daumantas]. Benzenesulfonamides with benzimidazole moieties as inhibitors of carbonic anhydrases I, II, VII, XII and XIII. Journal of enzyme inhibition and medicinal chemistry. London : Informa Healthcare. 2014, vol. 29, no 1, p. 124-131.</t>
  </si>
  <si>
    <t>[Krikštolaitytė Vida], Barrantes Alejandro, [Ramanavičius Arūnas], Arnebrant Thomas, Shleev Sergey, Ruzgas Tautgirdas. Bioelectrocatalytic reduction of oxygen at gold nanoparticles modified with laccase. Bioelectrochemistry. Lausanne : Elsevier Science. 2014, vol. 95, no. 1, p. 1-6.</t>
  </si>
  <si>
    <t>[Trinkūnaitė Felsen Justė], [Stankevičiūtė Živilė], Yang Jen-Chang, Yang Thomas C-K., [Beganskienė Aldona], [Kareiva Aivaras]. Calcium hydroxyapatite/whitlockite obtained from dairy products: Simple, environmentally benign and green preparation technology. Ceramics International. Oxford : Pergamon - Elsevier. 2014, vol. 40, iss. 8, part. B, p. 12717-13722.</t>
  </si>
  <si>
    <t>[Ramanavičius Arūnas], [Voronovič Jaroslav], Semashko Tatiana, Mikhailova Raisa, [Kaušaitė-Minkštimienė Asta], [Ramanavičienė Almira]. Comparison of glucose oxidases from Penicillium adametzii, Penicillium funiculosum and Aspergillus niger in the design of amperometric glucose biosensors. Analytical sciences. Tokyo : Nihon Bunseki Kagakkai. 2014, Vol. 30, no. 12, p. 1143-1149.</t>
  </si>
  <si>
    <t>[Samukaitė-Bubnienė Urtė], Ocwieja Magdalena, [Bugelytė Birutė], Adamczyk Zbigniew, Nattich-Rak Malgorzata, [Voronovič Jaroslav], [Ramanavičienė Almira], [Ramanavičius Arūnas]. Deposition of gold nanoparticles on mica modified by poly(allylamine hydrochloride) monolayers. Colloids and surfaces A: physicochemical and engineering aspects. Amsterdam : Elsevier BV. 2014, Vol. 441, p. 204-210.</t>
  </si>
  <si>
    <t>Trujillo Cristina, Sanchez-Sanz Goar, [Karpavičienė Ieva], Jahn Ullric, [Čikotienė Inga], Rulišek Lubomir. Divergent pathways and competitive mechanisms of metathesis reactions between 3-arylprop-2-ynyl esters and aldehydes: an experimental and theoretical study. Chemistry: a European journal. Weinheim : Wiley-VCH Verlag GMBH. 2014, Vol. 20, iss. 33, p. 10360-10370.</t>
  </si>
  <si>
    <t>[Garškaitė Edita], Gross Karlis-Agris, Yang Sung-Wei, Yang Thomas Chung-Kuang, Yang Jen-Chang, [Kareiva Aivaras]. Effect of processing conditions on the crystallinity and structure of carbonated calcium hydroxyapatite (CHAp). CrystEngComm. Cambridge : RSC Publications. 2014, vol. 16, iss. 19, p. 3950-3959.</t>
  </si>
  <si>
    <t>[Stirkė Arūnas], [Zimkus Aurelijus], [Ramanavičienė Almira], Balevičius Saulius, Žurauskienė Nerija, Saulis Gintautas, [Chaustova Larisa], Stankevič Voitech, [Ramanavičius Arūnas]. Electric field-induced effects on yeast cell wall permeabilization. Bioelectromagnetics. Hoboken : John Wiley &amp; Sons, Inc. 2014, vol. 35, iss. 2, p. 136-144.</t>
  </si>
  <si>
    <t>[Ramanavičius Arūnas], [Oztekin Yasemin], [Ramanavičienė Almira]. Electrochemical formation of polypyrrole-based layer for immunosensor design. Sensors and actuators B. Chemical. Lausanne : Elsevier Science. 2014, vol. 197, p. 237-243.</t>
  </si>
  <si>
    <t>[Krikštolaitytė Vida], [Kuliešius Jurgis], [Ramanavičienė Almira], [Mikoliūnaitė Lina], [Kaušaitė-Minkštimienė Asta], [Oztekin Yasemin], [Ramanavičius Arūnas]. Enzymatic polymerization of polythiophene by immobilized glucose oxidase. Polymer. Oxford: Elsevier SCI LTD. 2014, vol. 55, no. 7, p. 1613-1620.</t>
  </si>
  <si>
    <t>[Ratautaitė Vilma], Nesladek Milos, [Ramanavičienė Almira], [Balevičiūtė Ieva], [Ramanavičius Arūnas]. Evaluation of histamine imprinted polypyrrole deposited on boron doped nanocrystalline diamond. Electroanalysis. Weinheim : Wiley-VCH Verlag GMBH. 2014, Vol. 26, iss. 11, p. 2458-2464.</t>
  </si>
  <si>
    <t>[Kaušaitė-Minkštimienė Asta], [Mažeiko Viktor], [Ramanavičienė Almira], [Oztekin Yasemin], Solak Ali Osman, [Ramanavičius Arūnas]. Evaluation of some redox mediators in the design of reagentless amperometric glucose biosensor. Electroanalysis. Weinheim : Wiley-VCH Verlag GMBH. 2014, Vol. 26, iss. 7, p. 1528-1535.</t>
  </si>
  <si>
    <t>[Bukšnaitienė Rita], [Urbanaitė Aurelija], [Čikotienė Inga]. Formation of condensed 1H-pyrrol-2-ylphosphonates and 1,2-dihydropyridin-2-ylphosphonates via Kabachnik-Fields reaction of acetylenic aldehydes and subsequent 5-exo-dig or 6-endo-dig cyclizations. Journal of organic chemistry. Washington : American Chemical Society. 2014, Vol. 79, iss. 14, p. 6532-6553.</t>
  </si>
  <si>
    <t>Balevičius Zigmas, [Balevičiūtė Ieva], Tumėnas Saulius, [Tamošaitis Linas], Stirkė Arunas, [Makaravičiūtė Asta], [Ramanavičienė Almira], [Ramanavičius Arūnas]. In situ study of ligand-receptor interaction by total internal reflection ellipsometry. Thin solid films. Lausanne : Elsevier Science. 2014, Vol. 571, Part. 3, p. 744-748.</t>
  </si>
  <si>
    <t>[Višnevskij Česlav], [Čiuta Gediminas], [Ketleriūtė Siga], [Savickaitė Martina], [Makuška Ričardas]. ISARA ATRP of methacrylic acid neutralized by simple amines yielding linear polymers and anionic molecular brushes. European polymer journal. Kidlington : Pergamon. 2014, vol. 55, p. 66-75.</t>
  </si>
  <si>
    <t>[Stanulis Andrius], [Katelnikovas Artūras], Enseling David, Dutczak Danuta, [Šakirzanovas Simas], Van Bael Marlies K., Hardy An, [Kareiva Aivaras], Justel Thomas. Luminescence properties of Sm3+ -doped alkaline earth ortho-stannates. Optical materials. Amsterdam, Elsevier Science BV. 2014, vol. 36, iss. 7, p. 1146-1152.</t>
  </si>
  <si>
    <t>[Kielė Erika], Lukšėnienė Janina, Grigucevičienė Asta, Selskis Algirdas, [Senvaitienė Jūratė], Ramanauskas Rimantas, [Raudonis Rimantas], [Kareiva Aivaras]. Methyl-modified hybrid organic-inorganic coatings for the conservation of copper. Journal of cultural heritage. Issy les Moulineaux : Elsevier Masson. 2014, vol. 15, no. 3, p. 242-249.</t>
  </si>
  <si>
    <t>[Ratautaitė Vilma], Janssens Stoffel D., Haenen Ken, Nesladek Milos, [Ramanavičienė Almira], [Balevičiūtė Ieva], [Ramanavičius Arūnas]. Molecularly imprinted polypyrrole based impedimentric sensor for theophylline determination. Electrochimica acta. Oxford : Pergamon-Elsevier Ltd. 2014, Vol. 130, p. 361-367.</t>
  </si>
  <si>
    <t>Potier Jonathan, Menuel Stephane, Rousseau Jolanta, [Tumkevičius Sigitas], Hapiot Frederic, Monflier Eric. Multifunctional cyclodextrin-based N,N-bidentate ligands for aqueous Heck arylation. Applied catalysis A: general. Amsterdam : Elsevier BV. 2014, vol. 479, p. 1-8.</t>
  </si>
  <si>
    <t>[Abrutis Adulfas], [Silimavičius Laimis], [Kubilius Virgaudas], [Murauskas Tomas], [Šaltytė Zita], [Kuprėnaitė Sabina], [Plaušinaitienė Valentina]. On the possibility to grow zinc oxide-based transparent conducting oxide films by hot-wire chemical vapor deposition. Journal of vacuum science &amp; technology. A. Vacuum, surfaces, and films. New York : American Institute of Physics. 2014, vol. 32, no. 2, Art. no. 020602.</t>
  </si>
  <si>
    <t>[Misevičius Martynas], [Kilmanas Martynas], Culunlu Serdar, [Šakirzanovas Simas], Morkan Ayse Uztetik, [Beganskienė Aldona], [Kareiva Aivaras]. On the sol-gel fabrication and characterization of undoped and cerium-doped Sr4Al14O25. Journal of alloys and compounds. Amsterdam : Elsevier BV. 2014, vol. 614, p. 44-48.</t>
  </si>
  <si>
    <t>Tomkutė Viktorija, Solheim Asbjorn, [Šakirzanovas Simas], Oye Bjarte, Olsen Espen. Phase Equilibria Evaluation for CO2 Capture: CaO-CaF2-NaF, CaCO3-NaF-CaF2, and Na2CO3-CaF2-NaF. Journal of chemical &amp; engineering data. Washington : American Chemical Society. 2014, vol. 59, no. 4, p. 1257-1263.</t>
  </si>
  <si>
    <t>Klemkaitė-Ramanauskė Kristina, [Žilinskas Albinas], Taraškevičius Ričardas, Khinsky Alexander, [Kareiva Aivaras]. Preparation of Mg/Al layered double hydroxide (LDH) with structurally embedded molybdate ions and application as a catalyst for the synthesis of 2-adamantylidene(phenyl)amine Schiff base. Polyhedron. Kidlington : Pergamon. 2014, vol. 68, p. 340-345.</t>
  </si>
  <si>
    <t>[Plaušinaitis Deivis], [Pulmanas Arūnas], [Kubilius Virgaudas], [Raudonis Rimantas], [Daujotis Vytautas]. Properties of an interfacial solution layer at gold electrode surface in perchlorate and chloride solutions: piezoelectric resonator and drag force study. Electrochimica acta. Oxford : Pergamon-Elsevier Ltd. 2014, Vol. 121, p. 278-284.</t>
  </si>
  <si>
    <t>[Čikotienė Inga]. Rearrangements of propargylic esters can be induced by some electrophiles. Organic letters. Washington : American Chemical Society. 2014, vol. 16, no 8, p. 2260-2263.</t>
  </si>
  <si>
    <t>[Morkvėnaitė-Vilkončienė Inga], [Ramanavičienė Almira], [Ramanavičius Arūnas]. Redox competition and generation-collection modes based scanning electrochemical microscopy for the evaluation of immobilised glucose oxidase-catalysed reactions. RSC advances. Cambridge : R S C Publications. 2014, vol. 4, p. 50064-50069.</t>
  </si>
  <si>
    <t>Viržonis Darius, Vanagas Gailius, [Ramanavičienė Almira], [Makaravičiūtė Asta], Barauskas Dovydas, [Ramanavičius Arūnas], Wen Weijia, Kodzius Rimantas. Resonant gravimetric immunosensing based on capacitive micromachined ultrasound transducers. Microchimica acta. Wien : Springer. 2014, vol. 181, iss. 13-14, p. 1749-1757.</t>
  </si>
  <si>
    <t>[Plotnikova Alexandra], [Osipenko Aleksandr], [Masevičius Viktoras], [Vilkaitis Giedrius.], [Klimašauskas Saulius]. Selective covalent labeling of miRNA and siRNA duplexes using HEN1 methyltransferase. Journal of the American chemical society. Washington : American Chemical Society. 2014, vol. 136, iss. 39, p. 13550-13553.</t>
  </si>
  <si>
    <t>Baur Florian, [Katelnikovas Artūras], [Šakirzanovas Simas], Petry Ralf, Justel Thomas. Synthesis and optical properties of Li3Ba2La3(MoO4)8:Sm3+ powders for pcLEDs. Zeitschrift fur Naturforschung. Section B: a Journal of Chemical Sciences. Tuebingen : Verlag der Zeitschrift fuer Naturforschung. 2014, vol. 69B, no. 2, p. 183-192.</t>
  </si>
  <si>
    <t>[Krivorotova Tatjana], [Jonikaitė-Švėgždienė Jūratė], [Radzevičius Povilas], [Makuška Ričardas]. Synthesis by RAFT polymerization and properties of anionic cylindrical molecular brushes bearing poly(acrylic acid) side chains. Reactive and functional polymers. Amsterdam : Elsevier Science BV. 2014, vol. 76, p. 32-40.</t>
  </si>
  <si>
    <t>[Stankevičiūtė Rūta], [Žalga Artūras]. Sol-gel synthesis, crystal structure, surface morphology, and optical properties of Eu2O3-doped La2Mo3O12 ceramic. Journal of thermal analysis and calorimetry. Budapest : Akademiai Kiado Rt. 2014, vol. 118, iss. 2, p. 925-935.</t>
  </si>
  <si>
    <t>[Malakauskaite Milda], [Stankevičiūtė Živilė], [Beganskienė Aldona], [Kareiva Aivaras]. Sol-gel synthesis of calcium hydroxyapatite thin films on quartz substrate using dip-coating and spin-coating techniques. Journal of sol-gel science and technology. New York : Springer New York LLC. 2014, vol. 71, iss. 3, p. 437-446.</t>
  </si>
  <si>
    <t>[Zabiliūtė Akvilė], [Butkutė Skirmantė], [Žukauskas Artūras], [Vitta Pranciškus], [Kareiva Aivaras]. Sol-gel synthesized far-red chromium-doped garnet phosphors for phosphor-conversion light-emitting diodes that meet the photomorphogenetic needs of plants. Applied optics. Washington : Optical Society of America. 2014, vol. 53, no. 5, p. 907-914.</t>
  </si>
  <si>
    <t>[Klimavičius Vytautas], [Kareiva Aivaras], [Balevičius Vytautas]. Solid-state NMR study of hydroxyapatite containing amorphous phosphate phase and nanostructured hydroxyapatite: cut-off averaging of CP-MAS kinetics and size profiles of spin clusters. The journal of physical chemistry C: nanomaterials, interfaces and hard matter. Washington : American Chemical Society. 2014, Vol. 118, no. 49, p. 28914-28921.</t>
  </si>
  <si>
    <t>[Vaitkuvienė Aida], [Ratautaitė Vilma], [Mikoliūnaitė Lina], Kašėta Vytautas, Ramanauskaitė Giedrė, Biziulevičienė Genė, [Ramanavičienė Almira], [Ramanavičius Arūnas]. Some biocompatibility aspects of conducting polymer polypyrrole evaluated with bone marrow-derived stem cells. Colloids and surfaces A: physicochemical and engineering aspects. Amsterdam : Elsevier BV. 2014, Vol. 442 : Selected papers from the 26th European Colloid and Interface Society conference (26th ECIS 2012), Malmo, Sweden 2-7 September 2012, p. 152-156.</t>
  </si>
  <si>
    <t>[Šmitienė Vaida], [Semaško Ivona], [Vičkačkaitė Vida]. Speciation of methyltins by dispersive liquid-liquid microextraction and gas chromatography with mass spectrometry. Journal of separation science. Weinheim : Wiley - V C H Verlag GmbH &amp; Co. 2014 vol. 37, no 15, p. 1989-1995.</t>
  </si>
  <si>
    <t>[Taujenis Lukas], [Olšauskaitė Vilma], [Padarauskas Audrius]. Enantioselective determination of protein amino acids in fertilizers by liquid chromatography-tandem mass spectrometry on chiral teicoplanin stationary phase. Journal of agricultural and food chemistry. Washington : American Chemical Society. 2014, vol. 62, no. 46, p. 11099-11108. (2014)(53630)</t>
  </si>
  <si>
    <t>[Karlonas Nerijus], [Ramanavičius Arūnas], [Ramanavičienė Almira]. Development of an SPE method for the determination of zaleplon and zopiclone in hemolyzed blood using fast GC with negative-ion chemical ionization MS. Journal of separation science. Weinheim : Wiley - V C H Verlag GmbH &amp; Co. 2014 vol. 37, no 5, p. 551-557. (2014)(51770)</t>
  </si>
  <si>
    <t>Juknelevičius Dominykas, Mikoliūnaitė Lina, Šakirzanovas Simas, Kubilius Rytis, Ramanavičius Arūnas</t>
  </si>
  <si>
    <t xml:space="preserve"> 0044-2313</t>
  </si>
  <si>
    <t>2046-2069</t>
  </si>
  <si>
    <t>1434-193X</t>
  </si>
  <si>
    <t>Dodonova Jelena, Tumkevičius Sigitas</t>
  </si>
  <si>
    <t xml:space="preserve"> Vaičiūnaitė Edita, Dodonova Jelena, Tumkevičius Sigitas</t>
  </si>
  <si>
    <t>0169-4243</t>
  </si>
  <si>
    <t>0013-4651</t>
  </si>
  <si>
    <t>Makaravičiūtė Asta, Ramanavičius Arūnas, Ramanavičienė Almira</t>
  </si>
  <si>
    <t xml:space="preserve"> 1759-9660</t>
  </si>
  <si>
    <t>1388-6150</t>
  </si>
  <si>
    <t>1475-6366</t>
  </si>
  <si>
    <t>Krikštolaitytė Vida, Ramanavičius Arūnas</t>
  </si>
  <si>
    <t>1567-5394</t>
  </si>
  <si>
    <t>Trinkūnaitė Felsen Justė, Stankevičiūtė Živilė,  Beganskienė Aldona, Kareiva Aivaras</t>
  </si>
  <si>
    <t>0272-8842</t>
  </si>
  <si>
    <t>0910-6340</t>
  </si>
  <si>
    <t>Ramanavičius Arūnas, Voronovič Jaroslav, Kaušaitė-Minkštimienė Asta, Ramanavičienė Almira</t>
  </si>
  <si>
    <t>[Skaudžius Ramūnas], [Katelnikovas Artūras], Enseling David, [Kareiva Aivaras], Justel Thomas. Dependence of the D-5(0) -&gt; F-7(4) transitions of Eu3+ on the local environment in phosphates and garnets. Journal of luminescence. Amsterdam : Elsevier BV. 2014, vol. 147, p. 290-294.</t>
  </si>
  <si>
    <t>0022-2313</t>
  </si>
  <si>
    <t>Skaudžius Ramūnas, Katelnikovas Artūras,  Kareiva Aivaras</t>
  </si>
  <si>
    <t>Samukaitė-Bubnienė Urtė, Bugelytė Birutė, Voronovič Jaroslav, Ramanavičienė Almira, Ramanavičius Arūnas</t>
  </si>
  <si>
    <t>0927-7757</t>
  </si>
  <si>
    <t>[Ciftei Hakan], [Oztekin Yasemin], Tamer Ugur, [Ramanavičienė Almira], [Ramanavičius Arūnas]. Development of poly(3-aminophenylboronic acid) modified graphite rod electrode suitable for fluoride determination. Talanta. Amsterdam : Elsevier Science. 2014, vol. 126, p. 202-207.</t>
  </si>
  <si>
    <t>0039-9140</t>
  </si>
  <si>
    <t>Karpavičienė Ieva, Čikotienė Inga</t>
  </si>
  <si>
    <t xml:space="preserve"> 0947-6539</t>
  </si>
  <si>
    <t>Garškaitė Edita, Kareiva Aivaras</t>
  </si>
  <si>
    <t>1466-8033</t>
  </si>
  <si>
    <t>0197-8462</t>
  </si>
  <si>
    <t>0925-4005</t>
  </si>
  <si>
    <t>[Ramanavičius Arūnas], [Genys Povilas], [Ramanavičienė Almira]. Electrochemical impedance spectroscopy based evaluation of 1,10-phenanthroline-5,6-dione and glucose oxidase modified graphite electrode. Electrochimica acta. Oxford : Pergamon-Elsevier Ltd. 2014, Vol. 146, p. 659-665</t>
  </si>
  <si>
    <t>Ramanavičius Arūnas, Ramanavičienė Almira, Genys Povilas</t>
  </si>
  <si>
    <t>0013-4686</t>
  </si>
  <si>
    <t xml:space="preserve"> 0032-3861</t>
  </si>
  <si>
    <t>Krikštolaitytė Vida, Kuliešius Jurgis, Ramanavičienė Almira, Mikoliūnaitė Lina, Kaušaitė-Minkštimienė Asta, Oztekin Yasemin, Ramanavičius Arūnas</t>
  </si>
  <si>
    <t>Ratautaitė Vilma, Ramanavičienė Almira, Balevičiūtė Ieva, Ramanavičius Arūnas</t>
  </si>
  <si>
    <t>1040-0397</t>
  </si>
  <si>
    <t xml:space="preserve"> 1040-0397</t>
  </si>
  <si>
    <t>Bukšnaitienė Rita, Urbanaitė Aurelija, Čikotienė Inga</t>
  </si>
  <si>
    <t>0022-3263</t>
  </si>
  <si>
    <t>[Bagdžiūnas Gintautas], [Butkus Eugenijus], [Stončius Sigitas]. Homoconjugation vs. exciton coupling in chiral alpha, beta-unsaturated bicyclo[3.3.1]nonane dinitrile and carboxylic acids. Molecules. Basel: MDPIAG. 2014, vol. 19, no. 3, p. 9893-9906.</t>
  </si>
  <si>
    <t>Bagdžiūnas Gintautas, Butkus Eugenijus, Stončius Sigitas</t>
  </si>
  <si>
    <t xml:space="preserve"> 1420-3049</t>
  </si>
  <si>
    <t>Balevičiūtė Ieva, Tamošaitis Linas, Makaravičiūtė Asta, Ramanavičienė Almira, Ramanavičius Arūnas</t>
  </si>
  <si>
    <t>0040-6090</t>
  </si>
  <si>
    <t>Višnevskij Česlav, Čiuta Gediminas, Ketleriūtė Siga, Savickaitė Martina, Makuška Ričardas</t>
  </si>
  <si>
    <t xml:space="preserve"> 0014-3057</t>
  </si>
  <si>
    <t>0925-3467</t>
  </si>
  <si>
    <t>Stanulis Andrius, Katelnikovas Artūras, Šakirzanovas Simas, Kareiva Aivaras</t>
  </si>
  <si>
    <t>Kielė Erika, Senvaitienė Jūratė, Raudonis Rimantas, Kareiva Aivaras</t>
  </si>
  <si>
    <t>1296-2074</t>
  </si>
  <si>
    <t xml:space="preserve"> 0926-860X</t>
  </si>
  <si>
    <t>[Raudonytė-Svirbutavičienė Eva], Bettentrup Helga, Uhlich Dominik, [Šakirzanovas Simas], [Opuchovič Olga], [Tautkus Stasys], [Katelnikovas Artūras]. On the Ce3+ -&gt; Cr3+ energy transfer in Lu3Al5O12 garnets. Optical materials. Amsterdam, Elsevier Science BV. 2014, vol. 37, p. 204-210.</t>
  </si>
  <si>
    <t>Raudonytė-Svirbutavičienė Eva, Šakirzanovas Simas, Opuchovič Olga, Tautkus Stasys, Katelnikovas Artūras</t>
  </si>
  <si>
    <t>Abrutis Adulfas, Silimavičius Laimis, Kubilius Virgaudas, Murauskas Tomas, Šaltytė Zita, Kuprėnaitė Sabina, Plaušinaitienė Valentina</t>
  </si>
  <si>
    <t xml:space="preserve"> 0734-2101</t>
  </si>
  <si>
    <t>Misevičius Martynas, Kilmanas Martynas, Šakirzanovas Simas, Beganskienė Aldona, Kareiva Aivaras</t>
  </si>
  <si>
    <t xml:space="preserve"> 0925-8388</t>
  </si>
  <si>
    <t>0021-9568</t>
  </si>
  <si>
    <t xml:space="preserve"> Žilinskas Albinas, Kareiva Aivaras</t>
  </si>
  <si>
    <t>0277-5387</t>
  </si>
  <si>
    <t>Plaušinaitis Deivis, Pulmanas Arūnas, Kubilius Virgaudas, Raudonis Rimantas, Daujotis Vytautas</t>
  </si>
  <si>
    <t>1523-7060</t>
  </si>
  <si>
    <t>Morkvėnaitė-Vilkončienė Inga, Ramanavičienė Almira, Ramanavičius Arūnas</t>
  </si>
  <si>
    <t xml:space="preserve"> 2046-2069</t>
  </si>
  <si>
    <t>Ramanavičienė Almira, Makaravičiūtė Asta,  Ramanavičius Arūnas</t>
  </si>
  <si>
    <t>0026-3672</t>
  </si>
  <si>
    <t xml:space="preserve"> 0002-7863</t>
  </si>
  <si>
    <t>Katelnikovas Artūras, Šakirzanovas Simas</t>
  </si>
  <si>
    <t>0932-0776</t>
  </si>
  <si>
    <t>Krivorotova Tatjana, Jonikaitė-Švėgždienė Jūratė, Radzevičius Povilas, Makuška Ričardas</t>
  </si>
  <si>
    <t>1381-5148</t>
  </si>
  <si>
    <t>Stankevičiūtė Rūta, Žalga Artūras</t>
  </si>
  <si>
    <t>Malakauskaite Milda, Stankevičiūtė Živilė, Beganskienė Aldona, Kareiva Aivaras</t>
  </si>
  <si>
    <t xml:space="preserve"> 0928-0707</t>
  </si>
  <si>
    <t>1559-128X</t>
  </si>
  <si>
    <t>1932-7447</t>
  </si>
  <si>
    <t>Vaitkuvienė Aida, Ratautaitė Vilma, Mikoliūnaitė Lina, Ramanavičienė Almira, Ramanavičius Arūnas</t>
  </si>
  <si>
    <t>Šmitienė Vaida, Semaško Ivona, Vičkačkaitė Vida</t>
  </si>
  <si>
    <t>1615-9306</t>
  </si>
  <si>
    <t>[Zor Erhan], [Oztekin Yasemin], [Mikoliūnaitė Lina], [Voronovič Jaroslav], [Ramanavičienė Almira], [Anusevičius Žilvinas], Bingol Haluk, [Ramanavičius Arūnas]. 1,10-Phenanthroline-5,6-dione and 9,10-phenanthrenequinone as redox mediators for amperometric glucose biosensors. Journal of solid state electrochemistry. Berlin : Heidelberg. 2014, vol. 18, no. 6, p. 1529-1536.</t>
  </si>
  <si>
    <t>1432-8488</t>
  </si>
  <si>
    <t>[Bucevičius Jonas], Adomėnas Povilas, [Tumkevičius Sigitas]. Synthesis of novel 4,4-dialkyl- and 4,4-diarylindeno[1,2-b]thiophienes and their 2-bromo derivatives. Chimija geterocikličeskich sojedinenij. Riga : Latvian Institute of Organic Synthesis. 2014, no. 10, ń. 1537-1544. (2014)(53462)</t>
  </si>
  <si>
    <t>[Rakauskaitė Rasa], [Masevičius Viktoras], [Urbanavičiūtė Giedrė], [Rukšėnaitė Audronė], [Klimašauskas Saulius]. Production of selenoproteins in yeast via genetically encoded incorporation of a photocaged selenocysteine. New biotechnology. Amsterdam : Elsevier science BV. 2014, vol. 31, suppl. : Abstracts of the 16th European Congress on Biotechnology. p. S202. (2014)(52300)</t>
  </si>
  <si>
    <t>Taujenis Lukas, Olšauskaitė Vilma, Padarauskas Audrius</t>
  </si>
  <si>
    <t>Karlonas Nerijus, Ramanavičius Arūnas, Ramanavičienė Almira</t>
  </si>
  <si>
    <t>0021-8561</t>
  </si>
  <si>
    <t>Ramanavičius Arūnas, Genys Povilas, Oztekin Yasemin, Ramanavičienė Almira</t>
  </si>
  <si>
    <t>Bucevičius Jonas, Tumkevičius Sigitas</t>
  </si>
  <si>
    <t xml:space="preserve"> 0009-3122</t>
  </si>
  <si>
    <t>1871-6784</t>
  </si>
  <si>
    <t xml:space="preserve">Mikoliūnaitė Lina, </t>
  </si>
  <si>
    <t xml:space="preserve">Šakirzanovas Simas, </t>
  </si>
  <si>
    <t xml:space="preserve">Dodonova Jelena, </t>
  </si>
  <si>
    <t>Barkauskas Jurgis,</t>
  </si>
  <si>
    <t xml:space="preserve">Budrienė Saulutė, </t>
  </si>
  <si>
    <t xml:space="preserve">Ramanavičienė Almira, </t>
  </si>
  <si>
    <t xml:space="preserve">Ramanavičius Arūnas </t>
  </si>
  <si>
    <t xml:space="preserve">Ramanavičius Arūnas, </t>
  </si>
  <si>
    <t>Žalga Artūras</t>
  </si>
  <si>
    <t xml:space="preserve">Tumkevičius Sigitas, </t>
  </si>
  <si>
    <t xml:space="preserve">Stankevičiūtė Živilė,  </t>
  </si>
  <si>
    <t>Ramanavičius Arūnas,</t>
  </si>
  <si>
    <t xml:space="preserve">Kaušaitė-Minkštimienė Asta, </t>
  </si>
  <si>
    <t xml:space="preserve">Skaudžius Ramūnas, </t>
  </si>
  <si>
    <t xml:space="preserve">Katelnikovas Artūras,  </t>
  </si>
  <si>
    <t>Ramanavičienė Almira,</t>
  </si>
  <si>
    <t xml:space="preserve"> Ramanavičius Arūnas</t>
  </si>
  <si>
    <t xml:space="preserve">Garškaitė Edita, </t>
  </si>
  <si>
    <t xml:space="preserve">Balevičiūtė Ieva, </t>
  </si>
  <si>
    <t>Kaušaitė-Minkštimienė Asta, Mažeiko Viktor, Ramanavičienė Almira, Oztekin Yasemin,  Ramanavičius Arūnas</t>
  </si>
  <si>
    <t>Balevičiūtė Ieva,</t>
  </si>
  <si>
    <t>Stanulis Andrius,</t>
  </si>
  <si>
    <t xml:space="preserve"> Katelnikovas Artūras,</t>
  </si>
  <si>
    <t xml:space="preserve"> Šakirzanovas Simas, </t>
  </si>
  <si>
    <t xml:space="preserve">Senvaitienė Jūratė, </t>
  </si>
  <si>
    <t xml:space="preserve"> Ramanavičienė Almira, </t>
  </si>
  <si>
    <t xml:space="preserve">Tautkus Stasys, </t>
  </si>
  <si>
    <t xml:space="preserve">Abrutis Adulfas, </t>
  </si>
  <si>
    <t xml:space="preserve">Šaltytė Zita, </t>
  </si>
  <si>
    <t>Plaušinaitienė Valentina</t>
  </si>
  <si>
    <t xml:space="preserve"> Žilinskas Albinas, </t>
  </si>
  <si>
    <t>Plaušinaitis Deivis,</t>
  </si>
  <si>
    <t>Daujotis Vytautas</t>
  </si>
  <si>
    <t xml:space="preserve">Masevičius Viktoras, </t>
  </si>
  <si>
    <t xml:space="preserve">Katelnikovas Artūras, </t>
  </si>
  <si>
    <t xml:space="preserve">Krivorotova Tatjana, </t>
  </si>
  <si>
    <t xml:space="preserve">Stankevičiūtė Živilė, </t>
  </si>
  <si>
    <t xml:space="preserve">Kareiva Aivaras, </t>
  </si>
  <si>
    <t xml:space="preserve">Olšauskaitė Vilma, </t>
  </si>
  <si>
    <t xml:space="preserve"> Ramanavičius Arūnas, </t>
  </si>
  <si>
    <t>[Osipenko Aleksandr], [Plotnikova Alexandra], [Masevičius Viktoras], [Klimašauskas Saulius], [Vilkaitis Giedrius.]. Specific labeling of miRNAs and siRNAs by HEN1 methyltransferase. The FEBS Journal. Oxford : Wiley-Blackwell Publishing Ltd. 2014, vol. 281, suppl. 1 : FEBS EMBO 2014 Conference, Paris, France, 30 August-4 September 2014, p. 398. (2014)(54340)</t>
  </si>
  <si>
    <t>Barkauskas Jurgis, Daškevič Justina, Budrienė Saulutė</t>
  </si>
  <si>
    <t>Braziulis Gediminas, Janulevičius Gytautas, Stankevičiūtė Rūta, Žalga Artūras</t>
  </si>
  <si>
    <t>Ciftei Hakan, Oztekin Yasemin, Ramanavičienė Almira, Ramanavičius Arūnas</t>
  </si>
  <si>
    <t>Stirkė Arūnas, Ramanavičienė Almira, Ramanavičius Arūnas</t>
  </si>
  <si>
    <t>Masevičius Viktoras</t>
  </si>
  <si>
    <t>Butkutė Skirmantė, Kareiva Aivaras</t>
  </si>
  <si>
    <t>Balevičiūtė Ieva, Ramanavičius Arūnas</t>
  </si>
  <si>
    <t>Zor Erhan, Oztekin Yasemin, Mikoliūnaitė Lina, Voronovič Jaroslav, Ramanavičienė Almira, Ramanavičius Arūnas</t>
  </si>
  <si>
    <r>
      <t>Abou Chaaya Adib, Viter Roman, [Balevičiūtė Ieva], Bechelany Mikhael, [Ramanavičius Arūnas], Gertnere Zanda, Erts Donats,</t>
    </r>
    <r>
      <rPr>
        <sz val="8"/>
        <color rgb="FFFF0000"/>
        <rFont val="Arial"/>
        <family val="2"/>
      </rPr>
      <t xml:space="preserve"> </t>
    </r>
    <r>
      <rPr>
        <sz val="8"/>
        <color theme="1" tint="4.9989318521683403E-2"/>
        <rFont val="Arial"/>
        <family val="2"/>
      </rPr>
      <t>[Smyntyna Valentyn],</t>
    </r>
    <r>
      <rPr>
        <sz val="8"/>
        <color rgb="FFFF0000"/>
        <rFont val="Arial"/>
        <family val="2"/>
      </rPr>
      <t xml:space="preserve"> </t>
    </r>
    <r>
      <rPr>
        <sz val="8"/>
        <color theme="1"/>
        <rFont val="Arial"/>
        <family val="2"/>
        <charset val="186"/>
      </rPr>
      <t>Miele Philipe. Tuning optical properties of Al2O3/ZnO nanolaminates synthesized by atomic layer deposition. The journal of physical chemistry C: nanomaterials, interfaces and hard matter. Washington : American Chemical Society. 2014, Vol. 118, no. p. 3811-3819.</t>
    </r>
  </si>
  <si>
    <r>
      <t>Ramanavičius Arūna</t>
    </r>
    <r>
      <rPr>
        <sz val="8"/>
        <rFont val="Arial"/>
        <family val="2"/>
        <charset val="186"/>
      </rPr>
      <t>s, [Oztekin Yasemin]</t>
    </r>
    <r>
      <rPr>
        <sz val="8"/>
        <color theme="1"/>
        <rFont val="Arial"/>
        <family val="2"/>
        <charset val="186"/>
      </rPr>
      <t>, Ramanavičienė Almira</t>
    </r>
  </si>
  <si>
    <t>[German Natalija], [Ramanavičius Arūnas], [Ramanavičienė Almira]. Electrochemical deposition of gold nanoparticles on graphite rod forglucose biosensing. Sensors and actuators B. Chemical. Lausanne : Elsevier Science. 2014, vol. 203, p. 25-34.</t>
  </si>
  <si>
    <t xml:space="preserve">Zor Erhan, Oztekin Yasemin Ramanavičienė Almira, Barkauskas Jurgis,Ramanavičius Arūnas </t>
  </si>
  <si>
    <t>Ramanaviciene Almira, Ramanavicius Arūnas</t>
  </si>
  <si>
    <t xml:space="preserve">Ramanaviciene Almira, </t>
  </si>
  <si>
    <t>Ramanavicius Arūnas</t>
  </si>
  <si>
    <t>Krikstolaityte Vida, Ramanavicius Arūnas</t>
  </si>
  <si>
    <t>Krikstolaityte Vida, Lamberg P. , Toscano M. D. , Silow M. , Eicher-Lorka O. , Ramanavicius Arūnas, Niaura Gediminas, Abariute L. , Ruzgas T., Shleev S., Mediatorless Carbohydrate/Oxygen Biofuel Cells with Improved Cellobiose Dehydrogenase Based Bioanode. Fuel Cells 2014, 14, 792-800. DOI: 10.1002/fuce.201400003</t>
  </si>
  <si>
    <t>Stirke Arūnas, Zimkus Aurelijus, Balevicius Saulius, Stankevic Voitech, Ramanaviciene Almira, Ramanavicius Arūnas, Zurauskiene Nerija, Permeabilisation of yeast Saccharomyces cerevisiae cells using nanosecond high power electrical pulses. Applied Physics Letters 2014, 105, 253701.    DOI: 10.1063/1.4905034</t>
  </si>
  <si>
    <t>Ciftci Hakan, Oztekin Yasemin , Ramanaviciene Almira, Ramanavicius Arūnas</t>
  </si>
  <si>
    <t>Ciftci H., Oztekin Y. , Tamer U. , Ramanaviciene Almira, Ramanavicius Arūnas, Electrochemical biosensor based on glucose oxidase encapsulated within enzymatically synthesized poly(1,10-phenanthroline-5,6-dione). Colloids and Surfaces B-Biointerfaces 2014, 123, 685-91. DOI: 10.1016/j.colsurfb.2014.10.032</t>
  </si>
  <si>
    <t>[Zor Erhan], [Oztekin Yasemin], [Ramanavičienė Almira], [Anusevičius Žilvinas], Bingol Haluk, [Barkauskas Jurgis], Ersoz Mustafa, [Ramanavičius Arūnas]. Amperometric glucose biosensor based on glucose oxidase, 1,10-phenanthroline-5,6-dione and carbon nanotubes. Journal of the electrochemical society. Pennington : Electrochemical Society, Inc. 2014, vol. 161, iss. 13, p. H3064-H3069.</t>
  </si>
  <si>
    <t>[Ramanavičius Arūnas], [Genys Povilas], [Oztekin Yasemin], [Ramanavičienė Almira]. Evaluation of the redox mediating properties of 1,10-phenanthroline-5,6-dione for glucose oxidase modified graphite electrodes. Journal of the electrochemical society. Pennington : Electrochemical Society, Inc. 2014, vol. 161, iss. 3, p. B31-B33. (2014)(50867)</t>
  </si>
  <si>
    <t>NĖRA VU DUOMENŲ BAZĖJE</t>
  </si>
  <si>
    <t>[Jankevičiūtė Audronė], Karoly Zoltan, Tarakina Nadezda V., [Szepvolgyi Janos], [Kareiva Aivaras]. Synthesis and characterization of spherical amorphous alumo-silicate nanoparticles using RF thermal plasma method. Journal of non-crystalline solids. Amsterdam : Elsevier BV * North-Holland. 2012, Vol. 359, p. 9-14.
M. Mackevicius, F. Ivanauskas, A. Kareiva and I. Bogdanoviciene. 
Computer modeling of synthesis of calcium hydroxyapatite (CHAp). J. Math. 
Chem., 51 (2013) 1249-1257.</t>
  </si>
  <si>
    <t>ATKELTA IŠ 2013 METŲ</t>
  </si>
  <si>
    <t xml:space="preserve">Stankevic, V; Simkevicius, C ; Balevicius, S; Zurauskiene, N ; Cimmperman, P ; [Abrutis[,  [Plausinaitiene[, V Uniaxial stress influence on electrical conductivity of thin epitaxial lanthanum-strontium manganite films. Thin Solid Films, Lausane : Elsevier Science SA. 2013, Volume: 540   Pages: 194-201 </t>
  </si>
  <si>
    <t>Abrutis A,, Plausinaitiene V.</t>
  </si>
  <si>
    <t xml:space="preserve">[Abrutis, A]; Lukosius, M ; [Skapas, M] ; [Stanionyte, S] ; [Kubilius, V]  ; Wenger, C  ; Zauner, A. Metal-organic chemical vapor deposition of high-k dielectric Ce-Al-O layers from various metal-organic precursors for metal-insulator-metal capacitor applications. Thin Solid Films, Lausane : Elsevier Science SA. 2013, Volume: 536   Pages: 68-73 </t>
  </si>
  <si>
    <t>Abrutis A, Skapas M, Stanionyte S, Kubilius V</t>
  </si>
  <si>
    <t>Bartasyte, A  ; [Plausinaitiene, V]; [Abrutis, A] ; [Stanionyte, S] ; Margueron, S ; Boulet, P ; Kobata, T ; Uesu, Y; Gleize, J . Identification of LiNbO3, LiNb3O8 and Li3NbO4 phases in thin films synthesized with different deposition techniques by means of XRD and Raman spectroscopy.  Journal of Physics-Condensed Mater  : BRISTOL:IOP PUBLISHING LTD. 2013, Volume: 25,   205901</t>
  </si>
  <si>
    <t>Plausinaitiene V, Abrutis A, Stanionyte S</t>
  </si>
  <si>
    <t>0953-8984</t>
  </si>
  <si>
    <t>Borodavka, F ; Gregora, I ; Bartasyte, A  ; Margueron, S ; [Plausinaitiene, V] ; [Abrutis, A]; Hlinka, J. Ferroelectric nanodomains in epitaxial PbTiO3 films grown on SmScO3 and TbScO3 substrates.  Journal of Applied Physics  MELVILLE, NY: AMER INST PHYSICS, 2013, Volume: 113,   187216</t>
  </si>
  <si>
    <t xml:space="preserve">Plausinaitiene V, Abrutis A, </t>
  </si>
  <si>
    <t xml:space="preserve"> 0021-8979</t>
  </si>
  <si>
    <t>Lukosius, M ; Wenger, C ; Blomberg, T; [Abrutis, A] ; Lupina, G ; Baumann, PK ; Ruhl, G . Electrical and Morphological Properties of ALD and AVD Grown Perovskite-Type Dielectrics and Their Stacks for Metal-Insulator-Metal Applications.  ECS Journal of Solid State Science and Technology. Pennington: ELECTROCHEMICAL SOC INC, 2012, Volume: 1,   Pages: N1-N5</t>
  </si>
  <si>
    <t xml:space="preserve">Abrutis A, </t>
  </si>
  <si>
    <t>2162-8769</t>
  </si>
  <si>
    <t>Plaušinaitis, Deivis ;  Naujalis, Evaldas ;  Prokopchik, Aleksandr ;  Budreika, Andrius . Method for detection of Cs and Sr isotopes avoiding interferences of Ba and Rb in radioactive samples using ion chromatography coupled with ICP-MS // Current Analytical Chemistry. Sharjah: Bentham Science Publishers. ISSN: 1573-4110, eISSN: 1875-6727. 2014, Vol. 10, iss. 1 [žiūrėta 2015 m. liepos 22 d.], p. 140-148. Prieiga per internetą: &lt;http://www.eurekaselect.com/116864/article&gt;.</t>
  </si>
  <si>
    <t>Morkvėnaitė-Vilkončienė, Inga ;  Genys, Povilas ;  Ramanavičienė, Almira ;  Ramanavičius, Arūnas . Scanning electrochemical impedance microscopy for investigation of glucose oxidase catalyzed reaction // Colloids and surfaces B: Biointerfaces. Amsterdam: Elsevier BV. ISSN: 0927-7765. 2014, Vol. 126, p. 598-602. Prieiga per internetą: &lt;http://www.sciencedirect.com/science/article/pii/S0927776515000132&gt;.</t>
  </si>
  <si>
    <t>2015 metų publikacija</t>
  </si>
  <si>
    <t>1742-464X</t>
  </si>
  <si>
    <t>0003-6951</t>
  </si>
  <si>
    <t>1615-6846</t>
  </si>
  <si>
    <t>0022-3093</t>
  </si>
  <si>
    <t>1573-4110</t>
  </si>
  <si>
    <t>Plaušinaitis, Deivis</t>
  </si>
  <si>
    <t>0927-7765</t>
  </si>
  <si>
    <t>Ramanavičius Arūnas, Ramanavičienė Almira</t>
  </si>
  <si>
    <t>Jankevičiūtė Audronė, Kareiva Aivaras</t>
  </si>
  <si>
    <t xml:space="preserve"> Plausinaitiene V.</t>
  </si>
  <si>
    <t>Abrutis A.</t>
  </si>
  <si>
    <t>Kubilius V</t>
  </si>
  <si>
    <t xml:space="preserve">Plausinaitiene V, </t>
  </si>
  <si>
    <t>Morkvėnaitė-Vilkončienė, Inga ;  Genys, Povilas ;  Ramanavičienė, Almira ;  Ramanavičius, Arūnas</t>
  </si>
  <si>
    <t xml:space="preserve"> Ramanavičienė, Almira</t>
  </si>
  <si>
    <t>Ramanavičius, Arūnas</t>
  </si>
  <si>
    <t>Skirtumas</t>
  </si>
  <si>
    <t>EUR</t>
  </si>
  <si>
    <t>Olšauskaitė Vilma</t>
  </si>
  <si>
    <t>Balevičiūtė Ieva</t>
  </si>
  <si>
    <t>Mikoliūnaitė Lina</t>
  </si>
  <si>
    <t>Krivorotova Tatjana</t>
  </si>
  <si>
    <t>Skaudžius Ramūnas</t>
  </si>
  <si>
    <t>Senvaitienė Jūratė</t>
  </si>
  <si>
    <t>Budrienė Saulutė</t>
  </si>
  <si>
    <t>Plaušinaitis Deivis</t>
  </si>
  <si>
    <t>Juknelevičius Dominykas -&gt; A. Ramanavičius</t>
  </si>
  <si>
    <t>Kubilius Rytis, -&gt; A. Ramanavičius</t>
  </si>
  <si>
    <t>Zor Erhan-&gt; A. Ramanavičius</t>
  </si>
  <si>
    <t>Oztekin Yasemin-&gt; A. Ramanavičius</t>
  </si>
  <si>
    <t>Krikštolaitytė Vida, -&gt; A. Ramanavičius</t>
  </si>
  <si>
    <t>Samukaitė-Bubnienė Urtė,-&gt; A. Ramanavičius</t>
  </si>
  <si>
    <t xml:space="preserve"> Bugelytė Birutė, -&gt; A. Ramanavičius</t>
  </si>
  <si>
    <t>Ciftei Hakan-&gt; A. Ramanavičius</t>
  </si>
  <si>
    <t>Genys Povilas-&gt; A. Ramanavičius</t>
  </si>
  <si>
    <t>Kuliešius Jurgis, -&gt; A. Ramanavičius</t>
  </si>
  <si>
    <t>Oztekin Yasemin, -&gt; A. Ramanavičius</t>
  </si>
  <si>
    <t>Ratautaitė Vilma, -&gt; A. Ramanavičius</t>
  </si>
  <si>
    <t xml:space="preserve"> Tamošaitis Linas, -&gt; A. Ramanavičius</t>
  </si>
  <si>
    <t>Ratautaitė Vilma,-&gt; A. Ramanavičius</t>
  </si>
  <si>
    <t>Morkvėnaitė-Vilkončienė Inga, -&gt; A. Ramanavičius</t>
  </si>
  <si>
    <t>Vaitkuvienė Aida, -&gt; A. Ramanavičius</t>
  </si>
  <si>
    <t>Zor Erhan, -&gt; A. Ramanavičius</t>
  </si>
  <si>
    <t>Genys Povilas, -&gt; A. Ramanavičius</t>
  </si>
  <si>
    <t>Krikstolaityte Vida, -&gt; A. Ramanavičius</t>
  </si>
  <si>
    <t>Ciftci Hakan, -&gt; A. Ramanavičius</t>
  </si>
  <si>
    <t>Oztekin Yasemin ,-&gt; A. Ramanavičius</t>
  </si>
  <si>
    <t>Morkvėnaitė-Vilkončienė, Inga-&gt; A. Ramanavičius</t>
  </si>
  <si>
    <t>Genys, Povilas-&gt; A. Ramanavičius</t>
  </si>
  <si>
    <t>Stanionyte S -&gt; A. Abrutis</t>
  </si>
  <si>
    <t>Stanionyte S, -&gt; A. Abrutis</t>
  </si>
  <si>
    <t>Skapas M, -&gt; A. Abrutis</t>
  </si>
  <si>
    <t>Murauskas Tomas, -&gt; A. Abrutis</t>
  </si>
  <si>
    <t>Silimavičius Laimis, -&gt; A. Abrutis</t>
  </si>
  <si>
    <t xml:space="preserve"> Vaičiūnaitė Edita, -&gt; S. Tumkevičius</t>
  </si>
  <si>
    <t xml:space="preserve"> Daškevič Justina, -&gt; J. Barkauskas</t>
  </si>
  <si>
    <t>Makaravičiūtė Asta, -&gt; A. Ramanavičienė</t>
  </si>
  <si>
    <t xml:space="preserve"> Voronovič Jaroslav, -&gt; A. Ramanavičienė</t>
  </si>
  <si>
    <t>Voronovič Jaroslav, -&gt; A. Ramanavičienė</t>
  </si>
  <si>
    <t>Stirkė Arūnas,-&gt; A. Ramanavičienė</t>
  </si>
  <si>
    <t>Karlonas Nerijus,-&gt; A. Ramanavičienė</t>
  </si>
  <si>
    <t>Jankevičiūtė Audronė, -&gt; A. Kareiva</t>
  </si>
  <si>
    <t>Bucevičius Jonas, -&gt; S. Tumkevičius</t>
  </si>
  <si>
    <t>Taujenis Lukas, -&gt; A. Padarauskas</t>
  </si>
  <si>
    <t>Šmitienė Vaida, -&gt; V. Vičkačkaitė</t>
  </si>
  <si>
    <t>Semaško Ivona, -&gt; V. Vičkačkaitė</t>
  </si>
  <si>
    <t>Butkutė Skirmantė -&gt; A. Kareiva</t>
  </si>
  <si>
    <t>Stankevičiūtė Rūta, -&gt; A. Žalga</t>
  </si>
  <si>
    <t>Jonikaitė-Švėgždienė Jūratė, -&gt; R. Makuška</t>
  </si>
  <si>
    <t xml:space="preserve"> Radzevičius Povilas, -&gt; R. Makuška</t>
  </si>
  <si>
    <t>Kilmanas Martynas, -&gt; A. Kareiva</t>
  </si>
  <si>
    <t>Misevičius Martynas,  -&gt; A. Kareiva</t>
  </si>
  <si>
    <t>Raudonytė-Svirbutavičienė Eva, -&gt; A. Katelnikovas</t>
  </si>
  <si>
    <t>Kielė Erika, -&gt; A. Kareiva</t>
  </si>
  <si>
    <t>Višnevskij Česlav,-&gt; R. Makuška</t>
  </si>
  <si>
    <t xml:space="preserve"> Čiuta Gediminas, -&gt; R. Makuška</t>
  </si>
  <si>
    <t>Ketleriūtė Siga, -&gt; R. Makuška</t>
  </si>
  <si>
    <t>Savickaitė Martina, -&gt; R. Makuška</t>
  </si>
  <si>
    <t>Urbanaitė Aurelija, -&gt; I. Čikotienė</t>
  </si>
  <si>
    <t>Mažeiko Viktor, -&gt; A. Kaušaitė-Minkštimienė</t>
  </si>
  <si>
    <t>Karpavičienė Ieva, -&gt; I. Čikotienė</t>
  </si>
  <si>
    <t>Trinkūnaitė Felsen Justė, -&gt; A. Kareiva</t>
  </si>
  <si>
    <t>Braziulis Gediminas, -&gt; A. Žalga</t>
  </si>
  <si>
    <t>Janulevičius Gytautas, -&gt; A. Žalga</t>
  </si>
  <si>
    <t>Stankevičiūtė Živilė</t>
  </si>
  <si>
    <t xml:space="preserve"> Pulmanas Arūnas, -&gt; V. Daujotis</t>
  </si>
  <si>
    <t>Tumkevičius Sigitas, Čapkauskaitė Edita</t>
  </si>
  <si>
    <t>Čapkauskaitė Edita</t>
  </si>
  <si>
    <t>Bukšnaitienė Rita</t>
  </si>
  <si>
    <t>Bagdžiūnas Gintautas, -&gt; S. Stončius</t>
  </si>
  <si>
    <t>Kuprėnaitė Sabina, -&gt; V. Plaušinaitienė</t>
  </si>
  <si>
    <t>Malakauskaite Milda -&gt; A. Kareiva</t>
  </si>
  <si>
    <t>Opuchovič Olga, -&gt;A. Kareiva</t>
  </si>
  <si>
    <t>A. Valiūnienė, G. Baltrūnas, V. Keršulytė, Ž. Margarian, G. Valinčius. The degradation of cyanide by anodic electrooxidation using different anode materials. Process Safety and Environmental Protection, 91 (2013) 269-274.</t>
  </si>
  <si>
    <t xml:space="preserve"> 0957-5820</t>
  </si>
  <si>
    <t>A. Valiūnienė, G. Baltrūnas, V. Keršulytė, Ž. Margarian</t>
  </si>
  <si>
    <t xml:space="preserve">A. Valiūnienė, </t>
  </si>
  <si>
    <t xml:space="preserve">G. Baltrūnas, </t>
  </si>
  <si>
    <t xml:space="preserve">V. Keršulytė, </t>
  </si>
  <si>
    <t>Ž. Margarian</t>
  </si>
  <si>
    <t>Valiūnienė Aušra</t>
  </si>
  <si>
    <t>Margarian Žana</t>
  </si>
  <si>
    <t>Suma pagal taškus (EUR)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</si>
</sst>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000"/>
    <numFmt numFmtId="166" formatCode="0.0000"/>
  </numFmts>
  <fonts count="26" x14ac:knownFonts="1">
    <font>
      <sz val="10"/>
      <name val="Arial"/>
      <charset val="186"/>
    </font>
    <font>
      <sz val="7"/>
      <color indexed="60"/>
      <name val="Verdana"/>
      <family val="2"/>
    </font>
    <font>
      <sz val="10"/>
      <name val="Arial"/>
      <family val="2"/>
      <charset val="186"/>
    </font>
    <font>
      <sz val="7"/>
      <name val="Verdana"/>
      <family val="2"/>
    </font>
    <font>
      <sz val="10"/>
      <name val="Arial"/>
      <family val="2"/>
    </font>
    <font>
      <sz val="8"/>
      <name val="Arial"/>
      <family val="2"/>
    </font>
    <font>
      <b/>
      <sz val="8"/>
      <color rgb="FFFF0000"/>
      <name val="Arial"/>
      <family val="2"/>
    </font>
    <font>
      <b/>
      <sz val="8"/>
      <name val="Arial"/>
      <family val="2"/>
    </font>
    <font>
      <sz val="8"/>
      <color rgb="FFFF0000"/>
      <name val="Arial"/>
      <family val="2"/>
    </font>
    <font>
      <sz val="12"/>
      <name val="Times New Roman"/>
      <family val="1"/>
      <charset val="186"/>
    </font>
    <font>
      <sz val="8"/>
      <color theme="1"/>
      <name val="Arial"/>
      <family val="2"/>
    </font>
    <font>
      <b/>
      <sz val="10"/>
      <name val="Arial"/>
      <family val="2"/>
      <charset val="186"/>
    </font>
    <font>
      <sz val="7"/>
      <color indexed="8"/>
      <name val="Arial"/>
      <family val="2"/>
      <charset val="186"/>
    </font>
    <font>
      <b/>
      <sz val="5.5"/>
      <color indexed="8"/>
      <name val="Arial"/>
      <family val="2"/>
      <charset val="186"/>
    </font>
    <font>
      <b/>
      <sz val="8"/>
      <color indexed="8"/>
      <name val="Arial"/>
      <family val="2"/>
      <charset val="186"/>
    </font>
    <font>
      <sz val="8"/>
      <name val="Arial"/>
      <family val="2"/>
      <charset val="186"/>
    </font>
    <font>
      <sz val="8"/>
      <color theme="1"/>
      <name val="Arial"/>
      <family val="2"/>
      <charset val="186"/>
    </font>
    <font>
      <b/>
      <sz val="8"/>
      <color theme="1"/>
      <name val="Arial"/>
      <family val="2"/>
      <charset val="186"/>
    </font>
    <font>
      <sz val="8"/>
      <color theme="1" tint="4.9989318521683403E-2"/>
      <name val="Arial"/>
      <family val="2"/>
    </font>
    <font>
      <sz val="8"/>
      <color rgb="FFFF0000"/>
      <name val="Arial"/>
      <family val="2"/>
      <charset val="186"/>
    </font>
    <font>
      <b/>
      <sz val="8"/>
      <color rgb="FFFF0000"/>
      <name val="Arial"/>
      <family val="2"/>
      <charset val="186"/>
    </font>
    <font>
      <sz val="7"/>
      <color rgb="FFFF0000"/>
      <name val="Verdana"/>
      <family val="2"/>
    </font>
    <font>
      <sz val="7"/>
      <color rgb="FF00B0F0"/>
      <name val="Verdana"/>
      <family val="2"/>
    </font>
    <font>
      <sz val="10"/>
      <color rgb="FFFF0000"/>
      <name val="Arial"/>
      <family val="2"/>
      <charset val="186"/>
    </font>
    <font>
      <b/>
      <sz val="11"/>
      <name val="Arial"/>
      <family val="2"/>
      <charset val="186"/>
    </font>
    <font>
      <sz val="10"/>
      <color rgb="FF000000"/>
      <name val="Verdana"/>
      <family val="2"/>
      <charset val="186"/>
    </font>
  </fonts>
  <fills count="14">
    <fill>
      <patternFill patternType="none"/>
    </fill>
    <fill>
      <patternFill patternType="gray125"/>
    </fill>
    <fill>
      <patternFill patternType="solid">
        <fgColor indexed="26"/>
        <bgColor indexed="64"/>
      </patternFill>
    </fill>
    <fill>
      <patternFill patternType="solid">
        <fgColor indexed="9"/>
        <bgColor indexed="64"/>
      </patternFill>
    </fill>
    <fill>
      <patternFill patternType="solid">
        <fgColor indexed="47"/>
        <bgColor indexed="64"/>
      </patternFill>
    </fill>
    <fill>
      <patternFill patternType="solid">
        <fgColor indexed="22"/>
        <bgColor indexed="64"/>
      </patternFill>
    </fill>
    <fill>
      <patternFill patternType="solid">
        <fgColor indexed="11"/>
        <bgColor indexed="64"/>
      </patternFill>
    </fill>
    <fill>
      <patternFill patternType="solid">
        <fgColor rgb="FFFFFF00"/>
        <bgColor indexed="64"/>
      </patternFill>
    </fill>
    <fill>
      <patternFill patternType="solid">
        <fgColor rgb="FFFFC000"/>
        <bgColor indexed="64"/>
      </patternFill>
    </fill>
    <fill>
      <patternFill patternType="solid">
        <fgColor theme="0" tint="-0.249977111117893"/>
        <bgColor indexed="64"/>
      </patternFill>
    </fill>
    <fill>
      <patternFill patternType="solid">
        <fgColor rgb="FF00FF0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rgb="FF92D050"/>
        <bgColor indexed="64"/>
      </patternFill>
    </fill>
  </fills>
  <borders count="55">
    <border>
      <left/>
      <right/>
      <top/>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bottom/>
      <diagonal/>
    </border>
    <border>
      <left style="thin">
        <color indexed="8"/>
      </left>
      <right/>
      <top style="thin">
        <color indexed="8"/>
      </top>
      <bottom style="thin">
        <color indexed="8"/>
      </bottom>
      <diagonal/>
    </border>
    <border>
      <left style="thin">
        <color rgb="FF000000"/>
      </left>
      <right style="thin">
        <color rgb="FF000000"/>
      </right>
      <top style="thin">
        <color rgb="FF000000"/>
      </top>
      <bottom style="thin">
        <color rgb="FF000000"/>
      </bottom>
      <diagonal/>
    </border>
    <border>
      <left style="thin">
        <color indexed="8"/>
      </left>
      <right/>
      <top/>
      <bottom style="thin">
        <color indexed="8"/>
      </bottom>
      <diagonal/>
    </border>
    <border>
      <left/>
      <right/>
      <top/>
      <bottom style="thin">
        <color indexed="8"/>
      </bottom>
      <diagonal/>
    </border>
    <border>
      <left style="thin">
        <color indexed="8"/>
      </left>
      <right style="thin">
        <color indexed="64"/>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8"/>
      </top>
      <bottom style="thin">
        <color indexed="8"/>
      </bottom>
      <diagonal/>
    </border>
    <border>
      <left style="thin">
        <color indexed="8"/>
      </left>
      <right style="thin">
        <color rgb="FF000000"/>
      </right>
      <top style="thin">
        <color rgb="FF000000"/>
      </top>
      <bottom style="thin">
        <color rgb="FF000000"/>
      </bottom>
      <diagonal/>
    </border>
    <border>
      <left/>
      <right/>
      <top style="thin">
        <color indexed="64"/>
      </top>
      <bottom style="thin">
        <color indexed="8"/>
      </bottom>
      <diagonal/>
    </border>
    <border>
      <left style="thin">
        <color indexed="64"/>
      </left>
      <right/>
      <top style="thin">
        <color indexed="64"/>
      </top>
      <bottom style="thin">
        <color indexed="8"/>
      </bottom>
      <diagonal/>
    </border>
    <border>
      <left/>
      <right style="thin">
        <color indexed="8"/>
      </right>
      <top/>
      <bottom style="thin">
        <color indexed="8"/>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right style="thin">
        <color indexed="8"/>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style="thin">
        <color indexed="64"/>
      </left>
      <right style="thin">
        <color rgb="FF000000"/>
      </right>
      <top style="thin">
        <color rgb="FF000000"/>
      </top>
      <bottom style="thin">
        <color rgb="FF000000"/>
      </bottom>
      <diagonal/>
    </border>
    <border>
      <left style="thin">
        <color indexed="64"/>
      </left>
      <right/>
      <top style="thin">
        <color indexed="8"/>
      </top>
      <bottom style="thin">
        <color indexed="64"/>
      </bottom>
      <diagonal/>
    </border>
    <border>
      <left/>
      <right/>
      <top style="thin">
        <color indexed="8"/>
      </top>
      <bottom style="thin">
        <color indexed="64"/>
      </bottom>
      <diagonal/>
    </border>
    <border>
      <left/>
      <right style="thin">
        <color indexed="64"/>
      </right>
      <top style="thin">
        <color indexed="8"/>
      </top>
      <bottom style="thin">
        <color indexed="64"/>
      </bottom>
      <diagonal/>
    </border>
    <border>
      <left style="thin">
        <color indexed="8"/>
      </left>
      <right/>
      <top/>
      <bottom style="thin">
        <color indexed="64"/>
      </bottom>
      <diagonal/>
    </border>
    <border>
      <left style="thin">
        <color indexed="64"/>
      </left>
      <right/>
      <top style="thin">
        <color indexed="8"/>
      </top>
      <bottom/>
      <diagonal/>
    </border>
    <border>
      <left style="thin">
        <color indexed="8"/>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top/>
      <bottom style="thin">
        <color indexed="8"/>
      </bottom>
      <diagonal/>
    </border>
    <border>
      <left/>
      <right style="thin">
        <color indexed="64"/>
      </right>
      <top style="thin">
        <color indexed="64"/>
      </top>
      <bottom style="thin">
        <color indexed="8"/>
      </bottom>
      <diagonal/>
    </border>
    <border>
      <left style="thin">
        <color indexed="64"/>
      </left>
      <right style="thin">
        <color indexed="64"/>
      </right>
      <top/>
      <bottom style="thin">
        <color indexed="64"/>
      </bottom>
      <diagonal/>
    </border>
    <border>
      <left style="thin">
        <color indexed="8"/>
      </left>
      <right/>
      <top style="thin">
        <color indexed="8"/>
      </top>
      <bottom style="thin">
        <color indexed="64"/>
      </bottom>
      <diagonal/>
    </border>
    <border>
      <left style="thin">
        <color indexed="8"/>
      </left>
      <right/>
      <top style="thin">
        <color indexed="64"/>
      </top>
      <bottom style="thin">
        <color indexed="8"/>
      </bottom>
      <diagonal/>
    </border>
    <border>
      <left/>
      <right style="thin">
        <color indexed="64"/>
      </right>
      <top/>
      <bottom style="thin">
        <color indexed="8"/>
      </bottom>
      <diagonal/>
    </border>
    <border>
      <left/>
      <right style="thin">
        <color indexed="64"/>
      </right>
      <top style="thin">
        <color indexed="8"/>
      </top>
      <bottom/>
      <diagonal/>
    </border>
    <border>
      <left/>
      <right style="thin">
        <color indexed="64"/>
      </right>
      <top/>
      <bottom style="thin">
        <color indexed="64"/>
      </bottom>
      <diagonal/>
    </border>
    <border>
      <left style="thin">
        <color indexed="8"/>
      </left>
      <right/>
      <top style="thin">
        <color indexed="64"/>
      </top>
      <bottom/>
      <diagonal/>
    </border>
    <border>
      <left/>
      <right style="thin">
        <color indexed="64"/>
      </right>
      <top style="thin">
        <color indexed="64"/>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336">
    <xf numFmtId="0" fontId="0" fillId="0" borderId="0" xfId="0"/>
    <xf numFmtId="0" fontId="9" fillId="0" borderId="0" xfId="0" applyFont="1"/>
    <xf numFmtId="0" fontId="3" fillId="0" borderId="0" xfId="0" applyFont="1" applyFill="1" applyBorder="1" applyAlignment="1">
      <alignment horizontal="center" vertical="top" wrapText="1"/>
    </xf>
    <xf numFmtId="0" fontId="3" fillId="0" borderId="0" xfId="0" applyFont="1" applyFill="1" applyBorder="1" applyAlignment="1">
      <alignment horizontal="center" wrapText="1"/>
    </xf>
    <xf numFmtId="0" fontId="0" fillId="0" borderId="0" xfId="0" applyBorder="1"/>
    <xf numFmtId="0" fontId="0" fillId="0" borderId="0" xfId="0" applyFill="1" applyBorder="1"/>
    <xf numFmtId="0" fontId="1" fillId="0" borderId="0" xfId="0" applyFont="1" applyFill="1" applyBorder="1" applyAlignment="1">
      <alignment horizontal="center" vertical="top" wrapText="1"/>
    </xf>
    <xf numFmtId="166" fontId="0" fillId="0" borderId="0" xfId="0" applyNumberFormat="1"/>
    <xf numFmtId="0" fontId="2" fillId="0" borderId="16" xfId="0" applyFont="1" applyBorder="1"/>
    <xf numFmtId="0" fontId="0" fillId="0" borderId="16" xfId="0" applyBorder="1"/>
    <xf numFmtId="0" fontId="0" fillId="0" borderId="16" xfId="0" applyFill="1" applyBorder="1"/>
    <xf numFmtId="0" fontId="4" fillId="0" borderId="16" xfId="0" applyFont="1" applyFill="1" applyBorder="1"/>
    <xf numFmtId="0" fontId="4" fillId="0" borderId="16" xfId="0" applyFont="1" applyBorder="1"/>
    <xf numFmtId="0" fontId="11" fillId="0" borderId="0" xfId="0" applyFont="1" applyFill="1" applyBorder="1" applyAlignment="1">
      <alignment horizontal="right"/>
    </xf>
    <xf numFmtId="166" fontId="11" fillId="0" borderId="0" xfId="0" applyNumberFormat="1" applyFont="1" applyBorder="1" applyAlignment="1">
      <alignment horizontal="right"/>
    </xf>
    <xf numFmtId="166" fontId="0" fillId="0" borderId="0" xfId="0" applyNumberFormat="1" applyBorder="1"/>
    <xf numFmtId="0" fontId="4" fillId="0" borderId="0" xfId="0" applyFont="1" applyFill="1" applyBorder="1"/>
    <xf numFmtId="0" fontId="11" fillId="0" borderId="0" xfId="0" applyFont="1" applyAlignment="1">
      <alignment horizontal="right"/>
    </xf>
    <xf numFmtId="0" fontId="11" fillId="13" borderId="0" xfId="0" applyFont="1" applyFill="1" applyAlignment="1">
      <alignment horizontal="right"/>
    </xf>
    <xf numFmtId="0" fontId="0" fillId="13" borderId="0" xfId="0" applyFill="1"/>
    <xf numFmtId="166" fontId="0" fillId="13" borderId="0" xfId="0" applyNumberFormat="1" applyFill="1"/>
    <xf numFmtId="2" fontId="0" fillId="0" borderId="0" xfId="0" applyNumberFormat="1"/>
    <xf numFmtId="0" fontId="5" fillId="0" borderId="0" xfId="0" applyFont="1" applyFill="1" applyBorder="1" applyAlignment="1">
      <alignment horizontal="left" vertical="top" wrapText="1"/>
    </xf>
    <xf numFmtId="0" fontId="0" fillId="0" borderId="0" xfId="0" applyAlignment="1">
      <alignment horizontal="left" vertical="top"/>
    </xf>
    <xf numFmtId="0" fontId="5" fillId="0" borderId="0" xfId="0" applyFont="1" applyAlignment="1">
      <alignment horizontal="left" vertical="top"/>
    </xf>
    <xf numFmtId="0" fontId="5" fillId="0" borderId="0" xfId="0" applyFont="1" applyFill="1" applyAlignment="1">
      <alignment horizontal="left" vertical="top"/>
    </xf>
    <xf numFmtId="0" fontId="0" fillId="0" borderId="0" xfId="0" applyFill="1" applyAlignment="1">
      <alignment horizontal="left" vertical="top"/>
    </xf>
    <xf numFmtId="0" fontId="5" fillId="7" borderId="0" xfId="0" applyFont="1" applyFill="1" applyAlignment="1">
      <alignment horizontal="left" vertical="top"/>
    </xf>
    <xf numFmtId="0" fontId="5" fillId="8" borderId="0" xfId="0" applyFont="1" applyFill="1" applyAlignment="1">
      <alignment horizontal="left" vertical="top"/>
    </xf>
    <xf numFmtId="0" fontId="5" fillId="7" borderId="0" xfId="0" applyFont="1" applyFill="1" applyBorder="1" applyAlignment="1">
      <alignment horizontal="left" vertical="top"/>
    </xf>
    <xf numFmtId="0" fontId="5" fillId="8" borderId="0" xfId="0" applyFont="1" applyFill="1" applyBorder="1" applyAlignment="1">
      <alignment horizontal="left" vertical="top"/>
    </xf>
    <xf numFmtId="0" fontId="5" fillId="0" borderId="0" xfId="0" applyFont="1" applyFill="1" applyBorder="1" applyAlignment="1">
      <alignment horizontal="left" vertical="top"/>
    </xf>
    <xf numFmtId="0" fontId="5" fillId="7" borderId="0" xfId="0" applyFont="1" applyFill="1" applyBorder="1" applyAlignment="1">
      <alignment horizontal="left" vertical="top" wrapText="1"/>
    </xf>
    <xf numFmtId="0" fontId="10" fillId="7" borderId="0" xfId="0" applyFont="1" applyFill="1" applyAlignment="1">
      <alignment horizontal="left" vertical="top"/>
    </xf>
    <xf numFmtId="0" fontId="6" fillId="0" borderId="0" xfId="0" applyFont="1" applyFill="1" applyAlignment="1">
      <alignment horizontal="left" vertical="top"/>
    </xf>
    <xf numFmtId="0" fontId="10" fillId="0" borderId="0" xfId="0" applyFont="1" applyFill="1" applyAlignment="1">
      <alignment horizontal="left" vertical="top"/>
    </xf>
    <xf numFmtId="0" fontId="7" fillId="0" borderId="0" xfId="0" applyFont="1" applyFill="1" applyAlignment="1">
      <alignment horizontal="left" vertical="top"/>
    </xf>
    <xf numFmtId="0" fontId="2" fillId="0" borderId="0" xfId="0" applyFont="1" applyAlignment="1">
      <alignment horizontal="left" vertical="top"/>
    </xf>
    <xf numFmtId="0" fontId="12" fillId="2" borderId="1" xfId="0" applyFont="1" applyFill="1" applyBorder="1" applyAlignment="1">
      <alignment horizontal="left" vertical="top" wrapText="1"/>
    </xf>
    <xf numFmtId="0" fontId="12" fillId="11" borderId="1" xfId="0" applyFont="1" applyFill="1" applyBorder="1" applyAlignment="1">
      <alignment horizontal="left" vertical="top" wrapText="1"/>
    </xf>
    <xf numFmtId="164" fontId="13" fillId="6" borderId="1" xfId="0" applyNumberFormat="1" applyFont="1" applyFill="1" applyBorder="1" applyAlignment="1">
      <alignment horizontal="left" vertical="top" wrapText="1"/>
    </xf>
    <xf numFmtId="164" fontId="14" fillId="5" borderId="3" xfId="0" applyNumberFormat="1" applyFont="1" applyFill="1" applyBorder="1" applyAlignment="1">
      <alignment horizontal="left" vertical="top" wrapText="1"/>
    </xf>
    <xf numFmtId="0" fontId="15" fillId="0" borderId="0" xfId="0" applyFont="1" applyAlignment="1">
      <alignment horizontal="left" vertical="top"/>
    </xf>
    <xf numFmtId="2" fontId="2" fillId="0" borderId="0" xfId="0" applyNumberFormat="1" applyFont="1" applyFill="1" applyAlignment="1">
      <alignment horizontal="left" vertical="top"/>
    </xf>
    <xf numFmtId="164" fontId="2" fillId="6" borderId="0" xfId="0" applyNumberFormat="1" applyFont="1" applyFill="1" applyAlignment="1">
      <alignment horizontal="left" vertical="top"/>
    </xf>
    <xf numFmtId="0" fontId="15" fillId="5" borderId="0" xfId="0" applyFont="1" applyFill="1" applyAlignment="1">
      <alignment horizontal="left" vertical="top"/>
    </xf>
    <xf numFmtId="0" fontId="2" fillId="0" borderId="0" xfId="0" applyFont="1" applyFill="1" applyAlignment="1">
      <alignment horizontal="left" vertical="top"/>
    </xf>
    <xf numFmtId="0" fontId="16" fillId="2" borderId="1" xfId="0" applyFont="1" applyFill="1" applyBorder="1" applyAlignment="1">
      <alignment horizontal="left" vertical="top" wrapText="1"/>
    </xf>
    <xf numFmtId="2" fontId="16" fillId="0" borderId="15" xfId="0" applyNumberFormat="1" applyFont="1" applyFill="1" applyBorder="1" applyAlignment="1">
      <alignment horizontal="left" vertical="top" wrapText="1"/>
    </xf>
    <xf numFmtId="0" fontId="16" fillId="6" borderId="0" xfId="0" applyFont="1" applyFill="1" applyBorder="1" applyAlignment="1">
      <alignment horizontal="left" vertical="top" wrapText="1"/>
    </xf>
    <xf numFmtId="0" fontId="16" fillId="5" borderId="0" xfId="0" applyFont="1" applyFill="1" applyBorder="1" applyAlignment="1">
      <alignment horizontal="left" vertical="top" wrapText="1"/>
    </xf>
    <xf numFmtId="0" fontId="16" fillId="0" borderId="0" xfId="0" applyFont="1" applyAlignment="1">
      <alignment horizontal="left" vertical="top"/>
    </xf>
    <xf numFmtId="2" fontId="16" fillId="0" borderId="19" xfId="0" applyNumberFormat="1" applyFont="1" applyFill="1" applyBorder="1" applyAlignment="1">
      <alignment horizontal="left" vertical="top" wrapText="1"/>
    </xf>
    <xf numFmtId="0" fontId="16" fillId="5" borderId="21" xfId="0" applyFont="1" applyFill="1" applyBorder="1" applyAlignment="1">
      <alignment horizontal="left" vertical="top" wrapText="1"/>
    </xf>
    <xf numFmtId="0" fontId="16" fillId="0" borderId="11" xfId="0" applyFont="1" applyBorder="1" applyAlignment="1">
      <alignment horizontal="left" vertical="top" wrapText="1"/>
    </xf>
    <xf numFmtId="0" fontId="16" fillId="0" borderId="5" xfId="0" applyFont="1" applyBorder="1" applyAlignment="1">
      <alignment horizontal="left" vertical="top" wrapText="1"/>
    </xf>
    <xf numFmtId="0" fontId="16" fillId="3" borderId="1" xfId="0" applyFont="1" applyFill="1" applyBorder="1" applyAlignment="1">
      <alignment horizontal="left" vertical="top" wrapText="1"/>
    </xf>
    <xf numFmtId="0" fontId="16" fillId="3" borderId="1" xfId="0" applyNumberFormat="1" applyFont="1" applyFill="1" applyBorder="1" applyAlignment="1">
      <alignment horizontal="left" vertical="top" wrapText="1"/>
    </xf>
    <xf numFmtId="0" fontId="16" fillId="3" borderId="8" xfId="0" applyNumberFormat="1" applyFont="1" applyFill="1" applyBorder="1" applyAlignment="1">
      <alignment horizontal="left" vertical="top" wrapText="1"/>
    </xf>
    <xf numFmtId="2" fontId="16" fillId="0" borderId="22" xfId="0" applyNumberFormat="1" applyFont="1" applyFill="1" applyBorder="1" applyAlignment="1">
      <alignment horizontal="left" vertical="top" wrapText="1"/>
    </xf>
    <xf numFmtId="0" fontId="16" fillId="6" borderId="1" xfId="0" applyFont="1" applyFill="1" applyBorder="1" applyAlignment="1">
      <alignment horizontal="left" vertical="top" wrapText="1"/>
    </xf>
    <xf numFmtId="0" fontId="16" fillId="5" borderId="24" xfId="0" applyFont="1" applyFill="1" applyBorder="1" applyAlignment="1">
      <alignment horizontal="left" vertical="top" wrapText="1"/>
    </xf>
    <xf numFmtId="2" fontId="16" fillId="0" borderId="18" xfId="0" applyNumberFormat="1" applyFont="1" applyFill="1" applyBorder="1" applyAlignment="1">
      <alignment horizontal="left" vertical="top" wrapText="1"/>
    </xf>
    <xf numFmtId="0" fontId="16" fillId="9" borderId="20" xfId="0" applyFont="1" applyFill="1" applyBorder="1" applyAlignment="1">
      <alignment horizontal="left" vertical="top" wrapText="1"/>
    </xf>
    <xf numFmtId="0" fontId="16" fillId="9" borderId="0" xfId="0" applyFont="1" applyFill="1" applyBorder="1" applyAlignment="1">
      <alignment horizontal="left" vertical="top" wrapText="1"/>
    </xf>
    <xf numFmtId="0" fontId="16" fillId="4" borderId="1" xfId="0" applyFont="1" applyFill="1" applyBorder="1" applyAlignment="1">
      <alignment horizontal="left" vertical="top" wrapText="1"/>
    </xf>
    <xf numFmtId="0" fontId="16" fillId="9" borderId="21" xfId="0" applyFont="1" applyFill="1" applyBorder="1" applyAlignment="1">
      <alignment horizontal="left" vertical="top" wrapText="1"/>
    </xf>
    <xf numFmtId="0" fontId="16" fillId="0" borderId="11" xfId="0" applyFont="1" applyFill="1" applyBorder="1" applyAlignment="1">
      <alignment horizontal="left" vertical="top" wrapText="1"/>
    </xf>
    <xf numFmtId="0" fontId="16" fillId="0" borderId="5" xfId="0" applyFont="1" applyFill="1" applyBorder="1" applyAlignment="1">
      <alignment horizontal="left" vertical="top" wrapText="1"/>
    </xf>
    <xf numFmtId="0" fontId="16" fillId="0" borderId="1" xfId="0" applyFont="1" applyFill="1" applyBorder="1" applyAlignment="1">
      <alignment horizontal="left" vertical="top" wrapText="1"/>
    </xf>
    <xf numFmtId="0" fontId="16" fillId="0" borderId="8" xfId="0" applyFont="1" applyFill="1" applyBorder="1" applyAlignment="1">
      <alignment horizontal="left" vertical="top" wrapText="1"/>
    </xf>
    <xf numFmtId="0" fontId="16" fillId="6" borderId="4" xfId="0" applyFont="1" applyFill="1" applyBorder="1" applyAlignment="1">
      <alignment horizontal="left" vertical="top" wrapText="1"/>
    </xf>
    <xf numFmtId="0" fontId="16" fillId="5" borderId="16" xfId="0" applyFont="1" applyFill="1" applyBorder="1" applyAlignment="1">
      <alignment horizontal="left" vertical="top" wrapText="1"/>
    </xf>
    <xf numFmtId="0" fontId="16" fillId="3" borderId="9" xfId="0" applyFont="1" applyFill="1" applyBorder="1" applyAlignment="1">
      <alignment horizontal="left" vertical="top" wrapText="1"/>
    </xf>
    <xf numFmtId="2" fontId="16" fillId="0" borderId="5" xfId="0" applyNumberFormat="1" applyFont="1" applyFill="1" applyBorder="1" applyAlignment="1">
      <alignment horizontal="left" vertical="top" wrapText="1"/>
    </xf>
    <xf numFmtId="2" fontId="16" fillId="6" borderId="1" xfId="0" applyNumberFormat="1" applyFont="1" applyFill="1" applyBorder="1" applyAlignment="1">
      <alignment horizontal="left" vertical="top" wrapText="1"/>
    </xf>
    <xf numFmtId="0" fontId="16" fillId="0" borderId="0" xfId="0" applyFont="1" applyFill="1" applyAlignment="1">
      <alignment horizontal="left" vertical="top"/>
    </xf>
    <xf numFmtId="0" fontId="16" fillId="6" borderId="21" xfId="0" applyFont="1" applyFill="1" applyBorder="1" applyAlignment="1">
      <alignment horizontal="left" vertical="top" wrapText="1"/>
    </xf>
    <xf numFmtId="0" fontId="16" fillId="3" borderId="8" xfId="0" applyFont="1" applyFill="1" applyBorder="1" applyAlignment="1">
      <alignment horizontal="left" vertical="top" wrapText="1"/>
    </xf>
    <xf numFmtId="0" fontId="16" fillId="6" borderId="17" xfId="0" applyFont="1" applyFill="1" applyBorder="1" applyAlignment="1">
      <alignment horizontal="left" vertical="top" wrapText="1"/>
    </xf>
    <xf numFmtId="0" fontId="16" fillId="6" borderId="6" xfId="0" applyFont="1" applyFill="1" applyBorder="1" applyAlignment="1">
      <alignment horizontal="left" vertical="top" wrapText="1"/>
    </xf>
    <xf numFmtId="0" fontId="16" fillId="3" borderId="14" xfId="0" applyFont="1" applyFill="1" applyBorder="1" applyAlignment="1">
      <alignment horizontal="left" vertical="top" wrapText="1"/>
    </xf>
    <xf numFmtId="2" fontId="16" fillId="0" borderId="5" xfId="0" applyNumberFormat="1" applyFont="1" applyBorder="1" applyAlignment="1">
      <alignment horizontal="left" vertical="top" wrapText="1"/>
    </xf>
    <xf numFmtId="0" fontId="16" fillId="9" borderId="16" xfId="0" applyFont="1" applyFill="1" applyBorder="1" applyAlignment="1">
      <alignment horizontal="left" vertical="top" wrapText="1"/>
    </xf>
    <xf numFmtId="165" fontId="16" fillId="0" borderId="8" xfId="0" applyNumberFormat="1" applyFont="1" applyFill="1" applyBorder="1" applyAlignment="1">
      <alignment horizontal="left" vertical="top" wrapText="1"/>
    </xf>
    <xf numFmtId="2" fontId="16" fillId="0" borderId="16" xfId="0" applyNumberFormat="1" applyFont="1" applyFill="1" applyBorder="1" applyAlignment="1">
      <alignment horizontal="left" vertical="top" wrapText="1"/>
    </xf>
    <xf numFmtId="0" fontId="16" fillId="6" borderId="9" xfId="0" applyFont="1" applyFill="1" applyBorder="1" applyAlignment="1">
      <alignment horizontal="left" vertical="top" wrapText="1"/>
    </xf>
    <xf numFmtId="165" fontId="16" fillId="0" borderId="4" xfId="0" applyNumberFormat="1" applyFont="1" applyFill="1" applyBorder="1" applyAlignment="1">
      <alignment horizontal="left" vertical="top" wrapText="1"/>
    </xf>
    <xf numFmtId="0" fontId="16" fillId="10" borderId="0" xfId="0" applyFont="1" applyFill="1" applyBorder="1" applyAlignment="1">
      <alignment horizontal="left" vertical="top" wrapText="1"/>
    </xf>
    <xf numFmtId="0" fontId="16" fillId="10" borderId="9" xfId="0" applyFont="1" applyFill="1" applyBorder="1" applyAlignment="1">
      <alignment horizontal="left" vertical="top" wrapText="1"/>
    </xf>
    <xf numFmtId="0" fontId="16" fillId="10" borderId="1" xfId="0" applyFont="1" applyFill="1" applyBorder="1" applyAlignment="1">
      <alignment horizontal="left" vertical="top" wrapText="1"/>
    </xf>
    <xf numFmtId="0" fontId="16" fillId="12" borderId="1" xfId="0" applyFont="1" applyFill="1" applyBorder="1" applyAlignment="1">
      <alignment horizontal="left" vertical="top" wrapText="1"/>
    </xf>
    <xf numFmtId="0" fontId="16" fillId="12" borderId="4" xfId="0" applyFont="1" applyFill="1" applyBorder="1" applyAlignment="1">
      <alignment horizontal="left" vertical="top" wrapText="1"/>
    </xf>
    <xf numFmtId="0" fontId="16" fillId="12" borderId="2" xfId="0" applyFont="1" applyFill="1" applyBorder="1" applyAlignment="1">
      <alignment horizontal="left" vertical="top" wrapText="1"/>
    </xf>
    <xf numFmtId="0" fontId="16" fillId="9" borderId="41" xfId="0" applyFont="1" applyFill="1" applyBorder="1" applyAlignment="1">
      <alignment horizontal="left" vertical="top" wrapText="1"/>
    </xf>
    <xf numFmtId="0" fontId="16" fillId="0" borderId="0" xfId="0" applyFont="1" applyFill="1" applyBorder="1" applyAlignment="1">
      <alignment horizontal="left" vertical="top" wrapText="1"/>
    </xf>
    <xf numFmtId="0" fontId="16" fillId="0" borderId="3" xfId="0" applyFont="1" applyFill="1" applyBorder="1" applyAlignment="1">
      <alignment horizontal="left" vertical="top" wrapText="1"/>
    </xf>
    <xf numFmtId="0" fontId="16" fillId="10" borderId="4" xfId="0" applyFont="1" applyFill="1" applyBorder="1" applyAlignment="1">
      <alignment horizontal="left" vertical="top" wrapText="1"/>
    </xf>
    <xf numFmtId="0" fontId="16" fillId="2" borderId="4" xfId="0" applyFont="1" applyFill="1" applyBorder="1" applyAlignment="1">
      <alignment horizontal="left" vertical="top" wrapText="1"/>
    </xf>
    <xf numFmtId="0" fontId="16" fillId="12" borderId="0" xfId="0" applyFont="1" applyFill="1" applyBorder="1" applyAlignment="1">
      <alignment horizontal="left" vertical="top" wrapText="1"/>
    </xf>
    <xf numFmtId="0" fontId="16" fillId="12" borderId="26" xfId="0" applyFont="1" applyFill="1" applyBorder="1" applyAlignment="1">
      <alignment horizontal="left" vertical="top" wrapText="1"/>
    </xf>
    <xf numFmtId="0" fontId="16" fillId="12" borderId="25" xfId="0" applyFont="1" applyFill="1" applyBorder="1" applyAlignment="1">
      <alignment horizontal="left" vertical="top" wrapText="1"/>
    </xf>
    <xf numFmtId="0" fontId="16" fillId="0" borderId="37" xfId="0" applyFont="1" applyFill="1" applyBorder="1" applyAlignment="1">
      <alignment horizontal="left" vertical="top" wrapText="1"/>
    </xf>
    <xf numFmtId="0" fontId="16" fillId="0" borderId="38" xfId="0" applyFont="1" applyFill="1" applyBorder="1" applyAlignment="1">
      <alignment horizontal="left" vertical="top" wrapText="1"/>
    </xf>
    <xf numFmtId="0" fontId="16" fillId="0" borderId="23" xfId="0" applyFont="1" applyFill="1" applyBorder="1" applyAlignment="1">
      <alignment horizontal="left" vertical="top" wrapText="1"/>
    </xf>
    <xf numFmtId="0" fontId="16" fillId="0" borderId="38" xfId="0" applyFont="1" applyBorder="1" applyAlignment="1">
      <alignment horizontal="left" vertical="top" wrapText="1"/>
    </xf>
    <xf numFmtId="0" fontId="16" fillId="12" borderId="18" xfId="0" applyFont="1" applyFill="1" applyBorder="1" applyAlignment="1">
      <alignment horizontal="left" vertical="top" wrapText="1"/>
    </xf>
    <xf numFmtId="0" fontId="16" fillId="12" borderId="20" xfId="0" applyFont="1" applyFill="1" applyBorder="1" applyAlignment="1">
      <alignment horizontal="left" vertical="top" wrapText="1"/>
    </xf>
    <xf numFmtId="0" fontId="16" fillId="0" borderId="31" xfId="0" applyFont="1" applyFill="1" applyBorder="1" applyAlignment="1">
      <alignment horizontal="left" vertical="top" wrapText="1"/>
    </xf>
    <xf numFmtId="0" fontId="16" fillId="0" borderId="15" xfId="0" applyFont="1" applyFill="1" applyBorder="1" applyAlignment="1">
      <alignment horizontal="left" vertical="top" wrapText="1"/>
    </xf>
    <xf numFmtId="0" fontId="16" fillId="12" borderId="15" xfId="0" applyFont="1" applyFill="1" applyBorder="1" applyAlignment="1">
      <alignment horizontal="left" vertical="top" wrapText="1"/>
    </xf>
    <xf numFmtId="0" fontId="16" fillId="2" borderId="27" xfId="0" applyFont="1" applyFill="1" applyBorder="1" applyAlignment="1">
      <alignment horizontal="left" vertical="top" wrapText="1"/>
    </xf>
    <xf numFmtId="0" fontId="16" fillId="2" borderId="6" xfId="0" applyFont="1" applyFill="1" applyBorder="1" applyAlignment="1">
      <alignment horizontal="left" vertical="top" wrapText="1"/>
    </xf>
    <xf numFmtId="0" fontId="16" fillId="12" borderId="36" xfId="0" applyFont="1" applyFill="1" applyBorder="1" applyAlignment="1">
      <alignment horizontal="left" vertical="top" wrapText="1"/>
    </xf>
    <xf numFmtId="0" fontId="16" fillId="12" borderId="28" xfId="0" applyFont="1" applyFill="1" applyBorder="1" applyAlignment="1">
      <alignment horizontal="left" vertical="top" wrapText="1"/>
    </xf>
    <xf numFmtId="0" fontId="16" fillId="12" borderId="30" xfId="0" applyFont="1" applyFill="1" applyBorder="1" applyAlignment="1">
      <alignment horizontal="left" vertical="top" wrapText="1"/>
    </xf>
    <xf numFmtId="0" fontId="16" fillId="0" borderId="16" xfId="0" applyFont="1" applyFill="1" applyBorder="1" applyAlignment="1">
      <alignment horizontal="left" vertical="top" wrapText="1"/>
    </xf>
    <xf numFmtId="0" fontId="16" fillId="10" borderId="16" xfId="0" applyFont="1" applyFill="1" applyBorder="1" applyAlignment="1">
      <alignment horizontal="left" vertical="top" wrapText="1"/>
    </xf>
    <xf numFmtId="0" fontId="16" fillId="0" borderId="16" xfId="0" applyFont="1" applyBorder="1" applyAlignment="1">
      <alignment horizontal="left" vertical="top"/>
    </xf>
    <xf numFmtId="0" fontId="16" fillId="12" borderId="29" xfId="0" applyFont="1" applyFill="1" applyBorder="1" applyAlignment="1">
      <alignment horizontal="left" vertical="top" wrapText="1"/>
    </xf>
    <xf numFmtId="0" fontId="16" fillId="0" borderId="0" xfId="0" applyFont="1" applyFill="1" applyBorder="1" applyAlignment="1">
      <alignment horizontal="left" vertical="top"/>
    </xf>
    <xf numFmtId="2" fontId="16" fillId="0" borderId="16" xfId="0" applyNumberFormat="1" applyFont="1" applyFill="1" applyBorder="1" applyAlignment="1">
      <alignment horizontal="left" vertical="top"/>
    </xf>
    <xf numFmtId="0" fontId="16" fillId="0" borderId="16" xfId="0" applyFont="1" applyFill="1" applyBorder="1" applyAlignment="1">
      <alignment horizontal="left" vertical="top"/>
    </xf>
    <xf numFmtId="0" fontId="16" fillId="3" borderId="4" xfId="0" applyFont="1" applyFill="1" applyBorder="1" applyAlignment="1">
      <alignment horizontal="left" vertical="top" wrapText="1"/>
    </xf>
    <xf numFmtId="0" fontId="16" fillId="3" borderId="27" xfId="0" applyFont="1" applyFill="1" applyBorder="1" applyAlignment="1">
      <alignment horizontal="left" vertical="top" wrapText="1"/>
    </xf>
    <xf numFmtId="0" fontId="16" fillId="0" borderId="4" xfId="0" applyFont="1" applyFill="1" applyBorder="1" applyAlignment="1">
      <alignment horizontal="left" vertical="top" wrapText="1"/>
    </xf>
    <xf numFmtId="0" fontId="16" fillId="0" borderId="2" xfId="0" applyFont="1" applyFill="1" applyBorder="1" applyAlignment="1">
      <alignment horizontal="left" vertical="top" wrapText="1"/>
    </xf>
    <xf numFmtId="0" fontId="16" fillId="0" borderId="10" xfId="0" applyFont="1" applyFill="1" applyBorder="1" applyAlignment="1">
      <alignment horizontal="left" vertical="top" wrapText="1"/>
    </xf>
    <xf numFmtId="0" fontId="16" fillId="0" borderId="28" xfId="0" applyFont="1" applyFill="1" applyBorder="1" applyAlignment="1">
      <alignment horizontal="left" vertical="top" wrapText="1"/>
    </xf>
    <xf numFmtId="0" fontId="16" fillId="0" borderId="7" xfId="0" applyFont="1" applyFill="1" applyBorder="1" applyAlignment="1">
      <alignment horizontal="left" vertical="top" wrapText="1"/>
    </xf>
    <xf numFmtId="0" fontId="16" fillId="0" borderId="26" xfId="0" applyFont="1" applyFill="1" applyBorder="1" applyAlignment="1">
      <alignment horizontal="left" vertical="top" wrapText="1"/>
    </xf>
    <xf numFmtId="0" fontId="16" fillId="0" borderId="25" xfId="0" applyFont="1" applyFill="1" applyBorder="1" applyAlignment="1">
      <alignment horizontal="left" vertical="top" wrapText="1"/>
    </xf>
    <xf numFmtId="0" fontId="16" fillId="0" borderId="39" xfId="0" applyFont="1" applyFill="1" applyBorder="1" applyAlignment="1">
      <alignment horizontal="left" vertical="top" wrapText="1"/>
    </xf>
    <xf numFmtId="0" fontId="16" fillId="0" borderId="30" xfId="0" applyFont="1" applyFill="1" applyBorder="1" applyAlignment="1">
      <alignment horizontal="left" vertical="top" wrapText="1"/>
    </xf>
    <xf numFmtId="0" fontId="16" fillId="0" borderId="32" xfId="0" applyFont="1" applyFill="1" applyBorder="1" applyAlignment="1">
      <alignment horizontal="left" vertical="top" wrapText="1"/>
    </xf>
    <xf numFmtId="0" fontId="16" fillId="0" borderId="33" xfId="0" applyFont="1" applyFill="1" applyBorder="1" applyAlignment="1">
      <alignment horizontal="left" vertical="top" wrapText="1"/>
    </xf>
    <xf numFmtId="0" fontId="16" fillId="0" borderId="34" xfId="0" applyFont="1" applyFill="1" applyBorder="1" applyAlignment="1">
      <alignment horizontal="left" vertical="top" wrapText="1"/>
    </xf>
    <xf numFmtId="0" fontId="16" fillId="0" borderId="40" xfId="0" applyFont="1" applyFill="1" applyBorder="1" applyAlignment="1">
      <alignment horizontal="left" vertical="top" wrapText="1"/>
    </xf>
    <xf numFmtId="0" fontId="16" fillId="0" borderId="36" xfId="0" applyFont="1" applyFill="1" applyBorder="1" applyAlignment="1">
      <alignment horizontal="left" vertical="top" wrapText="1"/>
    </xf>
    <xf numFmtId="0" fontId="16" fillId="0" borderId="18" xfId="0" applyFont="1" applyFill="1" applyBorder="1" applyAlignment="1">
      <alignment horizontal="left" vertical="top" wrapText="1"/>
    </xf>
    <xf numFmtId="0" fontId="16" fillId="0" borderId="20" xfId="0" applyFont="1" applyFill="1" applyBorder="1" applyAlignment="1">
      <alignment horizontal="left" vertical="top" wrapText="1"/>
    </xf>
    <xf numFmtId="0" fontId="16" fillId="0" borderId="35" xfId="0" applyFont="1" applyFill="1" applyBorder="1" applyAlignment="1">
      <alignment horizontal="left" vertical="top" wrapText="1"/>
    </xf>
    <xf numFmtId="0" fontId="16" fillId="0" borderId="21" xfId="0" applyFont="1" applyFill="1" applyBorder="1" applyAlignment="1">
      <alignment horizontal="left" vertical="top" wrapText="1"/>
    </xf>
    <xf numFmtId="0" fontId="16" fillId="0" borderId="19" xfId="0" applyFont="1" applyFill="1" applyBorder="1" applyAlignment="1">
      <alignment horizontal="left" vertical="top" wrapText="1"/>
    </xf>
    <xf numFmtId="0" fontId="16" fillId="0" borderId="2" xfId="0" applyFont="1" applyFill="1" applyBorder="1" applyAlignment="1">
      <alignment horizontal="left" vertical="top" wrapText="1"/>
    </xf>
    <xf numFmtId="0" fontId="16" fillId="0" borderId="10" xfId="0" applyFont="1" applyFill="1" applyBorder="1" applyAlignment="1">
      <alignment horizontal="left" vertical="top" wrapText="1"/>
    </xf>
    <xf numFmtId="0" fontId="16" fillId="0" borderId="39" xfId="0" applyFont="1" applyFill="1" applyBorder="1" applyAlignment="1">
      <alignment horizontal="left" vertical="top" wrapText="1"/>
    </xf>
    <xf numFmtId="0" fontId="16" fillId="0" borderId="7" xfId="0" applyFont="1" applyFill="1" applyBorder="1" applyAlignment="1">
      <alignment horizontal="left" vertical="top" wrapText="1"/>
    </xf>
    <xf numFmtId="0" fontId="16" fillId="0" borderId="44" xfId="0" applyFont="1" applyFill="1" applyBorder="1" applyAlignment="1">
      <alignment horizontal="left" vertical="top" wrapText="1"/>
    </xf>
    <xf numFmtId="0" fontId="16" fillId="0" borderId="30" xfId="0" applyFont="1" applyFill="1" applyBorder="1" applyAlignment="1">
      <alignment horizontal="left" vertical="top" wrapText="1"/>
    </xf>
    <xf numFmtId="0" fontId="16" fillId="0" borderId="32" xfId="0" applyFont="1" applyFill="1" applyBorder="1" applyAlignment="1">
      <alignment horizontal="left" vertical="top" wrapText="1"/>
    </xf>
    <xf numFmtId="0" fontId="16" fillId="0" borderId="33" xfId="0" applyFont="1" applyFill="1" applyBorder="1" applyAlignment="1">
      <alignment horizontal="left" vertical="top" wrapText="1"/>
    </xf>
    <xf numFmtId="0" fontId="16" fillId="0" borderId="34" xfId="0" applyFont="1" applyFill="1" applyBorder="1" applyAlignment="1">
      <alignment horizontal="left" vertical="top" wrapText="1"/>
    </xf>
    <xf numFmtId="0" fontId="15" fillId="0" borderId="0" xfId="0" applyFont="1" applyFill="1" applyAlignment="1">
      <alignment horizontal="left" vertical="top"/>
    </xf>
    <xf numFmtId="0" fontId="16" fillId="0" borderId="49" xfId="0" applyFont="1" applyFill="1" applyBorder="1" applyAlignment="1">
      <alignment horizontal="left" vertical="top" wrapText="1"/>
    </xf>
    <xf numFmtId="0" fontId="16" fillId="0" borderId="50" xfId="0" applyFont="1" applyFill="1" applyBorder="1" applyAlignment="1">
      <alignment horizontal="left" vertical="top" wrapText="1"/>
    </xf>
    <xf numFmtId="0" fontId="5" fillId="0" borderId="11" xfId="0" applyFont="1" applyBorder="1" applyAlignment="1">
      <alignment horizontal="left" vertical="top" wrapText="1"/>
    </xf>
    <xf numFmtId="0" fontId="5" fillId="0" borderId="5" xfId="0" applyFont="1" applyBorder="1" applyAlignment="1">
      <alignment horizontal="left" vertical="top" wrapText="1"/>
    </xf>
    <xf numFmtId="0" fontId="5" fillId="3" borderId="1" xfId="0" applyFont="1" applyFill="1" applyBorder="1" applyAlignment="1">
      <alignment horizontal="left" vertical="top" wrapText="1"/>
    </xf>
    <xf numFmtId="0" fontId="5" fillId="0" borderId="4" xfId="0" applyFont="1" applyFill="1" applyBorder="1" applyAlignment="1">
      <alignment horizontal="left" vertical="top" wrapText="1"/>
    </xf>
    <xf numFmtId="0" fontId="5" fillId="0" borderId="5" xfId="0" applyFont="1" applyFill="1" applyBorder="1" applyAlignment="1">
      <alignment horizontal="left" vertical="top" wrapText="1"/>
    </xf>
    <xf numFmtId="0" fontId="15" fillId="0" borderId="5" xfId="0" applyFont="1" applyFill="1" applyBorder="1" applyAlignment="1">
      <alignment horizontal="left" vertical="top" wrapText="1"/>
    </xf>
    <xf numFmtId="0" fontId="15" fillId="0" borderId="11" xfId="0" applyFont="1" applyFill="1" applyBorder="1" applyAlignment="1">
      <alignment horizontal="left" vertical="top" wrapText="1"/>
    </xf>
    <xf numFmtId="0" fontId="16" fillId="0" borderId="4" xfId="0" applyFont="1" applyFill="1" applyBorder="1" applyAlignment="1">
      <alignment horizontal="left" vertical="top" wrapText="1"/>
    </xf>
    <xf numFmtId="0" fontId="16" fillId="4" borderId="4" xfId="0" applyFont="1" applyFill="1" applyBorder="1" applyAlignment="1">
      <alignment horizontal="left" vertical="top" wrapText="1"/>
    </xf>
    <xf numFmtId="0" fontId="16" fillId="0" borderId="26" xfId="0" applyFont="1" applyFill="1" applyBorder="1" applyAlignment="1">
      <alignment horizontal="left" vertical="top" wrapText="1"/>
    </xf>
    <xf numFmtId="0" fontId="3" fillId="2" borderId="4" xfId="0" applyFont="1" applyFill="1" applyBorder="1" applyAlignment="1">
      <alignment vertical="top" wrapText="1"/>
    </xf>
    <xf numFmtId="0" fontId="3" fillId="0" borderId="31" xfId="0" applyFont="1" applyFill="1" applyBorder="1" applyAlignment="1">
      <alignment horizontal="center" wrapText="1"/>
    </xf>
    <xf numFmtId="0" fontId="3" fillId="0" borderId="5" xfId="0" applyFont="1" applyFill="1" applyBorder="1" applyAlignment="1">
      <alignment horizontal="center" wrapText="1"/>
    </xf>
    <xf numFmtId="0" fontId="3" fillId="0" borderId="1" xfId="0" applyFont="1" applyFill="1" applyBorder="1" applyAlignment="1">
      <alignment horizontal="center" vertical="top" wrapText="1"/>
    </xf>
    <xf numFmtId="0" fontId="3" fillId="0" borderId="4" xfId="0" applyFont="1" applyFill="1" applyBorder="1" applyAlignment="1">
      <alignment horizontal="center" vertical="top" wrapText="1"/>
    </xf>
    <xf numFmtId="0" fontId="3" fillId="2" borderId="1" xfId="0" applyFont="1" applyFill="1" applyBorder="1" applyAlignment="1">
      <alignment vertical="top" wrapText="1"/>
    </xf>
    <xf numFmtId="0" fontId="22" fillId="2" borderId="4" xfId="0" applyFont="1" applyFill="1" applyBorder="1" applyAlignment="1">
      <alignment vertical="top" wrapText="1"/>
    </xf>
    <xf numFmtId="0" fontId="15" fillId="2" borderId="1" xfId="0" applyFont="1" applyFill="1" applyBorder="1" applyAlignment="1">
      <alignment horizontal="left" vertical="top" wrapText="1"/>
    </xf>
    <xf numFmtId="0" fontId="15" fillId="4" borderId="1" xfId="0" applyFont="1" applyFill="1" applyBorder="1" applyAlignment="1">
      <alignment horizontal="left" vertical="top" wrapText="1"/>
    </xf>
    <xf numFmtId="2" fontId="16" fillId="0" borderId="0" xfId="0" applyNumberFormat="1" applyFont="1" applyFill="1" applyBorder="1" applyAlignment="1">
      <alignment horizontal="left" vertical="top" wrapText="1"/>
    </xf>
    <xf numFmtId="0" fontId="3" fillId="0" borderId="16" xfId="0" applyFont="1" applyFill="1" applyBorder="1" applyAlignment="1">
      <alignment horizontal="center" wrapText="1"/>
    </xf>
    <xf numFmtId="0" fontId="3" fillId="0" borderId="16" xfId="0" applyFont="1" applyFill="1" applyBorder="1" applyAlignment="1">
      <alignment horizontal="center" vertical="top" wrapText="1"/>
    </xf>
    <xf numFmtId="0" fontId="19" fillId="0" borderId="16" xfId="0" applyFont="1" applyBorder="1" applyAlignment="1">
      <alignment horizontal="left" vertical="top" wrapText="1"/>
    </xf>
    <xf numFmtId="0" fontId="19" fillId="0" borderId="16" xfId="0" applyFont="1" applyFill="1" applyBorder="1" applyAlignment="1">
      <alignment horizontal="left" vertical="top" wrapText="1"/>
    </xf>
    <xf numFmtId="0" fontId="19" fillId="3" borderId="16" xfId="0" applyFont="1" applyFill="1" applyBorder="1" applyAlignment="1">
      <alignment horizontal="left" vertical="top" wrapText="1"/>
    </xf>
    <xf numFmtId="0" fontId="0" fillId="0" borderId="0" xfId="0" applyBorder="1" applyAlignment="1">
      <alignment horizontal="left" vertical="top"/>
    </xf>
    <xf numFmtId="0" fontId="2" fillId="0" borderId="0" xfId="0" applyFont="1" applyFill="1" applyBorder="1" applyAlignment="1">
      <alignment horizontal="left" vertical="top"/>
    </xf>
    <xf numFmtId="0" fontId="2" fillId="0" borderId="0" xfId="0" applyFont="1" applyBorder="1" applyAlignment="1">
      <alignment horizontal="left" vertical="top"/>
    </xf>
    <xf numFmtId="0" fontId="15" fillId="0" borderId="0" xfId="0" applyFont="1" applyBorder="1" applyAlignment="1">
      <alignment horizontal="left" vertical="top"/>
    </xf>
    <xf numFmtId="0" fontId="5" fillId="0" borderId="0" xfId="0" applyFont="1" applyBorder="1" applyAlignment="1">
      <alignment horizontal="left" vertical="top"/>
    </xf>
    <xf numFmtId="0" fontId="15" fillId="0" borderId="0" xfId="0" applyFont="1" applyFill="1" applyBorder="1" applyAlignment="1">
      <alignment horizontal="left" vertical="top"/>
    </xf>
    <xf numFmtId="0" fontId="2" fillId="10" borderId="0" xfId="0" applyFont="1" applyFill="1" applyAlignment="1">
      <alignment horizontal="left" vertical="top"/>
    </xf>
    <xf numFmtId="0" fontId="15" fillId="9" borderId="0" xfId="0" applyFont="1" applyFill="1" applyAlignment="1">
      <alignment horizontal="left" vertical="top"/>
    </xf>
    <xf numFmtId="0" fontId="5" fillId="7" borderId="0" xfId="0" applyFont="1" applyFill="1" applyAlignment="1">
      <alignment horizontal="left" vertical="center"/>
    </xf>
    <xf numFmtId="0" fontId="15" fillId="7" borderId="0" xfId="0" applyFont="1" applyFill="1" applyAlignment="1">
      <alignment horizontal="left" vertical="top"/>
    </xf>
    <xf numFmtId="0" fontId="23" fillId="0" borderId="0" xfId="0" applyFont="1" applyAlignment="1">
      <alignment horizontal="left" vertical="top"/>
    </xf>
    <xf numFmtId="0" fontId="5" fillId="8" borderId="0" xfId="0" applyFont="1" applyFill="1" applyBorder="1" applyAlignment="1">
      <alignment horizontal="left" vertical="top" wrapText="1"/>
    </xf>
    <xf numFmtId="0" fontId="16" fillId="7" borderId="0" xfId="0" applyFont="1" applyFill="1" applyAlignment="1">
      <alignment horizontal="left" vertical="top"/>
    </xf>
    <xf numFmtId="0" fontId="15" fillId="8" borderId="0" xfId="0" applyFont="1" applyFill="1" applyAlignment="1">
      <alignment horizontal="left" vertical="top"/>
    </xf>
    <xf numFmtId="0" fontId="16" fillId="8" borderId="0" xfId="0" applyFont="1" applyFill="1" applyAlignment="1">
      <alignment horizontal="left" vertical="top"/>
    </xf>
    <xf numFmtId="0" fontId="5" fillId="7" borderId="0" xfId="0" applyFont="1" applyFill="1" applyAlignment="1">
      <alignment horizontal="left"/>
    </xf>
    <xf numFmtId="0" fontId="5" fillId="8" borderId="0" xfId="0" applyFont="1" applyFill="1" applyAlignment="1">
      <alignment horizontal="left"/>
    </xf>
    <xf numFmtId="0" fontId="7" fillId="7" borderId="0" xfId="0" applyFont="1" applyFill="1" applyAlignment="1">
      <alignment horizontal="left" vertical="top"/>
    </xf>
    <xf numFmtId="0" fontId="0" fillId="7" borderId="0" xfId="0" applyFill="1" applyAlignment="1">
      <alignment horizontal="left" vertical="top"/>
    </xf>
    <xf numFmtId="0" fontId="0" fillId="8" borderId="0" xfId="0" applyFill="1" applyAlignment="1">
      <alignment horizontal="left" vertical="top"/>
    </xf>
    <xf numFmtId="0" fontId="2" fillId="8" borderId="0" xfId="0" applyFont="1" applyFill="1" applyAlignment="1">
      <alignment horizontal="left" vertical="top"/>
    </xf>
    <xf numFmtId="0" fontId="2" fillId="7" borderId="0" xfId="0" applyFont="1" applyFill="1" applyAlignment="1">
      <alignment horizontal="left" vertical="top"/>
    </xf>
    <xf numFmtId="0" fontId="24" fillId="0" borderId="0" xfId="0" applyFont="1" applyAlignment="1">
      <alignment horizontal="left" vertical="top"/>
    </xf>
    <xf numFmtId="0" fontId="11" fillId="0" borderId="0" xfId="0" applyFont="1" applyAlignment="1">
      <alignment horizontal="left" vertical="top"/>
    </xf>
    <xf numFmtId="0" fontId="2" fillId="13" borderId="0" xfId="0" applyFont="1" applyFill="1"/>
    <xf numFmtId="0" fontId="10" fillId="8" borderId="0" xfId="0" applyFont="1" applyFill="1" applyAlignment="1">
      <alignment horizontal="left" vertical="top"/>
    </xf>
    <xf numFmtId="0" fontId="10" fillId="8" borderId="0" xfId="0" applyFont="1" applyFill="1" applyBorder="1" applyAlignment="1">
      <alignment horizontal="left" vertical="top" wrapText="1"/>
    </xf>
    <xf numFmtId="0" fontId="11" fillId="0" borderId="51" xfId="0" applyFont="1" applyBorder="1"/>
    <xf numFmtId="0" fontId="11" fillId="0" borderId="52" xfId="0" applyFont="1" applyBorder="1" applyAlignment="1">
      <alignment horizontal="center" wrapText="1"/>
    </xf>
    <xf numFmtId="166" fontId="11" fillId="0" borderId="53" xfId="0" applyNumberFormat="1" applyFont="1" applyBorder="1" applyAlignment="1">
      <alignment horizontal="center"/>
    </xf>
    <xf numFmtId="2" fontId="11" fillId="0" borderId="51" xfId="0" applyNumberFormat="1" applyFont="1" applyBorder="1" applyAlignment="1">
      <alignment horizontal="center" wrapText="1"/>
    </xf>
    <xf numFmtId="0" fontId="11" fillId="0" borderId="54" xfId="0" applyFont="1" applyBorder="1" applyAlignment="1">
      <alignment horizontal="center"/>
    </xf>
    <xf numFmtId="2" fontId="0" fillId="0" borderId="16" xfId="0" applyNumberFormat="1" applyBorder="1" applyAlignment="1">
      <alignment horizontal="center"/>
    </xf>
    <xf numFmtId="164" fontId="0" fillId="0" borderId="16" xfId="0" applyNumberFormat="1" applyBorder="1" applyAlignment="1">
      <alignment horizontal="center"/>
    </xf>
    <xf numFmtId="166" fontId="0" fillId="0" borderId="16" xfId="0" applyNumberFormat="1" applyBorder="1"/>
    <xf numFmtId="166" fontId="4" fillId="0" borderId="16" xfId="0" applyNumberFormat="1" applyFont="1" applyBorder="1"/>
    <xf numFmtId="0" fontId="2" fillId="0" borderId="16" xfId="0" applyFont="1" applyFill="1" applyBorder="1"/>
    <xf numFmtId="166" fontId="0" fillId="0" borderId="16" xfId="0" applyNumberFormat="1" applyFill="1" applyBorder="1"/>
    <xf numFmtId="0" fontId="15" fillId="8" borderId="0" xfId="0" applyFont="1" applyFill="1" applyAlignment="1">
      <alignment horizontal="left"/>
    </xf>
    <xf numFmtId="0" fontId="25" fillId="0" borderId="0" xfId="0" applyNumberFormat="1" applyFont="1"/>
    <xf numFmtId="0" fontId="15" fillId="0" borderId="16" xfId="0" applyFont="1" applyFill="1" applyBorder="1" applyAlignment="1">
      <alignment horizontal="left" vertical="top" wrapText="1"/>
    </xf>
    <xf numFmtId="0" fontId="19" fillId="3" borderId="16" xfId="0" applyFont="1" applyFill="1" applyBorder="1" applyAlignment="1">
      <alignment horizontal="left" vertical="top" wrapText="1"/>
    </xf>
    <xf numFmtId="0" fontId="20" fillId="0" borderId="16" xfId="0" applyFont="1" applyFill="1" applyBorder="1" applyAlignment="1">
      <alignment horizontal="left" vertical="top" wrapText="1"/>
    </xf>
    <xf numFmtId="0" fontId="16" fillId="3" borderId="16" xfId="0" applyFont="1" applyFill="1" applyBorder="1" applyAlignment="1">
      <alignment horizontal="left" vertical="top" wrapText="1"/>
    </xf>
    <xf numFmtId="0" fontId="16" fillId="4" borderId="16" xfId="0" applyFont="1" applyFill="1" applyBorder="1" applyAlignment="1">
      <alignment horizontal="left" vertical="top" wrapText="1"/>
    </xf>
    <xf numFmtId="0" fontId="16" fillId="4" borderId="27" xfId="0" applyFont="1" applyFill="1" applyBorder="1" applyAlignment="1">
      <alignment horizontal="left" vertical="top" wrapText="1"/>
    </xf>
    <xf numFmtId="0" fontId="16" fillId="4" borderId="28" xfId="0" applyFont="1" applyFill="1" applyBorder="1" applyAlignment="1">
      <alignment horizontal="left" vertical="top" wrapText="1"/>
    </xf>
    <xf numFmtId="0" fontId="16" fillId="4" borderId="45" xfId="0" applyFont="1" applyFill="1" applyBorder="1" applyAlignment="1">
      <alignment horizontal="left" vertical="top" wrapText="1"/>
    </xf>
    <xf numFmtId="0" fontId="3" fillId="0" borderId="13" xfId="0" applyFont="1" applyFill="1" applyBorder="1" applyAlignment="1">
      <alignment horizontal="center" vertical="top" wrapText="1"/>
    </xf>
    <xf numFmtId="0" fontId="3" fillId="0" borderId="12" xfId="0" applyFont="1" applyFill="1" applyBorder="1" applyAlignment="1">
      <alignment horizontal="center" vertical="top" wrapText="1"/>
    </xf>
    <xf numFmtId="0" fontId="3" fillId="0" borderId="40" xfId="0" applyFont="1" applyFill="1" applyBorder="1" applyAlignment="1">
      <alignment horizontal="center" vertical="top" wrapText="1"/>
    </xf>
    <xf numFmtId="0" fontId="16" fillId="3" borderId="4" xfId="0" applyFont="1" applyFill="1" applyBorder="1" applyAlignment="1">
      <alignment horizontal="left" vertical="top" wrapText="1"/>
    </xf>
    <xf numFmtId="0" fontId="16" fillId="3" borderId="2" xfId="0" applyFont="1" applyFill="1" applyBorder="1" applyAlignment="1">
      <alignment horizontal="left" vertical="top" wrapText="1"/>
    </xf>
    <xf numFmtId="0" fontId="16" fillId="3" borderId="10" xfId="0" applyFont="1" applyFill="1" applyBorder="1" applyAlignment="1">
      <alignment horizontal="left" vertical="top" wrapText="1"/>
    </xf>
    <xf numFmtId="0" fontId="16" fillId="3" borderId="27" xfId="0" applyFont="1" applyFill="1" applyBorder="1" applyAlignment="1">
      <alignment horizontal="left" vertical="top" wrapText="1"/>
    </xf>
    <xf numFmtId="0" fontId="16" fillId="3" borderId="28" xfId="0" applyFont="1" applyFill="1" applyBorder="1" applyAlignment="1">
      <alignment horizontal="left" vertical="top" wrapText="1"/>
    </xf>
    <xf numFmtId="0" fontId="16" fillId="3" borderId="45" xfId="0" applyFont="1" applyFill="1" applyBorder="1" applyAlignment="1">
      <alignment horizontal="left" vertical="top" wrapText="1"/>
    </xf>
    <xf numFmtId="0" fontId="16" fillId="3" borderId="6" xfId="0" applyFont="1" applyFill="1" applyBorder="1" applyAlignment="1">
      <alignment horizontal="left" vertical="top" wrapText="1"/>
    </xf>
    <xf numFmtId="0" fontId="16" fillId="3" borderId="7" xfId="0" applyFont="1" applyFill="1" applyBorder="1" applyAlignment="1">
      <alignment horizontal="left" vertical="top" wrapText="1"/>
    </xf>
    <xf numFmtId="0" fontId="16" fillId="3" borderId="44" xfId="0" applyFont="1" applyFill="1" applyBorder="1" applyAlignment="1">
      <alignment horizontal="left" vertical="top" wrapText="1"/>
    </xf>
    <xf numFmtId="0" fontId="20" fillId="0" borderId="4" xfId="0" applyFont="1" applyFill="1" applyBorder="1" applyAlignment="1">
      <alignment horizontal="left" vertical="top" wrapText="1"/>
    </xf>
    <xf numFmtId="0" fontId="20" fillId="0" borderId="2" xfId="0" applyFont="1" applyFill="1" applyBorder="1" applyAlignment="1">
      <alignment horizontal="left" vertical="top" wrapText="1"/>
    </xf>
    <xf numFmtId="0" fontId="20" fillId="0" borderId="10" xfId="0" applyFont="1" applyFill="1" applyBorder="1" applyAlignment="1">
      <alignment horizontal="left" vertical="top" wrapText="1"/>
    </xf>
    <xf numFmtId="0" fontId="16" fillId="4" borderId="4" xfId="0" applyFont="1" applyFill="1" applyBorder="1" applyAlignment="1">
      <alignment horizontal="left" vertical="top" wrapText="1"/>
    </xf>
    <xf numFmtId="0" fontId="16" fillId="4" borderId="2" xfId="0" applyFont="1" applyFill="1" applyBorder="1" applyAlignment="1">
      <alignment horizontal="left" vertical="top" wrapText="1"/>
    </xf>
    <xf numFmtId="0" fontId="16" fillId="4" borderId="10" xfId="0" applyFont="1" applyFill="1" applyBorder="1" applyAlignment="1">
      <alignment horizontal="left" vertical="top" wrapText="1"/>
    </xf>
    <xf numFmtId="0" fontId="20" fillId="0" borderId="27" xfId="0" applyFont="1" applyFill="1" applyBorder="1" applyAlignment="1">
      <alignment horizontal="left" vertical="top" wrapText="1"/>
    </xf>
    <xf numFmtId="0" fontId="20" fillId="0" borderId="28" xfId="0" applyFont="1" applyFill="1" applyBorder="1" applyAlignment="1">
      <alignment horizontal="left" vertical="top" wrapText="1"/>
    </xf>
    <xf numFmtId="0" fontId="20" fillId="0" borderId="45" xfId="0" applyFont="1" applyFill="1" applyBorder="1" applyAlignment="1">
      <alignment horizontal="left" vertical="top" wrapText="1"/>
    </xf>
    <xf numFmtId="0" fontId="3" fillId="0" borderId="13" xfId="0" applyFont="1" applyFill="1" applyBorder="1" applyAlignment="1">
      <alignment horizontal="left" wrapText="1"/>
    </xf>
    <xf numFmtId="0" fontId="3" fillId="0" borderId="12" xfId="0" applyFont="1" applyFill="1" applyBorder="1" applyAlignment="1">
      <alignment horizontal="left" wrapText="1"/>
    </xf>
    <xf numFmtId="0" fontId="3" fillId="0" borderId="40" xfId="0" applyFont="1" applyFill="1" applyBorder="1" applyAlignment="1">
      <alignment horizontal="left" wrapText="1"/>
    </xf>
    <xf numFmtId="0" fontId="3" fillId="0" borderId="36" xfId="0" applyFont="1" applyFill="1" applyBorder="1" applyAlignment="1">
      <alignment vertical="top" wrapText="1"/>
    </xf>
    <xf numFmtId="0" fontId="3" fillId="0" borderId="28" xfId="0" applyFont="1" applyFill="1" applyBorder="1" applyAlignment="1">
      <alignment vertical="top" wrapText="1"/>
    </xf>
    <xf numFmtId="0" fontId="3" fillId="0" borderId="45" xfId="0" applyFont="1" applyFill="1" applyBorder="1" applyAlignment="1">
      <alignment vertical="top" wrapText="1"/>
    </xf>
    <xf numFmtId="0" fontId="3" fillId="0" borderId="39" xfId="0" applyFont="1" applyFill="1" applyBorder="1" applyAlignment="1">
      <alignment vertical="top" wrapText="1"/>
    </xf>
    <xf numFmtId="0" fontId="3" fillId="0" borderId="7" xfId="0" applyFont="1" applyFill="1" applyBorder="1" applyAlignment="1">
      <alignment vertical="top" wrapText="1"/>
    </xf>
    <xf numFmtId="0" fontId="3" fillId="0" borderId="44" xfId="0" applyFont="1" applyFill="1" applyBorder="1" applyAlignment="1">
      <alignment vertical="top" wrapText="1"/>
    </xf>
    <xf numFmtId="0" fontId="3" fillId="0" borderId="18" xfId="0" applyFont="1" applyFill="1" applyBorder="1" applyAlignment="1">
      <alignment horizontal="left" wrapText="1"/>
    </xf>
    <xf numFmtId="0" fontId="3" fillId="0" borderId="20" xfId="0" applyFont="1" applyFill="1" applyBorder="1" applyAlignment="1">
      <alignment horizontal="left" wrapText="1"/>
    </xf>
    <xf numFmtId="0" fontId="3" fillId="0" borderId="48" xfId="0" applyFont="1" applyFill="1" applyBorder="1" applyAlignment="1">
      <alignment horizontal="left" wrapText="1"/>
    </xf>
    <xf numFmtId="0" fontId="3" fillId="0" borderId="16" xfId="0" applyFont="1" applyFill="1" applyBorder="1" applyAlignment="1">
      <alignment vertical="top" wrapText="1"/>
    </xf>
    <xf numFmtId="0" fontId="16" fillId="0" borderId="4" xfId="0" applyFont="1" applyFill="1" applyBorder="1" applyAlignment="1">
      <alignment horizontal="left" vertical="top" wrapText="1"/>
    </xf>
    <xf numFmtId="0" fontId="16" fillId="0" borderId="2" xfId="0" applyFont="1" applyFill="1" applyBorder="1" applyAlignment="1">
      <alignment horizontal="left" vertical="top" wrapText="1"/>
    </xf>
    <xf numFmtId="0" fontId="16" fillId="0" borderId="10" xfId="0" applyFont="1" applyFill="1" applyBorder="1" applyAlignment="1">
      <alignment horizontal="left" vertical="top" wrapText="1"/>
    </xf>
    <xf numFmtId="0" fontId="16" fillId="0" borderId="26" xfId="0" applyFont="1" applyFill="1" applyBorder="1" applyAlignment="1">
      <alignment horizontal="left" vertical="top" wrapText="1"/>
    </xf>
    <xf numFmtId="0" fontId="16" fillId="0" borderId="25" xfId="0" applyFont="1" applyFill="1" applyBorder="1" applyAlignment="1">
      <alignment horizontal="left" vertical="top" wrapText="1"/>
    </xf>
    <xf numFmtId="0" fontId="16" fillId="0" borderId="29" xfId="0" applyFont="1" applyFill="1" applyBorder="1" applyAlignment="1">
      <alignment horizontal="left" vertical="top" wrapText="1"/>
    </xf>
    <xf numFmtId="0" fontId="16" fillId="0" borderId="30" xfId="0" applyFont="1" applyBorder="1" applyAlignment="1">
      <alignment horizontal="left" vertical="top" wrapText="1"/>
    </xf>
    <xf numFmtId="0" fontId="16" fillId="0" borderId="2" xfId="0" applyFont="1" applyBorder="1" applyAlignment="1">
      <alignment horizontal="left" vertical="top" wrapText="1"/>
    </xf>
    <xf numFmtId="0" fontId="16" fillId="0" borderId="10" xfId="0" applyFont="1" applyBorder="1" applyAlignment="1">
      <alignment horizontal="left" vertical="top" wrapText="1"/>
    </xf>
    <xf numFmtId="0" fontId="16" fillId="0" borderId="30" xfId="0" applyFont="1" applyFill="1" applyBorder="1" applyAlignment="1">
      <alignment horizontal="left" vertical="top" wrapText="1"/>
    </xf>
    <xf numFmtId="0" fontId="16" fillId="0" borderId="32" xfId="0" applyFont="1" applyFill="1" applyBorder="1" applyAlignment="1">
      <alignment horizontal="left" vertical="top" wrapText="1"/>
    </xf>
    <xf numFmtId="0" fontId="16" fillId="0" borderId="33" xfId="0" applyFont="1" applyFill="1" applyBorder="1" applyAlignment="1">
      <alignment horizontal="left" vertical="top" wrapText="1"/>
    </xf>
    <xf numFmtId="0" fontId="16" fillId="0" borderId="34" xfId="0" applyFont="1" applyFill="1" applyBorder="1" applyAlignment="1">
      <alignment horizontal="left" vertical="top" wrapText="1"/>
    </xf>
    <xf numFmtId="0" fontId="16" fillId="0" borderId="13" xfId="0" applyFont="1" applyFill="1" applyBorder="1" applyAlignment="1">
      <alignment horizontal="left" vertical="top" wrapText="1"/>
    </xf>
    <xf numFmtId="0" fontId="16" fillId="0" borderId="12" xfId="0" applyFont="1" applyFill="1" applyBorder="1" applyAlignment="1">
      <alignment horizontal="left" vertical="top" wrapText="1"/>
    </xf>
    <xf numFmtId="0" fontId="16" fillId="0" borderId="40" xfId="0" applyFont="1" applyFill="1" applyBorder="1" applyAlignment="1">
      <alignment horizontal="left" vertical="top" wrapText="1"/>
    </xf>
    <xf numFmtId="0" fontId="16" fillId="0" borderId="26" xfId="0" applyFont="1" applyBorder="1" applyAlignment="1">
      <alignment horizontal="left" vertical="top" wrapText="1"/>
    </xf>
    <xf numFmtId="0" fontId="16" fillId="0" borderId="25" xfId="0" applyFont="1" applyBorder="1" applyAlignment="1">
      <alignment horizontal="left" vertical="top" wrapText="1"/>
    </xf>
    <xf numFmtId="0" fontId="16" fillId="0" borderId="29" xfId="0" applyFont="1" applyBorder="1" applyAlignment="1">
      <alignment horizontal="left" vertical="top" wrapText="1"/>
    </xf>
    <xf numFmtId="0" fontId="16" fillId="0" borderId="13" xfId="0" applyFont="1" applyBorder="1" applyAlignment="1">
      <alignment horizontal="left" vertical="top" wrapText="1"/>
    </xf>
    <xf numFmtId="0" fontId="16" fillId="0" borderId="12" xfId="0" applyFont="1" applyBorder="1" applyAlignment="1">
      <alignment horizontal="left" vertical="top" wrapText="1"/>
    </xf>
    <xf numFmtId="0" fontId="16" fillId="0" borderId="40" xfId="0" applyFont="1" applyBorder="1" applyAlignment="1">
      <alignment horizontal="left" vertical="top" wrapText="1"/>
    </xf>
    <xf numFmtId="0" fontId="16" fillId="0" borderId="32" xfId="0" applyFont="1" applyBorder="1" applyAlignment="1">
      <alignment horizontal="left" vertical="top" wrapText="1"/>
    </xf>
    <xf numFmtId="0" fontId="16" fillId="0" borderId="33" xfId="0" applyFont="1" applyBorder="1" applyAlignment="1">
      <alignment horizontal="left" vertical="top" wrapText="1"/>
    </xf>
    <xf numFmtId="0" fontId="16" fillId="0" borderId="34" xfId="0" applyFont="1" applyBorder="1" applyAlignment="1">
      <alignment horizontal="left" vertical="top" wrapText="1"/>
    </xf>
    <xf numFmtId="0" fontId="16" fillId="0" borderId="39" xfId="0" applyFont="1" applyFill="1" applyBorder="1" applyAlignment="1">
      <alignment horizontal="left" vertical="top" wrapText="1"/>
    </xf>
    <xf numFmtId="0" fontId="16" fillId="0" borderId="7" xfId="0" applyFont="1" applyFill="1" applyBorder="1" applyAlignment="1">
      <alignment horizontal="left" vertical="top" wrapText="1"/>
    </xf>
    <xf numFmtId="0" fontId="16" fillId="0" borderId="44" xfId="0" applyFont="1" applyFill="1" applyBorder="1" applyAlignment="1">
      <alignment horizontal="left" vertical="top" wrapText="1"/>
    </xf>
    <xf numFmtId="0" fontId="16" fillId="0" borderId="36" xfId="0" applyFont="1" applyFill="1" applyBorder="1" applyAlignment="1">
      <alignment horizontal="left" vertical="top" wrapText="1"/>
    </xf>
    <xf numFmtId="0" fontId="16" fillId="0" borderId="28" xfId="0" applyFont="1" applyFill="1" applyBorder="1" applyAlignment="1">
      <alignment horizontal="left" vertical="top" wrapText="1"/>
    </xf>
    <xf numFmtId="0" fontId="16" fillId="0" borderId="45" xfId="0" applyFont="1" applyFill="1" applyBorder="1" applyAlignment="1">
      <alignment horizontal="left" vertical="top" wrapText="1"/>
    </xf>
    <xf numFmtId="0" fontId="16" fillId="0" borderId="18" xfId="0" applyFont="1" applyFill="1" applyBorder="1" applyAlignment="1">
      <alignment horizontal="left" vertical="top" wrapText="1"/>
    </xf>
    <xf numFmtId="0" fontId="16" fillId="0" borderId="20" xfId="0" applyFont="1" applyFill="1" applyBorder="1" applyAlignment="1">
      <alignment horizontal="left" vertical="top" wrapText="1"/>
    </xf>
    <xf numFmtId="0" fontId="16" fillId="0" borderId="48" xfId="0" applyFont="1" applyFill="1" applyBorder="1" applyAlignment="1">
      <alignment horizontal="left" vertical="top" wrapText="1"/>
    </xf>
    <xf numFmtId="0" fontId="16" fillId="0" borderId="16" xfId="0" applyFont="1" applyFill="1" applyBorder="1" applyAlignment="1">
      <alignment horizontal="left" vertical="top" wrapText="1"/>
    </xf>
    <xf numFmtId="0" fontId="16" fillId="0" borderId="47" xfId="0" applyFont="1" applyFill="1" applyBorder="1" applyAlignment="1">
      <alignment horizontal="left" vertical="top" wrapText="1"/>
    </xf>
    <xf numFmtId="0" fontId="16" fillId="0" borderId="35" xfId="0" applyFont="1" applyFill="1" applyBorder="1" applyAlignment="1">
      <alignment horizontal="left" vertical="top" wrapText="1"/>
    </xf>
    <xf numFmtId="0" fontId="16" fillId="0" borderId="21" xfId="0" applyFont="1" applyFill="1" applyBorder="1" applyAlignment="1">
      <alignment horizontal="left" vertical="top" wrapText="1"/>
    </xf>
    <xf numFmtId="0" fontId="16" fillId="0" borderId="46" xfId="0" applyFont="1" applyFill="1" applyBorder="1" applyAlignment="1">
      <alignment horizontal="left" vertical="top" wrapText="1"/>
    </xf>
    <xf numFmtId="0" fontId="16" fillId="0" borderId="19" xfId="0" applyFont="1" applyFill="1" applyBorder="1" applyAlignment="1">
      <alignment horizontal="left" vertical="top" wrapText="1"/>
    </xf>
    <xf numFmtId="0" fontId="16" fillId="0" borderId="43" xfId="0" applyFont="1" applyFill="1" applyBorder="1" applyAlignment="1">
      <alignment horizontal="left" vertical="top" wrapText="1"/>
    </xf>
    <xf numFmtId="0" fontId="16" fillId="0" borderId="27" xfId="0" applyFont="1" applyFill="1" applyBorder="1" applyAlignment="1">
      <alignment horizontal="left" vertical="top" wrapText="1"/>
    </xf>
    <xf numFmtId="0" fontId="16" fillId="0" borderId="6" xfId="0" applyFont="1" applyFill="1" applyBorder="1" applyAlignment="1">
      <alignment horizontal="left" vertical="top" wrapText="1"/>
    </xf>
    <xf numFmtId="0" fontId="17" fillId="0" borderId="25" xfId="0" applyFont="1" applyFill="1" applyBorder="1" applyAlignment="1">
      <alignment horizontal="left" vertical="top" wrapText="1"/>
    </xf>
    <xf numFmtId="0" fontId="17" fillId="0" borderId="29" xfId="0" applyFont="1" applyFill="1" applyBorder="1" applyAlignment="1">
      <alignment horizontal="left" vertical="top" wrapText="1"/>
    </xf>
    <xf numFmtId="0" fontId="16" fillId="0" borderId="42" xfId="0" applyFont="1" applyFill="1" applyBorder="1" applyAlignment="1">
      <alignment horizontal="left" vertical="top" wrapText="1"/>
    </xf>
    <xf numFmtId="0" fontId="5" fillId="3" borderId="27" xfId="0" applyFont="1" applyFill="1" applyBorder="1" applyAlignment="1">
      <alignment horizontal="left" vertical="top" wrapText="1"/>
    </xf>
    <xf numFmtId="0" fontId="5" fillId="3" borderId="28" xfId="0" applyFont="1" applyFill="1" applyBorder="1" applyAlignment="1">
      <alignment horizontal="left" vertical="top" wrapText="1"/>
    </xf>
    <xf numFmtId="0" fontId="5" fillId="3" borderId="45"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10" xfId="0" applyFont="1" applyFill="1" applyBorder="1" applyAlignment="1">
      <alignment horizontal="left" vertical="top" wrapText="1"/>
    </xf>
    <xf numFmtId="0" fontId="5" fillId="0" borderId="27" xfId="0" applyFont="1" applyFill="1" applyBorder="1" applyAlignment="1">
      <alignment horizontal="left" vertical="top" wrapText="1"/>
    </xf>
    <xf numFmtId="0" fontId="5" fillId="0" borderId="28" xfId="0" applyFont="1" applyFill="1" applyBorder="1" applyAlignment="1">
      <alignment horizontal="left" vertical="top" wrapText="1"/>
    </xf>
    <xf numFmtId="0" fontId="5" fillId="0" borderId="45" xfId="0" applyFont="1" applyFill="1" applyBorder="1" applyAlignment="1">
      <alignment horizontal="left" vertical="top" wrapText="1"/>
    </xf>
    <xf numFmtId="0" fontId="16" fillId="0" borderId="4" xfId="0" applyFont="1" applyBorder="1" applyAlignment="1">
      <alignment horizontal="left" vertical="top" wrapText="1"/>
    </xf>
    <xf numFmtId="1" fontId="16" fillId="3" borderId="6" xfId="0" applyNumberFormat="1" applyFont="1" applyFill="1" applyBorder="1" applyAlignment="1">
      <alignment horizontal="left" vertical="top" wrapText="1"/>
    </xf>
    <xf numFmtId="1" fontId="16" fillId="3" borderId="7" xfId="0" applyNumberFormat="1" applyFont="1" applyFill="1" applyBorder="1" applyAlignment="1">
      <alignment horizontal="left" vertical="top" wrapText="1"/>
    </xf>
    <xf numFmtId="1" fontId="16" fillId="3" borderId="44" xfId="0" applyNumberFormat="1" applyFont="1" applyFill="1" applyBorder="1" applyAlignment="1">
      <alignment horizontal="left" vertical="top" wrapText="1"/>
    </xf>
    <xf numFmtId="0" fontId="3" fillId="0" borderId="16" xfId="0" applyFont="1" applyFill="1" applyBorder="1" applyAlignment="1">
      <alignment horizontal="left" wrapText="1"/>
    </xf>
    <xf numFmtId="0" fontId="19" fillId="0" borderId="16" xfId="0" applyFont="1" applyFill="1" applyBorder="1" applyAlignment="1">
      <alignment horizontal="left" vertical="top" wrapText="1"/>
    </xf>
    <xf numFmtId="0" fontId="21" fillId="0" borderId="26" xfId="0" applyFont="1" applyFill="1" applyBorder="1" applyAlignment="1">
      <alignment horizontal="center" vertical="top" wrapText="1"/>
    </xf>
    <xf numFmtId="0" fontId="21" fillId="0" borderId="25" xfId="0" applyFont="1" applyFill="1" applyBorder="1" applyAlignment="1">
      <alignment horizontal="center" vertical="top" wrapText="1"/>
    </xf>
    <xf numFmtId="0" fontId="21" fillId="0" borderId="29" xfId="0" applyFont="1" applyFill="1" applyBorder="1" applyAlignment="1">
      <alignment horizontal="center" vertical="top" wrapText="1"/>
    </xf>
    <xf numFmtId="0" fontId="15" fillId="4" borderId="4" xfId="0" applyFont="1" applyFill="1" applyBorder="1" applyAlignment="1">
      <alignment horizontal="left" vertical="top" wrapText="1"/>
    </xf>
    <xf numFmtId="0" fontId="15" fillId="4" borderId="2" xfId="0" applyFont="1" applyFill="1" applyBorder="1" applyAlignment="1">
      <alignment horizontal="left" vertical="top" wrapText="1"/>
    </xf>
    <xf numFmtId="0" fontId="15" fillId="4" borderId="10" xfId="0" applyFont="1" applyFill="1" applyBorder="1" applyAlignment="1">
      <alignment horizontal="left" vertical="top" wrapText="1"/>
    </xf>
    <xf numFmtId="0" fontId="21" fillId="0" borderId="13" xfId="0" applyFont="1" applyFill="1" applyBorder="1" applyAlignment="1">
      <alignment horizontal="center" vertical="top" wrapText="1"/>
    </xf>
    <xf numFmtId="0" fontId="21" fillId="0" borderId="12" xfId="0" applyFont="1" applyFill="1" applyBorder="1" applyAlignment="1">
      <alignment horizontal="center" vertical="top" wrapText="1"/>
    </xf>
    <xf numFmtId="0" fontId="21" fillId="0" borderId="40" xfId="0" applyFont="1" applyFill="1" applyBorder="1" applyAlignment="1">
      <alignment horizontal="center" vertical="top" wrapText="1"/>
    </xf>
    <xf numFmtId="0" fontId="22" fillId="0" borderId="13" xfId="0" applyFont="1" applyFill="1" applyBorder="1" applyAlignment="1">
      <alignment horizontal="center" vertical="top" wrapText="1"/>
    </xf>
    <xf numFmtId="0" fontId="22" fillId="0" borderId="12" xfId="0" applyFont="1" applyFill="1" applyBorder="1" applyAlignment="1">
      <alignment horizontal="center" vertical="top" wrapText="1"/>
    </xf>
    <xf numFmtId="0" fontId="22" fillId="0" borderId="40" xfId="0" applyFont="1" applyFill="1" applyBorder="1" applyAlignment="1">
      <alignment horizontal="center" vertical="top" wrapText="1"/>
    </xf>
  </cellXfs>
  <cellStyles count="1">
    <cellStyle name="Normal" xfId="0" builtinId="0"/>
  </cellStyles>
  <dxfs count="0"/>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495"/>
  <sheetViews>
    <sheetView zoomScaleNormal="100" workbookViewId="0">
      <pane ySplit="1" topLeftCell="A471" activePane="bottomLeft" state="frozen"/>
      <selection pane="bottomLeft" activeCell="C477" sqref="C477:J477"/>
    </sheetView>
  </sheetViews>
  <sheetFormatPr defaultColWidth="9.140625" defaultRowHeight="12.75" x14ac:dyDescent="0.2"/>
  <cols>
    <col min="1" max="2" width="9.140625" style="37"/>
    <col min="3" max="3" width="10.7109375" style="37" customWidth="1"/>
    <col min="4" max="4" width="9.140625" style="37"/>
    <col min="5" max="5" width="11.42578125" style="37" bestFit="1" customWidth="1"/>
    <col min="6" max="9" width="9.140625" style="37"/>
    <col min="10" max="10" width="10" style="37" bestFit="1" customWidth="1"/>
    <col min="11" max="11" width="9.42578125" style="37" customWidth="1"/>
    <col min="12" max="12" width="11.42578125" style="37" bestFit="1" customWidth="1"/>
    <col min="13" max="13" width="10.140625" style="37" bestFit="1" customWidth="1"/>
    <col min="14" max="15" width="9.140625" style="37"/>
    <col min="16" max="16" width="16.5703125" style="42" bestFit="1" customWidth="1"/>
    <col min="17" max="17" width="10.140625" style="42" bestFit="1" customWidth="1"/>
    <col min="18" max="18" width="9.140625" style="25" customWidth="1"/>
    <col min="19" max="19" width="32.42578125" style="24" bestFit="1" customWidth="1"/>
    <col min="20" max="20" width="9.140625" style="24" customWidth="1"/>
    <col min="21" max="21" width="17.42578125" style="24" customWidth="1"/>
    <col min="22" max="22" width="7.7109375" style="23" customWidth="1"/>
    <col min="23" max="16384" width="9.140625" style="23"/>
  </cols>
  <sheetData>
    <row r="1" spans="1:22" ht="48.75" x14ac:dyDescent="0.2">
      <c r="B1" s="38"/>
      <c r="C1" s="38" t="s">
        <v>0</v>
      </c>
      <c r="D1" s="38" t="s">
        <v>1</v>
      </c>
      <c r="E1" s="38" t="s">
        <v>2</v>
      </c>
      <c r="F1" s="38" t="s">
        <v>3</v>
      </c>
      <c r="G1" s="38" t="s">
        <v>4</v>
      </c>
      <c r="H1" s="38" t="s">
        <v>5</v>
      </c>
      <c r="I1" s="38" t="s">
        <v>6</v>
      </c>
      <c r="J1" s="38" t="s">
        <v>7</v>
      </c>
      <c r="K1" s="39" t="s">
        <v>14</v>
      </c>
      <c r="L1" s="40" t="s">
        <v>2</v>
      </c>
      <c r="M1" s="40" t="s">
        <v>3</v>
      </c>
      <c r="N1" s="40" t="s">
        <v>6</v>
      </c>
      <c r="O1" s="40" t="s">
        <v>7</v>
      </c>
      <c r="P1" s="41" t="s">
        <v>12</v>
      </c>
    </row>
    <row r="2" spans="1:22" x14ac:dyDescent="0.2">
      <c r="K2" s="43"/>
      <c r="L2" s="44"/>
      <c r="M2" s="44"/>
      <c r="N2" s="44"/>
      <c r="O2" s="44"/>
      <c r="P2" s="45"/>
    </row>
    <row r="3" spans="1:22" ht="54.75" customHeight="1" x14ac:dyDescent="0.2">
      <c r="A3" s="37">
        <v>1</v>
      </c>
      <c r="B3" s="47" t="s">
        <v>8</v>
      </c>
      <c r="C3" s="232" t="s">
        <v>50</v>
      </c>
      <c r="D3" s="233"/>
      <c r="E3" s="233"/>
      <c r="F3" s="233"/>
      <c r="G3" s="233"/>
      <c r="H3" s="233"/>
      <c r="I3" s="233"/>
      <c r="J3" s="234"/>
      <c r="K3" s="48"/>
      <c r="L3" s="49"/>
      <c r="M3" s="49"/>
      <c r="N3" s="49"/>
      <c r="O3" s="49"/>
      <c r="P3" s="50"/>
      <c r="Q3" s="51"/>
      <c r="S3" s="25"/>
      <c r="T3" s="25"/>
      <c r="U3" s="25"/>
      <c r="V3" s="26"/>
    </row>
    <row r="4" spans="1:22" ht="22.5" x14ac:dyDescent="0.2">
      <c r="A4" s="46"/>
      <c r="B4" s="47" t="s">
        <v>9</v>
      </c>
      <c r="C4" s="235" t="s">
        <v>94</v>
      </c>
      <c r="D4" s="236"/>
      <c r="E4" s="236"/>
      <c r="F4" s="236"/>
      <c r="G4" s="236"/>
      <c r="H4" s="236"/>
      <c r="I4" s="236"/>
      <c r="J4" s="237"/>
      <c r="K4" s="52"/>
      <c r="L4" s="49"/>
      <c r="M4" s="49"/>
      <c r="N4" s="49"/>
      <c r="O4" s="49"/>
      <c r="P4" s="53"/>
      <c r="Q4" s="51"/>
      <c r="S4" s="28" t="s">
        <v>294</v>
      </c>
      <c r="T4" s="28">
        <f>Q5/R5</f>
        <v>1.0156264236902051</v>
      </c>
      <c r="U4" s="25"/>
      <c r="V4" s="26"/>
    </row>
    <row r="5" spans="1:22" x14ac:dyDescent="0.2">
      <c r="B5" s="47"/>
      <c r="C5" s="54">
        <v>5</v>
      </c>
      <c r="D5" s="55">
        <v>4.5</v>
      </c>
      <c r="E5" s="55">
        <f>D5/C5</f>
        <v>0.9</v>
      </c>
      <c r="F5" s="55">
        <v>0</v>
      </c>
      <c r="G5" s="55"/>
      <c r="H5" s="56"/>
      <c r="I5" s="57">
        <v>1.1599999999999999</v>
      </c>
      <c r="J5" s="58">
        <v>2.6339999999999999</v>
      </c>
      <c r="K5" s="59">
        <f>I5/(0.2*J5)</f>
        <v>2.201974183750949</v>
      </c>
      <c r="L5" s="60">
        <f>E5</f>
        <v>0.9</v>
      </c>
      <c r="M5" s="60">
        <f>F5</f>
        <v>0</v>
      </c>
      <c r="N5" s="60">
        <f>I5</f>
        <v>1.1599999999999999</v>
      </c>
      <c r="O5" s="60">
        <f>J5</f>
        <v>2.6339999999999999</v>
      </c>
      <c r="P5" s="61">
        <f>3*((D5*SQRT(1+F5))/(C5))*(1+2*N5/O5)</f>
        <v>5.0781321184510251</v>
      </c>
      <c r="Q5" s="56">
        <f>P5</f>
        <v>5.0781321184510251</v>
      </c>
      <c r="R5" s="22">
        <v>5</v>
      </c>
      <c r="S5" s="27" t="s">
        <v>186</v>
      </c>
      <c r="T5" s="27">
        <f>Q5/R5</f>
        <v>1.0156264236902051</v>
      </c>
      <c r="U5" s="27">
        <f>T5</f>
        <v>1.0156264236902051</v>
      </c>
      <c r="V5" s="26"/>
    </row>
    <row r="6" spans="1:22" x14ac:dyDescent="0.2">
      <c r="B6" s="47" t="s">
        <v>10</v>
      </c>
      <c r="C6" s="238" t="s">
        <v>95</v>
      </c>
      <c r="D6" s="239"/>
      <c r="E6" s="239"/>
      <c r="F6" s="239"/>
      <c r="G6" s="239"/>
      <c r="H6" s="239"/>
      <c r="I6" s="239"/>
      <c r="J6" s="240"/>
      <c r="K6" s="62"/>
      <c r="L6" s="49"/>
      <c r="M6" s="49"/>
      <c r="N6" s="49"/>
      <c r="O6" s="49"/>
      <c r="P6" s="63"/>
      <c r="Q6" s="51"/>
      <c r="S6" s="27" t="s">
        <v>187</v>
      </c>
      <c r="T6" s="27">
        <f>Q5/R5</f>
        <v>1.0156264236902051</v>
      </c>
      <c r="U6" s="27">
        <f>T6</f>
        <v>1.0156264236902051</v>
      </c>
      <c r="V6" s="26"/>
    </row>
    <row r="7" spans="1:22" ht="27.6" customHeight="1" x14ac:dyDescent="0.2">
      <c r="B7" s="47" t="s">
        <v>11</v>
      </c>
      <c r="C7" s="263"/>
      <c r="D7" s="264"/>
      <c r="E7" s="264"/>
      <c r="F7" s="264"/>
      <c r="G7" s="264"/>
      <c r="H7" s="264"/>
      <c r="I7" s="264"/>
      <c r="J7" s="265"/>
      <c r="K7" s="48"/>
      <c r="L7" s="49"/>
      <c r="M7" s="49"/>
      <c r="N7" s="49"/>
      <c r="O7" s="49"/>
      <c r="P7" s="64"/>
      <c r="Q7" s="51"/>
      <c r="S7" s="28" t="s">
        <v>295</v>
      </c>
      <c r="T7" s="28">
        <f>Q5/R5</f>
        <v>1.0156264236902051</v>
      </c>
      <c r="U7" s="25"/>
      <c r="V7" s="26"/>
    </row>
    <row r="8" spans="1:22" x14ac:dyDescent="0.2">
      <c r="B8" s="47"/>
      <c r="C8" s="232"/>
      <c r="D8" s="233"/>
      <c r="E8" s="233"/>
      <c r="F8" s="233"/>
      <c r="G8" s="233"/>
      <c r="H8" s="233"/>
      <c r="I8" s="233"/>
      <c r="J8" s="234"/>
      <c r="K8" s="48"/>
      <c r="L8" s="49"/>
      <c r="M8" s="49"/>
      <c r="N8" s="49"/>
      <c r="O8" s="49"/>
      <c r="P8" s="64"/>
      <c r="Q8" s="51"/>
      <c r="S8" s="27" t="s">
        <v>15</v>
      </c>
      <c r="T8" s="27">
        <f>Q5/R5</f>
        <v>1.0156264236902051</v>
      </c>
      <c r="U8" s="27">
        <f>T4+T7+T8</f>
        <v>3.0468792710706154</v>
      </c>
      <c r="V8" s="26"/>
    </row>
    <row r="9" spans="1:22" x14ac:dyDescent="0.2">
      <c r="B9" s="65"/>
      <c r="C9" s="244"/>
      <c r="D9" s="245"/>
      <c r="E9" s="245"/>
      <c r="F9" s="245"/>
      <c r="G9" s="245"/>
      <c r="H9" s="245"/>
      <c r="I9" s="245"/>
      <c r="J9" s="246"/>
      <c r="K9" s="48"/>
      <c r="L9" s="49"/>
      <c r="M9" s="49"/>
      <c r="N9" s="49"/>
      <c r="O9" s="49"/>
      <c r="P9" s="64"/>
      <c r="Q9" s="51"/>
      <c r="S9" s="25"/>
      <c r="T9" s="25"/>
      <c r="U9" s="25"/>
      <c r="V9" s="26"/>
    </row>
    <row r="10" spans="1:22" ht="43.5" customHeight="1" x14ac:dyDescent="0.2">
      <c r="A10" s="37">
        <v>2</v>
      </c>
      <c r="B10" s="47" t="s">
        <v>8</v>
      </c>
      <c r="C10" s="232" t="s">
        <v>51</v>
      </c>
      <c r="D10" s="233"/>
      <c r="E10" s="233"/>
      <c r="F10" s="233"/>
      <c r="G10" s="233"/>
      <c r="H10" s="233"/>
      <c r="I10" s="233"/>
      <c r="J10" s="234"/>
      <c r="K10" s="48"/>
      <c r="L10" s="49"/>
      <c r="M10" s="49"/>
      <c r="N10" s="49"/>
      <c r="O10" s="49"/>
      <c r="P10" s="64"/>
      <c r="Q10" s="51"/>
      <c r="S10" s="25"/>
      <c r="T10" s="25"/>
      <c r="U10" s="25"/>
      <c r="V10" s="26"/>
    </row>
    <row r="11" spans="1:22" ht="24.75" customHeight="1" x14ac:dyDescent="0.2">
      <c r="B11" s="47" t="s">
        <v>9</v>
      </c>
      <c r="C11" s="304" t="s">
        <v>99</v>
      </c>
      <c r="D11" s="292"/>
      <c r="E11" s="292"/>
      <c r="F11" s="292"/>
      <c r="G11" s="292"/>
      <c r="H11" s="292"/>
      <c r="I11" s="292"/>
      <c r="J11" s="293"/>
      <c r="K11" s="52"/>
      <c r="L11" s="49"/>
      <c r="M11" s="49"/>
      <c r="N11" s="49"/>
      <c r="O11" s="49"/>
      <c r="P11" s="66"/>
      <c r="Q11" s="51"/>
      <c r="S11" s="30" t="s">
        <v>322</v>
      </c>
      <c r="T11" s="30">
        <f>Q12/R12</f>
        <v>1.8318721466135539</v>
      </c>
      <c r="U11" s="31"/>
      <c r="V11" s="26"/>
    </row>
    <row r="12" spans="1:22" x14ac:dyDescent="0.2">
      <c r="B12" s="47"/>
      <c r="C12" s="67">
        <v>7</v>
      </c>
      <c r="D12" s="68">
        <v>3</v>
      </c>
      <c r="E12" s="68">
        <f>D12/C12</f>
        <v>0.42857142857142855</v>
      </c>
      <c r="F12" s="68">
        <v>1</v>
      </c>
      <c r="G12" s="68"/>
      <c r="H12" s="69"/>
      <c r="I12" s="69">
        <v>3.0649999999999999</v>
      </c>
      <c r="J12" s="70">
        <v>3.0310000000000001</v>
      </c>
      <c r="K12" s="59">
        <f>I12/(0.2*J12)</f>
        <v>5.0560870999670069</v>
      </c>
      <c r="L12" s="60">
        <f>E12</f>
        <v>0.42857142857142855</v>
      </c>
      <c r="M12" s="60">
        <f>F12</f>
        <v>1</v>
      </c>
      <c r="N12" s="60">
        <f>I12</f>
        <v>3.0649999999999999</v>
      </c>
      <c r="O12" s="71">
        <f>J12</f>
        <v>3.0310000000000001</v>
      </c>
      <c r="P12" s="72">
        <f>3*((D12*SQRT(1+F12))/(C12))*(1+2*N12/O12)</f>
        <v>5.4956164398406617</v>
      </c>
      <c r="Q12" s="73">
        <f>P12</f>
        <v>5.4956164398406617</v>
      </c>
      <c r="R12" s="22">
        <v>3</v>
      </c>
      <c r="S12" s="29" t="s">
        <v>188</v>
      </c>
      <c r="T12" s="29">
        <f>Q12/R12</f>
        <v>1.8318721466135539</v>
      </c>
      <c r="U12" s="29">
        <f>T12</f>
        <v>1.8318721466135539</v>
      </c>
      <c r="V12" s="26"/>
    </row>
    <row r="13" spans="1:22" x14ac:dyDescent="0.2">
      <c r="B13" s="47" t="s">
        <v>10</v>
      </c>
      <c r="C13" s="305" t="s">
        <v>97</v>
      </c>
      <c r="D13" s="289"/>
      <c r="E13" s="289"/>
      <c r="F13" s="289"/>
      <c r="G13" s="289"/>
      <c r="H13" s="289"/>
      <c r="I13" s="289"/>
      <c r="J13" s="290"/>
      <c r="K13" s="62"/>
      <c r="L13" s="49"/>
      <c r="M13" s="49"/>
      <c r="N13" s="49"/>
      <c r="O13" s="49"/>
      <c r="P13" s="64"/>
      <c r="Q13" s="51"/>
      <c r="S13" s="29" t="s">
        <v>31</v>
      </c>
      <c r="T13" s="29">
        <f>Q12/R12</f>
        <v>1.8318721466135539</v>
      </c>
      <c r="U13" s="29">
        <f>T13+T11</f>
        <v>3.6637442932271078</v>
      </c>
      <c r="V13" s="26"/>
    </row>
    <row r="14" spans="1:22" x14ac:dyDescent="0.2">
      <c r="B14" s="47" t="s">
        <v>11</v>
      </c>
      <c r="C14" s="263"/>
      <c r="D14" s="264"/>
      <c r="E14" s="264"/>
      <c r="F14" s="264"/>
      <c r="G14" s="264"/>
      <c r="H14" s="264"/>
      <c r="I14" s="264"/>
      <c r="J14" s="265"/>
      <c r="K14" s="48"/>
      <c r="L14" s="49"/>
      <c r="M14" s="49"/>
      <c r="N14" s="49"/>
      <c r="O14" s="49"/>
      <c r="P14" s="64"/>
      <c r="Q14" s="51"/>
      <c r="S14" s="31"/>
      <c r="T14" s="31"/>
      <c r="U14" s="31"/>
      <c r="V14" s="26"/>
    </row>
    <row r="15" spans="1:22" x14ac:dyDescent="0.2">
      <c r="B15" s="47"/>
      <c r="C15" s="232"/>
      <c r="D15" s="233"/>
      <c r="E15" s="233"/>
      <c r="F15" s="233"/>
      <c r="G15" s="233"/>
      <c r="H15" s="233"/>
      <c r="I15" s="233"/>
      <c r="J15" s="234"/>
      <c r="K15" s="48"/>
      <c r="L15" s="49"/>
      <c r="M15" s="49"/>
      <c r="N15" s="49"/>
      <c r="O15" s="49"/>
      <c r="P15" s="64"/>
      <c r="Q15" s="51"/>
      <c r="S15" s="31"/>
      <c r="T15" s="31"/>
      <c r="U15" s="31"/>
      <c r="V15" s="26"/>
    </row>
    <row r="16" spans="1:22" x14ac:dyDescent="0.2">
      <c r="B16" s="65"/>
      <c r="C16" s="244"/>
      <c r="D16" s="245"/>
      <c r="E16" s="245"/>
      <c r="F16" s="245"/>
      <c r="G16" s="245"/>
      <c r="H16" s="245"/>
      <c r="I16" s="245"/>
      <c r="J16" s="246"/>
      <c r="K16" s="48"/>
      <c r="L16" s="49"/>
      <c r="M16" s="49"/>
      <c r="N16" s="49"/>
      <c r="O16" s="49"/>
      <c r="P16" s="64"/>
      <c r="Q16" s="51"/>
      <c r="S16" s="31"/>
      <c r="T16" s="31"/>
      <c r="U16" s="31"/>
      <c r="V16" s="26"/>
    </row>
    <row r="17" spans="1:23" ht="33.75" x14ac:dyDescent="0.2">
      <c r="A17" s="37">
        <v>3</v>
      </c>
      <c r="B17" s="47" t="s">
        <v>8</v>
      </c>
      <c r="C17" s="232" t="s">
        <v>52</v>
      </c>
      <c r="D17" s="233"/>
      <c r="E17" s="233"/>
      <c r="F17" s="233"/>
      <c r="G17" s="233"/>
      <c r="H17" s="233"/>
      <c r="I17" s="233"/>
      <c r="J17" s="234"/>
      <c r="K17" s="48"/>
      <c r="L17" s="49"/>
      <c r="M17" s="49"/>
      <c r="N17" s="49"/>
      <c r="O17" s="49"/>
      <c r="P17" s="64"/>
      <c r="Q17" s="51"/>
      <c r="S17" s="31"/>
      <c r="T17" s="31"/>
      <c r="U17" s="31"/>
      <c r="V17" s="26"/>
    </row>
    <row r="18" spans="1:23" ht="22.5" x14ac:dyDescent="0.2">
      <c r="B18" s="47" t="s">
        <v>9</v>
      </c>
      <c r="C18" s="304" t="s">
        <v>98</v>
      </c>
      <c r="D18" s="292"/>
      <c r="E18" s="292"/>
      <c r="F18" s="292"/>
      <c r="G18" s="292"/>
      <c r="H18" s="292"/>
      <c r="I18" s="292"/>
      <c r="J18" s="293"/>
      <c r="K18" s="52"/>
      <c r="L18" s="49"/>
      <c r="M18" s="49"/>
      <c r="N18" s="49"/>
      <c r="O18" s="49"/>
      <c r="P18" s="64"/>
      <c r="Q18" s="51"/>
      <c r="S18" s="31"/>
      <c r="T18" s="31"/>
      <c r="U18" s="31"/>
      <c r="V18" s="26"/>
    </row>
    <row r="19" spans="1:23" x14ac:dyDescent="0.2">
      <c r="B19" s="47"/>
      <c r="C19" s="67">
        <v>2</v>
      </c>
      <c r="D19" s="68">
        <v>2</v>
      </c>
      <c r="E19" s="74">
        <f>D19/C19</f>
        <v>1</v>
      </c>
      <c r="F19" s="68">
        <v>0</v>
      </c>
      <c r="G19" s="68"/>
      <c r="H19" s="69"/>
      <c r="I19" s="69">
        <v>3.84</v>
      </c>
      <c r="J19" s="70">
        <v>5.6020000000000003</v>
      </c>
      <c r="K19" s="59">
        <f>I19/(0.2*J19)</f>
        <v>3.4273473759371651</v>
      </c>
      <c r="L19" s="75">
        <f>E19</f>
        <v>1</v>
      </c>
      <c r="M19" s="60">
        <f>F19</f>
        <v>0</v>
      </c>
      <c r="N19" s="60">
        <f>I19</f>
        <v>3.84</v>
      </c>
      <c r="O19" s="71">
        <f>J19</f>
        <v>5.6020000000000003</v>
      </c>
      <c r="P19" s="72">
        <f>3*((D19*SQRT(1+F19))/(C19))*(1+2*N19/O19)</f>
        <v>7.1128168511245971</v>
      </c>
      <c r="Q19" s="73">
        <f>P19</f>
        <v>7.1128168511245971</v>
      </c>
      <c r="R19" s="22">
        <v>2</v>
      </c>
      <c r="S19" s="29" t="s">
        <v>188</v>
      </c>
      <c r="T19" s="32">
        <f>Q19/R19</f>
        <v>3.5564084255622985</v>
      </c>
      <c r="U19" s="29">
        <f>T19</f>
        <v>3.5564084255622985</v>
      </c>
      <c r="V19" s="26"/>
    </row>
    <row r="20" spans="1:23" x14ac:dyDescent="0.2">
      <c r="B20" s="47" t="s">
        <v>10</v>
      </c>
      <c r="C20" s="305" t="s">
        <v>96</v>
      </c>
      <c r="D20" s="289"/>
      <c r="E20" s="289"/>
      <c r="F20" s="289"/>
      <c r="G20" s="289"/>
      <c r="H20" s="289"/>
      <c r="I20" s="289"/>
      <c r="J20" s="290"/>
      <c r="K20" s="62"/>
      <c r="L20" s="49"/>
      <c r="M20" s="49"/>
      <c r="N20" s="49"/>
      <c r="O20" s="49"/>
      <c r="P20" s="64"/>
      <c r="Q20" s="51"/>
      <c r="S20" s="29" t="s">
        <v>31</v>
      </c>
      <c r="T20" s="32">
        <f>Q19/R19</f>
        <v>3.5564084255622985</v>
      </c>
      <c r="U20" s="29">
        <f>T20</f>
        <v>3.5564084255622985</v>
      </c>
      <c r="V20" s="26"/>
    </row>
    <row r="21" spans="1:23" x14ac:dyDescent="0.2">
      <c r="B21" s="47" t="s">
        <v>11</v>
      </c>
      <c r="C21" s="263"/>
      <c r="D21" s="264"/>
      <c r="E21" s="264"/>
      <c r="F21" s="264"/>
      <c r="G21" s="264"/>
      <c r="H21" s="264"/>
      <c r="I21" s="264"/>
      <c r="J21" s="265"/>
      <c r="K21" s="48"/>
      <c r="L21" s="49"/>
      <c r="M21" s="49"/>
      <c r="N21" s="49"/>
      <c r="O21" s="49"/>
      <c r="P21" s="64"/>
      <c r="Q21" s="51"/>
      <c r="S21" s="25"/>
      <c r="T21" s="25"/>
      <c r="U21" s="25"/>
      <c r="V21" s="26"/>
    </row>
    <row r="22" spans="1:23" x14ac:dyDescent="0.2">
      <c r="B22" s="47"/>
      <c r="C22" s="232"/>
      <c r="D22" s="233"/>
      <c r="E22" s="233"/>
      <c r="F22" s="233"/>
      <c r="G22" s="233"/>
      <c r="H22" s="233"/>
      <c r="I22" s="233"/>
      <c r="J22" s="234"/>
      <c r="K22" s="48"/>
      <c r="L22" s="49"/>
      <c r="M22" s="49"/>
      <c r="N22" s="49"/>
      <c r="O22" s="49"/>
      <c r="P22" s="64"/>
      <c r="Q22" s="51"/>
      <c r="S22" s="25"/>
      <c r="T22" s="25"/>
      <c r="U22" s="25"/>
      <c r="V22" s="26"/>
    </row>
    <row r="23" spans="1:23" x14ac:dyDescent="0.2">
      <c r="B23" s="65"/>
      <c r="C23" s="244"/>
      <c r="D23" s="245"/>
      <c r="E23" s="245"/>
      <c r="F23" s="245"/>
      <c r="G23" s="245"/>
      <c r="H23" s="245"/>
      <c r="I23" s="245"/>
      <c r="J23" s="246"/>
      <c r="K23" s="48"/>
      <c r="L23" s="49"/>
      <c r="M23" s="49"/>
      <c r="N23" s="49"/>
      <c r="O23" s="49"/>
      <c r="P23" s="64"/>
      <c r="Q23" s="51"/>
      <c r="S23" s="25"/>
      <c r="T23" s="25"/>
      <c r="U23" s="25"/>
      <c r="V23" s="26"/>
    </row>
    <row r="24" spans="1:23" ht="36" customHeight="1" x14ac:dyDescent="0.2">
      <c r="A24" s="37">
        <v>4</v>
      </c>
      <c r="B24" s="47" t="s">
        <v>8</v>
      </c>
      <c r="C24" s="232" t="s">
        <v>53</v>
      </c>
      <c r="D24" s="233"/>
      <c r="E24" s="233"/>
      <c r="F24" s="233"/>
      <c r="G24" s="233"/>
      <c r="H24" s="233"/>
      <c r="I24" s="233"/>
      <c r="J24" s="234"/>
      <c r="K24" s="48"/>
      <c r="L24" s="49"/>
      <c r="M24" s="49"/>
      <c r="N24" s="49"/>
      <c r="O24" s="49"/>
      <c r="P24" s="64"/>
      <c r="Q24" s="76"/>
      <c r="S24" s="25"/>
      <c r="T24" s="25"/>
      <c r="U24" s="25"/>
      <c r="V24" s="26"/>
    </row>
    <row r="25" spans="1:23" ht="23.25" customHeight="1" x14ac:dyDescent="0.2">
      <c r="B25" s="47" t="s">
        <v>9</v>
      </c>
      <c r="C25" s="235" t="s">
        <v>227</v>
      </c>
      <c r="D25" s="236"/>
      <c r="E25" s="236"/>
      <c r="F25" s="236"/>
      <c r="G25" s="236"/>
      <c r="H25" s="236"/>
      <c r="I25" s="236"/>
      <c r="J25" s="237"/>
      <c r="K25" s="52"/>
      <c r="L25" s="77"/>
      <c r="M25" s="77"/>
      <c r="N25" s="77"/>
      <c r="O25" s="77"/>
      <c r="P25" s="66"/>
      <c r="Q25" s="142"/>
      <c r="R25" s="22"/>
      <c r="S25" s="27" t="s">
        <v>189</v>
      </c>
      <c r="T25" s="27">
        <f>Q26/R26</f>
        <v>1.014770411221676</v>
      </c>
      <c r="U25" s="27">
        <f>T25+T26</f>
        <v>2.029540822443352</v>
      </c>
      <c r="V25" s="26"/>
    </row>
    <row r="26" spans="1:23" x14ac:dyDescent="0.2">
      <c r="B26" s="47"/>
      <c r="C26" s="54">
        <v>5</v>
      </c>
      <c r="D26" s="55">
        <v>3</v>
      </c>
      <c r="E26" s="55">
        <f>D26/C26</f>
        <v>0.6</v>
      </c>
      <c r="F26" s="55">
        <v>0</v>
      </c>
      <c r="G26" s="55"/>
      <c r="H26" s="56"/>
      <c r="I26" s="57">
        <v>0.96099999999999997</v>
      </c>
      <c r="J26" s="78">
        <f>(2.806+3.673+1.862)/3</f>
        <v>2.7803333333333335</v>
      </c>
      <c r="K26" s="59">
        <f>I26/(0.2*J26)</f>
        <v>1.7282100467569834</v>
      </c>
      <c r="L26" s="79">
        <f>E26</f>
        <v>0.6</v>
      </c>
      <c r="M26" s="79">
        <f>F26</f>
        <v>0</v>
      </c>
      <c r="N26" s="79">
        <f>I26</f>
        <v>0.96099999999999997</v>
      </c>
      <c r="O26" s="80">
        <f>J26</f>
        <v>2.7803333333333335</v>
      </c>
      <c r="P26" s="72">
        <f>3*((D26*SQRT(1+F26))/(C26))*(1+2*N26/O26)</f>
        <v>3.0443112336650278</v>
      </c>
      <c r="Q26" s="81">
        <f>P26</f>
        <v>3.0443112336650278</v>
      </c>
      <c r="R26" s="22">
        <v>3</v>
      </c>
      <c r="S26" s="28" t="s">
        <v>323</v>
      </c>
      <c r="T26" s="28">
        <f>Q26/R26</f>
        <v>1.014770411221676</v>
      </c>
      <c r="U26" s="25"/>
      <c r="V26" s="26"/>
      <c r="W26" s="191"/>
    </row>
    <row r="27" spans="1:23" x14ac:dyDescent="0.2">
      <c r="B27" s="47" t="s">
        <v>10</v>
      </c>
      <c r="C27" s="238" t="s">
        <v>100</v>
      </c>
      <c r="D27" s="239"/>
      <c r="E27" s="239"/>
      <c r="F27" s="239"/>
      <c r="G27" s="239"/>
      <c r="H27" s="239"/>
      <c r="I27" s="239"/>
      <c r="J27" s="240"/>
      <c r="K27" s="62"/>
      <c r="L27" s="49"/>
      <c r="M27" s="49"/>
      <c r="N27" s="49"/>
      <c r="O27" s="49"/>
      <c r="P27" s="64"/>
      <c r="Q27" s="51"/>
      <c r="S27" s="27" t="s">
        <v>190</v>
      </c>
      <c r="T27" s="27">
        <f>Q26/R26</f>
        <v>1.014770411221676</v>
      </c>
      <c r="U27" s="27">
        <f>T27</f>
        <v>1.014770411221676</v>
      </c>
      <c r="V27" s="26"/>
    </row>
    <row r="28" spans="1:23" x14ac:dyDescent="0.2">
      <c r="B28" s="47" t="s">
        <v>11</v>
      </c>
      <c r="C28" s="232"/>
      <c r="D28" s="233"/>
      <c r="E28" s="233"/>
      <c r="F28" s="233"/>
      <c r="G28" s="233"/>
      <c r="H28" s="233"/>
      <c r="I28" s="233"/>
      <c r="J28" s="234"/>
      <c r="K28" s="48"/>
      <c r="L28" s="49"/>
      <c r="M28" s="49"/>
      <c r="N28" s="49"/>
      <c r="O28" s="49"/>
      <c r="P28" s="64"/>
      <c r="Q28" s="51"/>
      <c r="S28" s="25"/>
      <c r="T28" s="25"/>
      <c r="U28" s="25"/>
      <c r="V28" s="26"/>
    </row>
    <row r="29" spans="1:23" x14ac:dyDescent="0.2">
      <c r="B29" s="47"/>
      <c r="C29" s="232"/>
      <c r="D29" s="233"/>
      <c r="E29" s="233"/>
      <c r="F29" s="233"/>
      <c r="G29" s="233"/>
      <c r="H29" s="233"/>
      <c r="I29" s="233"/>
      <c r="J29" s="234"/>
      <c r="K29" s="48"/>
      <c r="L29" s="49"/>
      <c r="M29" s="49"/>
      <c r="N29" s="49"/>
      <c r="O29" s="49"/>
      <c r="P29" s="64"/>
      <c r="Q29" s="51"/>
      <c r="S29" s="25"/>
      <c r="T29" s="25"/>
      <c r="U29" s="25"/>
      <c r="V29" s="26"/>
    </row>
    <row r="30" spans="1:23" x14ac:dyDescent="0.2">
      <c r="B30" s="65"/>
      <c r="C30" s="244"/>
      <c r="D30" s="245"/>
      <c r="E30" s="245"/>
      <c r="F30" s="245"/>
      <c r="G30" s="245"/>
      <c r="H30" s="245"/>
      <c r="I30" s="245"/>
      <c r="J30" s="246"/>
      <c r="K30" s="48"/>
      <c r="L30" s="49"/>
      <c r="M30" s="49"/>
      <c r="N30" s="49"/>
      <c r="O30" s="49"/>
      <c r="P30" s="64"/>
      <c r="Q30" s="51"/>
      <c r="S30" s="25"/>
      <c r="T30" s="25"/>
      <c r="U30" s="25"/>
      <c r="V30" s="26"/>
    </row>
    <row r="31" spans="1:23" ht="33.75" x14ac:dyDescent="0.2">
      <c r="A31" s="37">
        <v>5</v>
      </c>
      <c r="B31" s="47" t="s">
        <v>8</v>
      </c>
      <c r="C31" s="318" t="s">
        <v>247</v>
      </c>
      <c r="D31" s="270"/>
      <c r="E31" s="270"/>
      <c r="F31" s="270"/>
      <c r="G31" s="270"/>
      <c r="H31" s="270"/>
      <c r="I31" s="270"/>
      <c r="J31" s="271"/>
      <c r="K31" s="48"/>
      <c r="L31" s="49"/>
      <c r="M31" s="49"/>
      <c r="N31" s="49"/>
      <c r="O31" s="49"/>
      <c r="P31" s="64"/>
      <c r="Q31" s="51"/>
      <c r="S31" s="25"/>
      <c r="T31" s="25"/>
      <c r="U31" s="25"/>
      <c r="V31" s="26"/>
    </row>
    <row r="32" spans="1:23" ht="22.5" x14ac:dyDescent="0.2">
      <c r="A32" s="46"/>
      <c r="B32" s="47" t="s">
        <v>9</v>
      </c>
      <c r="C32" s="315" t="s">
        <v>238</v>
      </c>
      <c r="D32" s="316"/>
      <c r="E32" s="316"/>
      <c r="F32" s="316"/>
      <c r="G32" s="316"/>
      <c r="H32" s="316"/>
      <c r="I32" s="316"/>
      <c r="J32" s="317"/>
      <c r="K32" s="52"/>
      <c r="L32" s="49"/>
      <c r="M32" s="49"/>
      <c r="N32" s="49"/>
      <c r="O32" s="49"/>
      <c r="P32" s="64"/>
      <c r="Q32" s="51"/>
      <c r="S32" s="27" t="s">
        <v>191</v>
      </c>
      <c r="T32" s="27">
        <f>Q33/R33</f>
        <v>1.7566336083515743</v>
      </c>
      <c r="U32" s="27">
        <f>T32</f>
        <v>1.7566336083515743</v>
      </c>
      <c r="V32" s="26"/>
    </row>
    <row r="33" spans="1:22" x14ac:dyDescent="0.2">
      <c r="B33" s="47"/>
      <c r="C33" s="54">
        <v>8</v>
      </c>
      <c r="D33" s="55">
        <v>3.66</v>
      </c>
      <c r="E33" s="82">
        <f>D33/C33</f>
        <v>0.45750000000000002</v>
      </c>
      <c r="F33" s="55">
        <v>3</v>
      </c>
      <c r="G33" s="55"/>
      <c r="H33" s="56"/>
      <c r="I33" s="56">
        <v>3.266</v>
      </c>
      <c r="J33" s="78">
        <f>(3.627+2.312)/2</f>
        <v>2.9695</v>
      </c>
      <c r="K33" s="59">
        <f>I33/(0.2*J33)</f>
        <v>5.4992422966829437</v>
      </c>
      <c r="L33" s="60">
        <f>E33</f>
        <v>0.45750000000000002</v>
      </c>
      <c r="M33" s="60">
        <f>F33</f>
        <v>3</v>
      </c>
      <c r="N33" s="60">
        <f>I33</f>
        <v>3.266</v>
      </c>
      <c r="O33" s="71">
        <f>J33</f>
        <v>2.9695</v>
      </c>
      <c r="P33" s="72">
        <f>3*((D33*SQRT(1+F33))/(C33))*(1+2*N33/O33)</f>
        <v>8.7831680417578717</v>
      </c>
      <c r="Q33" s="73">
        <f>P33</f>
        <v>8.7831680417578717</v>
      </c>
      <c r="R33" s="22">
        <v>5</v>
      </c>
      <c r="S33" s="27" t="s">
        <v>189</v>
      </c>
      <c r="T33" s="27">
        <f>Q33/R33</f>
        <v>1.7566336083515743</v>
      </c>
      <c r="U33" s="27">
        <f>T33</f>
        <v>1.7566336083515743</v>
      </c>
      <c r="V33" s="26"/>
    </row>
    <row r="34" spans="1:22" x14ac:dyDescent="0.2">
      <c r="B34" s="47" t="s">
        <v>10</v>
      </c>
      <c r="C34" s="238" t="s">
        <v>101</v>
      </c>
      <c r="D34" s="239"/>
      <c r="E34" s="239"/>
      <c r="F34" s="239"/>
      <c r="G34" s="239"/>
      <c r="H34" s="239"/>
      <c r="I34" s="239"/>
      <c r="J34" s="240"/>
      <c r="K34" s="62"/>
      <c r="L34" s="49"/>
      <c r="M34" s="49"/>
      <c r="N34" s="49"/>
      <c r="O34" s="49"/>
      <c r="P34" s="64"/>
      <c r="Q34" s="51"/>
      <c r="S34" s="27" t="s">
        <v>192</v>
      </c>
      <c r="T34" s="27">
        <f>Q33/R33</f>
        <v>1.7566336083515743</v>
      </c>
      <c r="U34" s="27">
        <f>T34+T35+T36</f>
        <v>5.269900825054723</v>
      </c>
      <c r="V34" s="26"/>
    </row>
    <row r="35" spans="1:22" x14ac:dyDescent="0.2">
      <c r="B35" s="47" t="s">
        <v>11</v>
      </c>
      <c r="C35" s="232"/>
      <c r="D35" s="233"/>
      <c r="E35" s="233"/>
      <c r="F35" s="233"/>
      <c r="G35" s="233"/>
      <c r="H35" s="233"/>
      <c r="I35" s="233"/>
      <c r="J35" s="234"/>
      <c r="K35" s="48"/>
      <c r="L35" s="49"/>
      <c r="M35" s="49"/>
      <c r="N35" s="49"/>
      <c r="O35" s="49"/>
      <c r="P35" s="64"/>
      <c r="Q35" s="51"/>
      <c r="S35" s="28" t="s">
        <v>296</v>
      </c>
      <c r="T35" s="28">
        <f>Q33/R33</f>
        <v>1.7566336083515743</v>
      </c>
      <c r="U35" s="25"/>
      <c r="V35" s="26"/>
    </row>
    <row r="36" spans="1:22" x14ac:dyDescent="0.2">
      <c r="B36" s="47"/>
      <c r="C36" s="232"/>
      <c r="D36" s="233"/>
      <c r="E36" s="233"/>
      <c r="F36" s="233"/>
      <c r="G36" s="233"/>
      <c r="H36" s="233"/>
      <c r="I36" s="233"/>
      <c r="J36" s="234"/>
      <c r="K36" s="48"/>
      <c r="L36" s="49"/>
      <c r="M36" s="49"/>
      <c r="N36" s="49"/>
      <c r="O36" s="49"/>
      <c r="P36" s="64"/>
      <c r="Q36" s="51"/>
      <c r="S36" s="28" t="s">
        <v>297</v>
      </c>
      <c r="T36" s="28">
        <f>Q33/R33</f>
        <v>1.7566336083515743</v>
      </c>
      <c r="U36" s="25"/>
      <c r="V36" s="26"/>
    </row>
    <row r="37" spans="1:22" x14ac:dyDescent="0.2">
      <c r="B37" s="65"/>
      <c r="C37" s="244"/>
      <c r="D37" s="245"/>
      <c r="E37" s="245"/>
      <c r="F37" s="245"/>
      <c r="G37" s="245"/>
      <c r="H37" s="245"/>
      <c r="I37" s="245"/>
      <c r="J37" s="246"/>
      <c r="K37" s="48"/>
      <c r="L37" s="49"/>
      <c r="M37" s="49"/>
      <c r="N37" s="49"/>
      <c r="O37" s="49"/>
      <c r="P37" s="64"/>
      <c r="Q37" s="51"/>
      <c r="S37" s="25"/>
      <c r="T37" s="25"/>
      <c r="U37" s="25"/>
      <c r="V37" s="26"/>
    </row>
    <row r="38" spans="1:22" ht="42" customHeight="1" x14ac:dyDescent="0.2">
      <c r="A38" s="37">
        <v>6</v>
      </c>
      <c r="B38" s="69" t="s">
        <v>8</v>
      </c>
      <c r="C38" s="263" t="s">
        <v>54</v>
      </c>
      <c r="D38" s="264"/>
      <c r="E38" s="264"/>
      <c r="F38" s="264"/>
      <c r="G38" s="264"/>
      <c r="H38" s="264"/>
      <c r="I38" s="264"/>
      <c r="J38" s="265"/>
      <c r="K38" s="48"/>
      <c r="L38" s="49"/>
      <c r="M38" s="49"/>
      <c r="N38" s="49"/>
      <c r="O38" s="49"/>
      <c r="P38" s="64"/>
      <c r="Q38" s="51"/>
      <c r="S38" s="25"/>
      <c r="T38" s="25"/>
      <c r="U38" s="25"/>
      <c r="V38" s="26"/>
    </row>
    <row r="39" spans="1:22" ht="22.5" x14ac:dyDescent="0.2">
      <c r="A39" s="46"/>
      <c r="B39" s="69" t="s">
        <v>9</v>
      </c>
      <c r="C39" s="235" t="s">
        <v>102</v>
      </c>
      <c r="D39" s="236"/>
      <c r="E39" s="236"/>
      <c r="F39" s="236"/>
      <c r="G39" s="236"/>
      <c r="H39" s="236"/>
      <c r="I39" s="236"/>
      <c r="J39" s="237"/>
      <c r="K39" s="52"/>
      <c r="L39" s="49"/>
      <c r="M39" s="49"/>
      <c r="N39" s="49"/>
      <c r="O39" s="49"/>
      <c r="P39" s="64"/>
      <c r="Q39" s="51"/>
      <c r="S39" s="25"/>
      <c r="T39" s="25"/>
      <c r="U39" s="25"/>
      <c r="V39" s="26"/>
    </row>
    <row r="40" spans="1:22" x14ac:dyDescent="0.2">
      <c r="B40" s="47"/>
      <c r="C40" s="54">
        <v>4</v>
      </c>
      <c r="D40" s="55">
        <v>2.5</v>
      </c>
      <c r="E40" s="55">
        <f>D40/C40</f>
        <v>0.625</v>
      </c>
      <c r="F40" s="55">
        <v>1</v>
      </c>
      <c r="G40" s="55"/>
      <c r="H40" s="56"/>
      <c r="I40" s="69">
        <v>1.821</v>
      </c>
      <c r="J40" s="70">
        <f>(2.959+2.077+1.845)/3</f>
        <v>2.2936666666666663</v>
      </c>
      <c r="K40" s="59">
        <f>I40/(0.2*J40)</f>
        <v>3.969626507775033</v>
      </c>
      <c r="L40" s="60">
        <f>E40</f>
        <v>0.625</v>
      </c>
      <c r="M40" s="60">
        <f>F40</f>
        <v>1</v>
      </c>
      <c r="N40" s="60">
        <f>I40</f>
        <v>1.821</v>
      </c>
      <c r="O40" s="71">
        <f>J40</f>
        <v>2.2936666666666663</v>
      </c>
      <c r="P40" s="72">
        <f>3*((D40*SQRT(1+F40))/(C40))*(1+2*N40/O40)</f>
        <v>6.862075163087952</v>
      </c>
      <c r="Q40" s="73">
        <f>P40</f>
        <v>6.862075163087952</v>
      </c>
      <c r="R40" s="22">
        <v>3</v>
      </c>
      <c r="S40" s="28" t="s">
        <v>324</v>
      </c>
      <c r="T40" s="28">
        <f>Q40/R40</f>
        <v>2.287358387695984</v>
      </c>
      <c r="U40" s="25"/>
      <c r="V40" s="26"/>
    </row>
    <row r="41" spans="1:22" x14ac:dyDescent="0.2">
      <c r="B41" s="47" t="s">
        <v>10</v>
      </c>
      <c r="C41" s="238" t="s">
        <v>103</v>
      </c>
      <c r="D41" s="239"/>
      <c r="E41" s="239"/>
      <c r="F41" s="239"/>
      <c r="G41" s="239"/>
      <c r="H41" s="239"/>
      <c r="I41" s="239"/>
      <c r="J41" s="240"/>
      <c r="K41" s="62"/>
      <c r="L41" s="49"/>
      <c r="M41" s="49"/>
      <c r="N41" s="49"/>
      <c r="O41" s="49"/>
      <c r="P41" s="64"/>
      <c r="Q41" s="51"/>
      <c r="S41" s="27" t="s">
        <v>193</v>
      </c>
      <c r="T41" s="27">
        <f>Q40/R40</f>
        <v>2.287358387695984</v>
      </c>
      <c r="U41" s="27">
        <f>T41</f>
        <v>2.287358387695984</v>
      </c>
      <c r="V41" s="26"/>
    </row>
    <row r="42" spans="1:22" x14ac:dyDescent="0.2">
      <c r="B42" s="47" t="s">
        <v>11</v>
      </c>
      <c r="C42" s="263"/>
      <c r="D42" s="264"/>
      <c r="E42" s="264"/>
      <c r="F42" s="264"/>
      <c r="G42" s="264"/>
      <c r="H42" s="264"/>
      <c r="I42" s="264"/>
      <c r="J42" s="265"/>
      <c r="K42" s="48"/>
      <c r="L42" s="49"/>
      <c r="M42" s="49"/>
      <c r="N42" s="49"/>
      <c r="O42" s="49"/>
      <c r="P42" s="64"/>
      <c r="Q42" s="51"/>
      <c r="S42" s="27" t="s">
        <v>16</v>
      </c>
      <c r="T42" s="27">
        <f>Q40/R40</f>
        <v>2.287358387695984</v>
      </c>
      <c r="U42" s="27">
        <f>T42+T40</f>
        <v>4.574716775391968</v>
      </c>
      <c r="V42" s="26"/>
    </row>
    <row r="43" spans="1:22" x14ac:dyDescent="0.2">
      <c r="B43" s="47"/>
      <c r="C43" s="232"/>
      <c r="D43" s="233"/>
      <c r="E43" s="233"/>
      <c r="F43" s="233"/>
      <c r="G43" s="233"/>
      <c r="H43" s="233"/>
      <c r="I43" s="233"/>
      <c r="J43" s="234"/>
      <c r="K43" s="48"/>
      <c r="L43" s="49"/>
      <c r="M43" s="49"/>
      <c r="N43" s="49"/>
      <c r="O43" s="49"/>
      <c r="P43" s="64"/>
      <c r="Q43" s="51"/>
      <c r="S43" s="25"/>
      <c r="T43" s="25"/>
      <c r="U43" s="25"/>
      <c r="V43" s="26"/>
    </row>
    <row r="44" spans="1:22" x14ac:dyDescent="0.2">
      <c r="B44" s="65"/>
      <c r="C44" s="244"/>
      <c r="D44" s="245"/>
      <c r="E44" s="245"/>
      <c r="F44" s="245"/>
      <c r="G44" s="245"/>
      <c r="H44" s="245"/>
      <c r="I44" s="245"/>
      <c r="J44" s="246"/>
      <c r="K44" s="48"/>
      <c r="L44" s="49"/>
      <c r="M44" s="49"/>
      <c r="N44" s="49"/>
      <c r="O44" s="49"/>
      <c r="P44" s="64"/>
      <c r="Q44" s="51"/>
      <c r="S44" s="25"/>
      <c r="T44" s="25"/>
      <c r="U44" s="25"/>
      <c r="V44" s="26"/>
    </row>
    <row r="45" spans="1:22" ht="53.25" customHeight="1" x14ac:dyDescent="0.2">
      <c r="A45" s="37">
        <v>7</v>
      </c>
      <c r="B45" s="47" t="s">
        <v>8</v>
      </c>
      <c r="C45" s="232" t="s">
        <v>55</v>
      </c>
      <c r="D45" s="233"/>
      <c r="E45" s="233"/>
      <c r="F45" s="233"/>
      <c r="G45" s="233"/>
      <c r="H45" s="233"/>
      <c r="I45" s="233"/>
      <c r="J45" s="234"/>
      <c r="K45" s="48"/>
      <c r="L45" s="49"/>
      <c r="M45" s="49"/>
      <c r="N45" s="49"/>
      <c r="O45" s="49"/>
      <c r="P45" s="64"/>
      <c r="Q45" s="51"/>
      <c r="S45" s="25"/>
      <c r="T45" s="25"/>
      <c r="U45" s="25"/>
      <c r="V45" s="26"/>
    </row>
    <row r="46" spans="1:22" ht="22.5" x14ac:dyDescent="0.2">
      <c r="B46" s="47" t="s">
        <v>9</v>
      </c>
      <c r="C46" s="235" t="s">
        <v>228</v>
      </c>
      <c r="D46" s="236"/>
      <c r="E46" s="236"/>
      <c r="F46" s="236"/>
      <c r="G46" s="236"/>
      <c r="H46" s="236"/>
      <c r="I46" s="236"/>
      <c r="J46" s="237"/>
      <c r="K46" s="52"/>
      <c r="L46" s="49"/>
      <c r="M46" s="49"/>
      <c r="N46" s="49"/>
      <c r="O46" s="49"/>
      <c r="P46" s="64"/>
      <c r="Q46" s="51"/>
      <c r="S46" s="28" t="s">
        <v>350</v>
      </c>
      <c r="T46" s="206">
        <f>Q47/R47</f>
        <v>1.3809018858996891</v>
      </c>
      <c r="U46" s="25"/>
      <c r="V46" s="26"/>
    </row>
    <row r="47" spans="1:22" x14ac:dyDescent="0.2">
      <c r="B47" s="47"/>
      <c r="C47" s="54">
        <v>4</v>
      </c>
      <c r="D47" s="55">
        <v>3.5</v>
      </c>
      <c r="E47" s="55">
        <f>D47/C47</f>
        <v>0.875</v>
      </c>
      <c r="F47" s="55">
        <v>0</v>
      </c>
      <c r="G47" s="55"/>
      <c r="H47" s="56"/>
      <c r="I47" s="56">
        <v>2.0419999999999998</v>
      </c>
      <c r="J47" s="78">
        <f>(2.959+4.438)/2</f>
        <v>3.6985000000000001</v>
      </c>
      <c r="K47" s="59">
        <f>I47/(0.2*J47)</f>
        <v>2.7605786129511962</v>
      </c>
      <c r="L47" s="60">
        <f>E47</f>
        <v>0.875</v>
      </c>
      <c r="M47" s="60">
        <f>F47</f>
        <v>0</v>
      </c>
      <c r="N47" s="60">
        <f>I47</f>
        <v>2.0419999999999998</v>
      </c>
      <c r="O47" s="71">
        <f>J47</f>
        <v>3.6985000000000001</v>
      </c>
      <c r="P47" s="83">
        <f>3*((D47*SQRT(1+F47))/(C47))*(1+2*N47/O47)</f>
        <v>5.5236075435987564</v>
      </c>
      <c r="Q47" s="73">
        <f>P47</f>
        <v>5.5236075435987564</v>
      </c>
      <c r="R47" s="22">
        <v>4</v>
      </c>
      <c r="S47" s="28" t="s">
        <v>351</v>
      </c>
      <c r="T47" s="207">
        <f>Q47/R47</f>
        <v>1.3809018858996891</v>
      </c>
      <c r="U47" s="25"/>
      <c r="V47" s="26"/>
    </row>
    <row r="48" spans="1:22" x14ac:dyDescent="0.2">
      <c r="B48" s="47" t="s">
        <v>10</v>
      </c>
      <c r="C48" s="238" t="s">
        <v>104</v>
      </c>
      <c r="D48" s="239"/>
      <c r="E48" s="239"/>
      <c r="F48" s="239"/>
      <c r="G48" s="239"/>
      <c r="H48" s="239"/>
      <c r="I48" s="239"/>
      <c r="J48" s="240"/>
      <c r="K48" s="62"/>
      <c r="L48" s="49"/>
      <c r="M48" s="49"/>
      <c r="N48" s="49"/>
      <c r="O48" s="49"/>
      <c r="P48" s="64"/>
      <c r="Q48" s="51"/>
      <c r="S48" s="28" t="s">
        <v>335</v>
      </c>
      <c r="T48" s="206">
        <f>Q47/R47</f>
        <v>1.3809018858996891</v>
      </c>
      <c r="U48" s="25"/>
      <c r="V48" s="26"/>
    </row>
    <row r="49" spans="1:22" x14ac:dyDescent="0.2">
      <c r="B49" s="47" t="s">
        <v>11</v>
      </c>
      <c r="C49" s="263"/>
      <c r="D49" s="264"/>
      <c r="E49" s="264"/>
      <c r="F49" s="264"/>
      <c r="G49" s="264"/>
      <c r="H49" s="264"/>
      <c r="I49" s="264"/>
      <c r="J49" s="265"/>
      <c r="K49" s="48"/>
      <c r="L49" s="49"/>
      <c r="M49" s="49"/>
      <c r="N49" s="49"/>
      <c r="O49" s="49"/>
      <c r="P49" s="64"/>
      <c r="Q49" s="51"/>
      <c r="S49" s="27" t="s">
        <v>194</v>
      </c>
      <c r="T49" s="33">
        <f>Q47/R47</f>
        <v>1.3809018858996891</v>
      </c>
      <c r="U49" s="27">
        <f>T49+T48+T47+T46</f>
        <v>5.5236075435987564</v>
      </c>
      <c r="V49" s="26"/>
    </row>
    <row r="50" spans="1:22" x14ac:dyDescent="0.2">
      <c r="B50" s="47"/>
      <c r="C50" s="232"/>
      <c r="D50" s="233"/>
      <c r="E50" s="233"/>
      <c r="F50" s="233"/>
      <c r="G50" s="233"/>
      <c r="H50" s="233"/>
      <c r="I50" s="233"/>
      <c r="J50" s="234"/>
      <c r="K50" s="48"/>
      <c r="L50" s="49"/>
      <c r="M50" s="49"/>
      <c r="N50" s="49"/>
      <c r="O50" s="49"/>
      <c r="P50" s="64"/>
      <c r="Q50" s="51"/>
      <c r="S50" s="25"/>
      <c r="T50" s="25"/>
      <c r="U50" s="25"/>
      <c r="V50" s="26"/>
    </row>
    <row r="51" spans="1:22" x14ac:dyDescent="0.2">
      <c r="B51" s="65"/>
      <c r="C51" s="244"/>
      <c r="D51" s="245"/>
      <c r="E51" s="245"/>
      <c r="F51" s="245"/>
      <c r="G51" s="245"/>
      <c r="H51" s="245"/>
      <c r="I51" s="245"/>
      <c r="J51" s="246"/>
      <c r="K51" s="48"/>
      <c r="L51" s="49"/>
      <c r="M51" s="49"/>
      <c r="N51" s="49"/>
      <c r="O51" s="49"/>
      <c r="P51" s="64"/>
      <c r="Q51" s="51"/>
      <c r="S51" s="25"/>
      <c r="T51" s="25"/>
      <c r="U51" s="25"/>
      <c r="V51" s="26"/>
    </row>
    <row r="52" spans="1:22" ht="42.75" customHeight="1" x14ac:dyDescent="0.2">
      <c r="A52" s="37">
        <v>8</v>
      </c>
      <c r="B52" s="47" t="s">
        <v>8</v>
      </c>
      <c r="C52" s="232" t="s">
        <v>56</v>
      </c>
      <c r="D52" s="233"/>
      <c r="E52" s="233"/>
      <c r="F52" s="233"/>
      <c r="G52" s="233"/>
      <c r="H52" s="233"/>
      <c r="I52" s="233"/>
      <c r="J52" s="234"/>
      <c r="K52" s="48"/>
      <c r="L52" s="49"/>
      <c r="M52" s="49"/>
      <c r="N52" s="49"/>
      <c r="O52" s="49"/>
      <c r="P52" s="64"/>
      <c r="Q52" s="51"/>
      <c r="S52" s="25"/>
      <c r="T52" s="25"/>
      <c r="U52" s="25"/>
      <c r="V52" s="26"/>
    </row>
    <row r="53" spans="1:22" ht="22.5" x14ac:dyDescent="0.2">
      <c r="B53" s="47" t="s">
        <v>9</v>
      </c>
      <c r="C53" s="235" t="s">
        <v>354</v>
      </c>
      <c r="D53" s="236"/>
      <c r="E53" s="236"/>
      <c r="F53" s="236"/>
      <c r="G53" s="236"/>
      <c r="H53" s="236"/>
      <c r="I53" s="236"/>
      <c r="J53" s="237"/>
      <c r="K53" s="52"/>
      <c r="L53" s="49"/>
      <c r="M53" s="49"/>
      <c r="N53" s="49"/>
      <c r="O53" s="49"/>
      <c r="P53" s="64"/>
      <c r="Q53" s="51"/>
      <c r="S53" s="28" t="s">
        <v>355</v>
      </c>
      <c r="T53" s="28">
        <f>Q54/R54</f>
        <v>0.89169128508124074</v>
      </c>
      <c r="U53" s="25"/>
      <c r="V53" s="26"/>
    </row>
    <row r="54" spans="1:22" x14ac:dyDescent="0.2">
      <c r="B54" s="47"/>
      <c r="C54" s="54">
        <v>6</v>
      </c>
      <c r="D54" s="55">
        <v>1.5</v>
      </c>
      <c r="E54" s="55">
        <f>D54/C54</f>
        <v>0.25</v>
      </c>
      <c r="F54" s="55">
        <v>0</v>
      </c>
      <c r="G54" s="55"/>
      <c r="H54" s="56"/>
      <c r="I54" s="68">
        <v>2.3319999999999999</v>
      </c>
      <c r="J54" s="70">
        <f>(4.149+2.621)/2</f>
        <v>3.3849999999999998</v>
      </c>
      <c r="K54" s="59">
        <f>I54/(0.2*J54)</f>
        <v>3.4446085672082711</v>
      </c>
      <c r="L54" s="60">
        <f>E54</f>
        <v>0.25</v>
      </c>
      <c r="M54" s="60">
        <f>F54</f>
        <v>0</v>
      </c>
      <c r="N54" s="60">
        <f>I54</f>
        <v>2.3319999999999999</v>
      </c>
      <c r="O54" s="71">
        <f>J54</f>
        <v>3.3849999999999998</v>
      </c>
      <c r="P54" s="83">
        <f>3*((D54*SQRT(1+F54))/(C54))*(1+2*N54/O54)</f>
        <v>1.7833825701624815</v>
      </c>
      <c r="Q54" s="73">
        <f>P54</f>
        <v>1.7833825701624815</v>
      </c>
      <c r="R54" s="22">
        <v>2</v>
      </c>
      <c r="S54" s="27" t="s">
        <v>195</v>
      </c>
      <c r="T54" s="32">
        <f>Q54/R54</f>
        <v>0.89169128508124074</v>
      </c>
      <c r="U54" s="27">
        <f>T54+T53</f>
        <v>1.7833825701624815</v>
      </c>
      <c r="V54" s="26"/>
    </row>
    <row r="55" spans="1:22" x14ac:dyDescent="0.2">
      <c r="B55" s="47" t="s">
        <v>10</v>
      </c>
      <c r="C55" s="319" t="s">
        <v>105</v>
      </c>
      <c r="D55" s="320"/>
      <c r="E55" s="320"/>
      <c r="F55" s="320"/>
      <c r="G55" s="320"/>
      <c r="H55" s="320"/>
      <c r="I55" s="320"/>
      <c r="J55" s="321"/>
      <c r="K55" s="62"/>
      <c r="L55" s="49"/>
      <c r="M55" s="49"/>
      <c r="N55" s="49"/>
      <c r="O55" s="49"/>
      <c r="P55" s="64"/>
      <c r="Q55" s="51"/>
      <c r="S55" s="25"/>
      <c r="T55" s="25"/>
      <c r="U55" s="25"/>
      <c r="V55" s="26"/>
    </row>
    <row r="56" spans="1:22" x14ac:dyDescent="0.2">
      <c r="B56" s="47" t="s">
        <v>11</v>
      </c>
      <c r="C56" s="263"/>
      <c r="D56" s="264"/>
      <c r="E56" s="264"/>
      <c r="F56" s="264"/>
      <c r="G56" s="264"/>
      <c r="H56" s="264"/>
      <c r="I56" s="264"/>
      <c r="J56" s="265"/>
      <c r="K56" s="48"/>
      <c r="L56" s="49"/>
      <c r="M56" s="49"/>
      <c r="N56" s="49"/>
      <c r="O56" s="49"/>
      <c r="P56" s="64"/>
      <c r="Q56" s="51"/>
      <c r="S56" s="25"/>
      <c r="T56" s="25"/>
      <c r="U56" s="25"/>
      <c r="V56" s="26"/>
    </row>
    <row r="57" spans="1:22" x14ac:dyDescent="0.2">
      <c r="B57" s="47"/>
      <c r="C57" s="232"/>
      <c r="D57" s="233"/>
      <c r="E57" s="233"/>
      <c r="F57" s="233"/>
      <c r="G57" s="233"/>
      <c r="H57" s="233"/>
      <c r="I57" s="233"/>
      <c r="J57" s="234"/>
      <c r="K57" s="48"/>
      <c r="L57" s="49"/>
      <c r="M57" s="49"/>
      <c r="N57" s="49"/>
      <c r="O57" s="49"/>
      <c r="P57" s="64"/>
      <c r="Q57" s="51"/>
      <c r="S57" s="25"/>
      <c r="T57" s="25"/>
      <c r="U57" s="25"/>
      <c r="V57" s="26"/>
    </row>
    <row r="58" spans="1:22" x14ac:dyDescent="0.2">
      <c r="B58" s="65"/>
      <c r="C58" s="244"/>
      <c r="D58" s="245"/>
      <c r="E58" s="245"/>
      <c r="F58" s="245"/>
      <c r="G58" s="245"/>
      <c r="H58" s="245"/>
      <c r="I58" s="245"/>
      <c r="J58" s="246"/>
      <c r="K58" s="48"/>
      <c r="L58" s="49"/>
      <c r="M58" s="49"/>
      <c r="N58" s="49"/>
      <c r="O58" s="49"/>
      <c r="P58" s="64"/>
      <c r="Q58" s="51"/>
      <c r="S58" s="25"/>
      <c r="T58" s="25"/>
      <c r="U58" s="25"/>
      <c r="V58" s="26"/>
    </row>
    <row r="59" spans="1:22" ht="43.5" customHeight="1" x14ac:dyDescent="0.2">
      <c r="A59" s="37">
        <v>9</v>
      </c>
      <c r="B59" s="69" t="s">
        <v>8</v>
      </c>
      <c r="C59" s="232" t="s">
        <v>57</v>
      </c>
      <c r="D59" s="233"/>
      <c r="E59" s="233"/>
      <c r="F59" s="233"/>
      <c r="G59" s="233"/>
      <c r="H59" s="233"/>
      <c r="I59" s="233"/>
      <c r="J59" s="234"/>
      <c r="K59" s="48"/>
      <c r="L59" s="49"/>
      <c r="M59" s="49"/>
      <c r="N59" s="49"/>
      <c r="O59" s="49"/>
      <c r="P59" s="64"/>
      <c r="Q59" s="51"/>
      <c r="S59" s="25"/>
      <c r="T59" s="25"/>
      <c r="U59" s="25"/>
      <c r="V59" s="26"/>
    </row>
    <row r="60" spans="1:22" ht="22.5" x14ac:dyDescent="0.2">
      <c r="A60" s="46"/>
      <c r="B60" s="69" t="s">
        <v>9</v>
      </c>
      <c r="C60" s="304" t="s">
        <v>106</v>
      </c>
      <c r="D60" s="292"/>
      <c r="E60" s="292"/>
      <c r="F60" s="292"/>
      <c r="G60" s="292"/>
      <c r="H60" s="292"/>
      <c r="I60" s="292"/>
      <c r="J60" s="293"/>
      <c r="K60" s="52"/>
      <c r="L60" s="49"/>
      <c r="M60" s="49"/>
      <c r="N60" s="49"/>
      <c r="O60" s="49"/>
      <c r="P60" s="64"/>
      <c r="Q60" s="51"/>
      <c r="S60" s="28" t="s">
        <v>298</v>
      </c>
      <c r="T60" s="28">
        <f>Q61/R61</f>
        <v>2.4415372896661691</v>
      </c>
      <c r="U60" s="25"/>
      <c r="V60" s="26"/>
    </row>
    <row r="61" spans="1:22" x14ac:dyDescent="0.2">
      <c r="B61" s="47"/>
      <c r="C61" s="67">
        <v>6</v>
      </c>
      <c r="D61" s="68">
        <v>2</v>
      </c>
      <c r="E61" s="68">
        <f>D61/C61</f>
        <v>0.33333333333333331</v>
      </c>
      <c r="F61" s="68">
        <v>1</v>
      </c>
      <c r="G61" s="68"/>
      <c r="H61" s="69"/>
      <c r="I61" s="68">
        <v>4.1719999999999997</v>
      </c>
      <c r="J61" s="70">
        <f>(4.149+2.572+3.259+3.627)/4</f>
        <v>3.4017499999999998</v>
      </c>
      <c r="K61" s="59">
        <f>I61/(0.2*J61)</f>
        <v>6.1321378702138603</v>
      </c>
      <c r="L61" s="60">
        <f>E61</f>
        <v>0.33333333333333331</v>
      </c>
      <c r="M61" s="60">
        <f>F61</f>
        <v>1</v>
      </c>
      <c r="N61" s="60">
        <f>I61</f>
        <v>4.1719999999999997</v>
      </c>
      <c r="O61" s="71">
        <f>J61</f>
        <v>3.4017499999999998</v>
      </c>
      <c r="P61" s="83">
        <f>3*((D61*SQRT(1+F61))/(C61))*(1+2*N61/O61)</f>
        <v>4.8830745793323382</v>
      </c>
      <c r="Q61" s="73">
        <f>P61</f>
        <v>4.8830745793323382</v>
      </c>
      <c r="R61" s="22">
        <v>2</v>
      </c>
      <c r="S61" s="27" t="s">
        <v>15</v>
      </c>
      <c r="T61" s="27">
        <f>Q61/R61</f>
        <v>2.4415372896661691</v>
      </c>
      <c r="U61" s="27">
        <f>T61+T60</f>
        <v>4.8830745793323382</v>
      </c>
      <c r="V61" s="26"/>
    </row>
    <row r="62" spans="1:22" x14ac:dyDescent="0.2">
      <c r="B62" s="47" t="s">
        <v>10</v>
      </c>
      <c r="C62" s="238" t="s">
        <v>107</v>
      </c>
      <c r="D62" s="239"/>
      <c r="E62" s="239"/>
      <c r="F62" s="239"/>
      <c r="G62" s="239"/>
      <c r="H62" s="239"/>
      <c r="I62" s="239"/>
      <c r="J62" s="240"/>
      <c r="K62" s="62"/>
      <c r="L62" s="49"/>
      <c r="M62" s="49"/>
      <c r="N62" s="49"/>
      <c r="O62" s="49"/>
      <c r="P62" s="64"/>
      <c r="Q62" s="51"/>
      <c r="S62" s="25"/>
      <c r="T62" s="25"/>
      <c r="U62" s="25"/>
      <c r="V62" s="26"/>
    </row>
    <row r="63" spans="1:22" x14ac:dyDescent="0.2">
      <c r="B63" s="47" t="s">
        <v>11</v>
      </c>
      <c r="C63" s="232"/>
      <c r="D63" s="233"/>
      <c r="E63" s="233"/>
      <c r="F63" s="233"/>
      <c r="G63" s="233"/>
      <c r="H63" s="233"/>
      <c r="I63" s="233"/>
      <c r="J63" s="234"/>
      <c r="K63" s="48"/>
      <c r="L63" s="49"/>
      <c r="M63" s="49"/>
      <c r="N63" s="49"/>
      <c r="O63" s="49"/>
      <c r="P63" s="64"/>
      <c r="Q63" s="51"/>
      <c r="S63" s="25"/>
      <c r="T63" s="25"/>
      <c r="U63" s="25"/>
      <c r="V63" s="26"/>
    </row>
    <row r="64" spans="1:22" x14ac:dyDescent="0.2">
      <c r="B64" s="47"/>
      <c r="C64" s="232"/>
      <c r="D64" s="233"/>
      <c r="E64" s="233"/>
      <c r="F64" s="233"/>
      <c r="G64" s="233"/>
      <c r="H64" s="233"/>
      <c r="I64" s="233"/>
      <c r="J64" s="234"/>
      <c r="K64" s="48"/>
      <c r="L64" s="49"/>
      <c r="M64" s="49"/>
      <c r="N64" s="49"/>
      <c r="O64" s="49"/>
      <c r="P64" s="64"/>
      <c r="Q64" s="51"/>
      <c r="S64" s="25"/>
      <c r="T64" s="25"/>
      <c r="U64" s="25"/>
      <c r="V64" s="26"/>
    </row>
    <row r="65" spans="1:22" x14ac:dyDescent="0.2">
      <c r="B65" s="65"/>
      <c r="C65" s="244"/>
      <c r="D65" s="245"/>
      <c r="E65" s="245"/>
      <c r="F65" s="245"/>
      <c r="G65" s="245"/>
      <c r="H65" s="245"/>
      <c r="I65" s="245"/>
      <c r="J65" s="246"/>
      <c r="K65" s="48"/>
      <c r="L65" s="49"/>
      <c r="M65" s="49"/>
      <c r="N65" s="49"/>
      <c r="O65" s="49"/>
      <c r="P65" s="64"/>
      <c r="Q65" s="51"/>
      <c r="S65" s="25"/>
      <c r="T65" s="25"/>
      <c r="U65" s="25"/>
      <c r="V65" s="26"/>
    </row>
    <row r="66" spans="1:22" ht="45.75" customHeight="1" x14ac:dyDescent="0.2">
      <c r="A66" s="37">
        <v>10</v>
      </c>
      <c r="B66" s="47" t="s">
        <v>8</v>
      </c>
      <c r="C66" s="232" t="s">
        <v>58</v>
      </c>
      <c r="D66" s="233"/>
      <c r="E66" s="233"/>
      <c r="F66" s="233"/>
      <c r="G66" s="233"/>
      <c r="H66" s="233"/>
      <c r="I66" s="233"/>
      <c r="J66" s="234"/>
      <c r="K66" s="48"/>
      <c r="L66" s="49"/>
      <c r="M66" s="49"/>
      <c r="N66" s="49"/>
      <c r="O66" s="49"/>
      <c r="P66" s="64"/>
      <c r="Q66" s="51"/>
      <c r="S66" s="28" t="s">
        <v>349</v>
      </c>
      <c r="T66" s="28">
        <f>Q68/R68</f>
        <v>3.3824740115462486</v>
      </c>
      <c r="U66" s="25"/>
      <c r="V66" s="26"/>
    </row>
    <row r="67" spans="1:22" ht="22.5" x14ac:dyDescent="0.2">
      <c r="B67" s="47" t="s">
        <v>9</v>
      </c>
      <c r="C67" s="235" t="s">
        <v>108</v>
      </c>
      <c r="D67" s="236"/>
      <c r="E67" s="236"/>
      <c r="F67" s="236"/>
      <c r="G67" s="236"/>
      <c r="H67" s="236"/>
      <c r="I67" s="236"/>
      <c r="J67" s="237"/>
      <c r="K67" s="52"/>
      <c r="L67" s="49"/>
      <c r="M67" s="49"/>
      <c r="N67" s="49"/>
      <c r="O67" s="49"/>
      <c r="P67" s="64"/>
      <c r="Q67" s="51"/>
      <c r="S67" s="27" t="s">
        <v>196</v>
      </c>
      <c r="T67" s="27">
        <f>Q68/R68</f>
        <v>3.3824740115462486</v>
      </c>
      <c r="U67" s="27">
        <f>T67</f>
        <v>3.3824740115462486</v>
      </c>
      <c r="V67" s="26"/>
    </row>
    <row r="68" spans="1:22" x14ac:dyDescent="0.2">
      <c r="B68" s="47"/>
      <c r="C68" s="67">
        <v>6</v>
      </c>
      <c r="D68" s="55">
        <v>4</v>
      </c>
      <c r="E68" s="82">
        <f>D68/C68</f>
        <v>0.66666666666666663</v>
      </c>
      <c r="F68" s="55">
        <v>2</v>
      </c>
      <c r="G68" s="55"/>
      <c r="H68" s="56"/>
      <c r="I68" s="56">
        <v>2.605</v>
      </c>
      <c r="J68" s="78">
        <v>1.7929999999999999</v>
      </c>
      <c r="K68" s="59">
        <f>I68/(0.2*J68)</f>
        <v>7.2643614054656993</v>
      </c>
      <c r="L68" s="60">
        <f>E68</f>
        <v>0.66666666666666663</v>
      </c>
      <c r="M68" s="60">
        <f>F68</f>
        <v>2</v>
      </c>
      <c r="N68" s="60">
        <f>I68</f>
        <v>2.605</v>
      </c>
      <c r="O68" s="71">
        <f>J68</f>
        <v>1.7929999999999999</v>
      </c>
      <c r="P68" s="83">
        <f>3*((D68*SQRT(1+F68))/(C68))*(1+2*N68/O68)</f>
        <v>13.529896046184994</v>
      </c>
      <c r="Q68" s="73">
        <f>P68</f>
        <v>13.529896046184994</v>
      </c>
      <c r="R68" s="22">
        <v>4</v>
      </c>
      <c r="S68" s="27" t="s">
        <v>29</v>
      </c>
      <c r="T68" s="27">
        <f>Q68/R68</f>
        <v>3.3824740115462486</v>
      </c>
      <c r="U68" s="27">
        <f>T68</f>
        <v>3.3824740115462486</v>
      </c>
      <c r="V68" s="26"/>
    </row>
    <row r="69" spans="1:22" x14ac:dyDescent="0.2">
      <c r="B69" s="47" t="s">
        <v>10</v>
      </c>
      <c r="C69" s="238" t="s">
        <v>109</v>
      </c>
      <c r="D69" s="239"/>
      <c r="E69" s="239"/>
      <c r="F69" s="239"/>
      <c r="G69" s="239"/>
      <c r="H69" s="239"/>
      <c r="I69" s="239"/>
      <c r="J69" s="240"/>
      <c r="K69" s="62"/>
      <c r="L69" s="49"/>
      <c r="M69" s="49"/>
      <c r="N69" s="49"/>
      <c r="O69" s="49"/>
      <c r="P69" s="64"/>
      <c r="Q69" s="51"/>
      <c r="S69" s="27" t="s">
        <v>20</v>
      </c>
      <c r="T69" s="27">
        <f>Q68/R68</f>
        <v>3.3824740115462486</v>
      </c>
      <c r="U69" s="27">
        <f>T69+T66</f>
        <v>6.7649480230924972</v>
      </c>
      <c r="V69" s="26"/>
    </row>
    <row r="70" spans="1:22" x14ac:dyDescent="0.2">
      <c r="B70" s="47" t="s">
        <v>11</v>
      </c>
      <c r="C70" s="232"/>
      <c r="D70" s="233"/>
      <c r="E70" s="233"/>
      <c r="F70" s="233"/>
      <c r="G70" s="233"/>
      <c r="H70" s="233"/>
      <c r="I70" s="233"/>
      <c r="J70" s="234"/>
      <c r="K70" s="48"/>
      <c r="L70" s="49"/>
      <c r="M70" s="49"/>
      <c r="N70" s="49"/>
      <c r="O70" s="49"/>
      <c r="P70" s="64"/>
      <c r="Q70" s="51"/>
      <c r="S70" s="25"/>
      <c r="T70" s="25"/>
      <c r="U70" s="25"/>
      <c r="V70" s="26"/>
    </row>
    <row r="71" spans="1:22" x14ac:dyDescent="0.2">
      <c r="B71" s="47"/>
      <c r="C71" s="232"/>
      <c r="D71" s="233"/>
      <c r="E71" s="233"/>
      <c r="F71" s="233"/>
      <c r="G71" s="233"/>
      <c r="H71" s="233"/>
      <c r="I71" s="233"/>
      <c r="J71" s="234"/>
      <c r="K71" s="48"/>
      <c r="L71" s="49"/>
      <c r="M71" s="49"/>
      <c r="N71" s="49"/>
      <c r="O71" s="49"/>
      <c r="P71" s="64"/>
      <c r="Q71" s="51"/>
      <c r="S71" s="25"/>
      <c r="T71" s="25"/>
      <c r="U71" s="25"/>
      <c r="V71" s="26"/>
    </row>
    <row r="72" spans="1:22" x14ac:dyDescent="0.2">
      <c r="B72" s="65"/>
      <c r="C72" s="244"/>
      <c r="D72" s="245"/>
      <c r="E72" s="245"/>
      <c r="F72" s="245"/>
      <c r="G72" s="245"/>
      <c r="H72" s="245"/>
      <c r="I72" s="245"/>
      <c r="J72" s="246"/>
      <c r="K72" s="48"/>
      <c r="L72" s="49"/>
      <c r="M72" s="49"/>
      <c r="N72" s="49"/>
      <c r="O72" s="49"/>
      <c r="P72" s="64"/>
      <c r="Q72" s="51"/>
      <c r="S72" s="25"/>
      <c r="T72" s="25"/>
      <c r="U72" s="25"/>
      <c r="V72" s="26"/>
    </row>
    <row r="73" spans="1:22" ht="33.75" x14ac:dyDescent="0.2">
      <c r="A73" s="37">
        <v>11</v>
      </c>
      <c r="B73" s="69" t="s">
        <v>8</v>
      </c>
      <c r="C73" s="232" t="s">
        <v>59</v>
      </c>
      <c r="D73" s="233"/>
      <c r="E73" s="233"/>
      <c r="F73" s="233"/>
      <c r="G73" s="233"/>
      <c r="H73" s="233"/>
      <c r="I73" s="233"/>
      <c r="J73" s="234"/>
      <c r="K73" s="48"/>
      <c r="L73" s="49"/>
      <c r="M73" s="49"/>
      <c r="N73" s="49"/>
      <c r="O73" s="49"/>
      <c r="P73" s="64"/>
      <c r="Q73" s="51"/>
      <c r="S73" s="25"/>
      <c r="T73" s="25"/>
      <c r="U73" s="25"/>
      <c r="V73" s="26"/>
    </row>
    <row r="74" spans="1:22" ht="22.5" x14ac:dyDescent="0.2">
      <c r="A74" s="46"/>
      <c r="B74" s="69" t="s">
        <v>9</v>
      </c>
      <c r="C74" s="235" t="s">
        <v>111</v>
      </c>
      <c r="D74" s="236"/>
      <c r="E74" s="236"/>
      <c r="F74" s="236"/>
      <c r="G74" s="236"/>
      <c r="H74" s="236"/>
      <c r="I74" s="236"/>
      <c r="J74" s="237"/>
      <c r="K74" s="52"/>
      <c r="L74" s="49"/>
      <c r="M74" s="49"/>
      <c r="N74" s="49"/>
      <c r="O74" s="49"/>
      <c r="P74" s="64"/>
      <c r="Q74" s="51"/>
      <c r="S74" s="27" t="s">
        <v>197</v>
      </c>
      <c r="T74" s="27">
        <f>Q75/R75</f>
        <v>0.68667500362945055</v>
      </c>
      <c r="U74" s="27">
        <f>T74</f>
        <v>0.68667500362945055</v>
      </c>
      <c r="V74" s="26"/>
    </row>
    <row r="75" spans="1:22" x14ac:dyDescent="0.2">
      <c r="B75" s="47"/>
      <c r="C75" s="162">
        <v>6</v>
      </c>
      <c r="D75" s="55">
        <v>2</v>
      </c>
      <c r="E75" s="82">
        <f>D75/C75</f>
        <v>0.33333333333333331</v>
      </c>
      <c r="F75" s="55">
        <v>1</v>
      </c>
      <c r="G75" s="55"/>
      <c r="H75" s="56"/>
      <c r="I75" s="56">
        <v>1.3939999999999999</v>
      </c>
      <c r="J75" s="84">
        <v>2.9590000000000001</v>
      </c>
      <c r="K75" s="59">
        <f>I75/(0.2*J75)</f>
        <v>2.3555255153768164</v>
      </c>
      <c r="L75" s="60">
        <f>E75</f>
        <v>0.33333333333333331</v>
      </c>
      <c r="M75" s="60">
        <f>F75</f>
        <v>1</v>
      </c>
      <c r="N75" s="60">
        <f>I75</f>
        <v>1.3939999999999999</v>
      </c>
      <c r="O75" s="60">
        <f>J75</f>
        <v>2.9590000000000001</v>
      </c>
      <c r="P75" s="83">
        <f>3*((D75*SQRT(1+F75))/(C75))*(1+2*N75/O75)</f>
        <v>2.7467000145178022</v>
      </c>
      <c r="Q75" s="56">
        <f>P75</f>
        <v>2.7467000145178022</v>
      </c>
      <c r="R75" s="22">
        <v>4</v>
      </c>
      <c r="S75" s="28" t="s">
        <v>325</v>
      </c>
      <c r="T75" s="28">
        <f>Q75/R75</f>
        <v>0.68667500362945055</v>
      </c>
      <c r="U75" s="25"/>
      <c r="V75" s="26"/>
    </row>
    <row r="76" spans="1:22" x14ac:dyDescent="0.2">
      <c r="B76" s="47" t="s">
        <v>10</v>
      </c>
      <c r="C76" s="238" t="s">
        <v>110</v>
      </c>
      <c r="D76" s="239"/>
      <c r="E76" s="239"/>
      <c r="F76" s="239"/>
      <c r="G76" s="239"/>
      <c r="H76" s="239"/>
      <c r="I76" s="239"/>
      <c r="J76" s="240"/>
      <c r="K76" s="62"/>
      <c r="L76" s="49"/>
      <c r="M76" s="49"/>
      <c r="N76" s="49"/>
      <c r="O76" s="49"/>
      <c r="P76" s="64"/>
      <c r="Q76" s="51"/>
      <c r="S76" s="27" t="s">
        <v>198</v>
      </c>
      <c r="T76" s="27">
        <f>Q75/R75</f>
        <v>0.68667500362945055</v>
      </c>
      <c r="U76" s="27">
        <f>T76</f>
        <v>0.68667500362945055</v>
      </c>
      <c r="V76" s="26"/>
    </row>
    <row r="77" spans="1:22" x14ac:dyDescent="0.2">
      <c r="B77" s="47" t="s">
        <v>11</v>
      </c>
      <c r="C77" s="232"/>
      <c r="D77" s="233"/>
      <c r="E77" s="233"/>
      <c r="F77" s="233"/>
      <c r="G77" s="233"/>
      <c r="H77" s="233"/>
      <c r="I77" s="233"/>
      <c r="J77" s="234"/>
      <c r="K77" s="48"/>
      <c r="L77" s="49"/>
      <c r="M77" s="49"/>
      <c r="N77" s="49"/>
      <c r="O77" s="49"/>
      <c r="P77" s="64"/>
      <c r="Q77" s="51"/>
      <c r="S77" s="27" t="s">
        <v>16</v>
      </c>
      <c r="T77" s="27">
        <f>Q75/R75</f>
        <v>0.68667500362945055</v>
      </c>
      <c r="U77" s="27">
        <f>T75+T77</f>
        <v>1.3733500072589011</v>
      </c>
      <c r="V77" s="26"/>
    </row>
    <row r="78" spans="1:22" x14ac:dyDescent="0.2">
      <c r="B78" s="47"/>
      <c r="C78" s="232"/>
      <c r="D78" s="233"/>
      <c r="E78" s="233"/>
      <c r="F78" s="233"/>
      <c r="G78" s="233"/>
      <c r="H78" s="233"/>
      <c r="I78" s="233"/>
      <c r="J78" s="234"/>
      <c r="K78" s="48"/>
      <c r="L78" s="49"/>
      <c r="M78" s="49"/>
      <c r="N78" s="49"/>
      <c r="O78" s="49"/>
      <c r="P78" s="64"/>
      <c r="Q78" s="51"/>
      <c r="S78" s="25"/>
      <c r="T78" s="25"/>
      <c r="U78" s="25"/>
      <c r="V78" s="26"/>
    </row>
    <row r="79" spans="1:22" x14ac:dyDescent="0.2">
      <c r="B79" s="65"/>
      <c r="C79" s="244"/>
      <c r="D79" s="245"/>
      <c r="E79" s="245"/>
      <c r="F79" s="245"/>
      <c r="G79" s="245"/>
      <c r="H79" s="245"/>
      <c r="I79" s="245"/>
      <c r="J79" s="246"/>
      <c r="K79" s="48"/>
      <c r="L79" s="49"/>
      <c r="M79" s="49"/>
      <c r="N79" s="49"/>
      <c r="O79" s="49"/>
      <c r="P79" s="64"/>
      <c r="Q79" s="51"/>
      <c r="S79" s="25"/>
      <c r="T79" s="25"/>
      <c r="U79" s="25"/>
      <c r="V79" s="26"/>
    </row>
    <row r="80" spans="1:22" ht="48.75" customHeight="1" x14ac:dyDescent="0.2">
      <c r="A80" s="37">
        <v>12</v>
      </c>
      <c r="B80" s="47" t="s">
        <v>8</v>
      </c>
      <c r="C80" s="232" t="s">
        <v>112</v>
      </c>
      <c r="D80" s="233"/>
      <c r="E80" s="233"/>
      <c r="F80" s="233"/>
      <c r="G80" s="233"/>
      <c r="H80" s="233"/>
      <c r="I80" s="233"/>
      <c r="J80" s="234"/>
      <c r="K80" s="48"/>
      <c r="L80" s="49"/>
      <c r="M80" s="49"/>
      <c r="N80" s="49"/>
      <c r="O80" s="49"/>
      <c r="P80" s="64"/>
      <c r="Q80" s="51"/>
      <c r="S80" s="25"/>
      <c r="T80" s="25"/>
      <c r="U80" s="25"/>
      <c r="V80" s="26"/>
    </row>
    <row r="81" spans="1:22" ht="22.5" x14ac:dyDescent="0.2">
      <c r="B81" s="47" t="s">
        <v>9</v>
      </c>
      <c r="C81" s="235" t="s">
        <v>114</v>
      </c>
      <c r="D81" s="236"/>
      <c r="E81" s="236"/>
      <c r="F81" s="236"/>
      <c r="G81" s="236"/>
      <c r="H81" s="236"/>
      <c r="I81" s="236"/>
      <c r="J81" s="237"/>
      <c r="K81" s="52"/>
      <c r="L81" s="49"/>
      <c r="M81" s="49"/>
      <c r="N81" s="49"/>
      <c r="O81" s="49"/>
      <c r="P81" s="64"/>
      <c r="Q81" s="51"/>
      <c r="S81" s="27" t="s">
        <v>199</v>
      </c>
      <c r="T81" s="27">
        <f>Q82/R82</f>
        <v>2.8495238058154158</v>
      </c>
      <c r="U81" s="27">
        <f>T81</f>
        <v>2.8495238058154158</v>
      </c>
      <c r="V81" s="26"/>
    </row>
    <row r="82" spans="1:22" x14ac:dyDescent="0.2">
      <c r="B82" s="47"/>
      <c r="C82" s="54">
        <v>5</v>
      </c>
      <c r="D82" s="55">
        <v>3</v>
      </c>
      <c r="E82" s="55">
        <f>D82/C82</f>
        <v>0.6</v>
      </c>
      <c r="F82" s="55">
        <v>1</v>
      </c>
      <c r="G82" s="55"/>
      <c r="H82" s="56"/>
      <c r="I82" s="56">
        <v>2.7189999999999999</v>
      </c>
      <c r="J82" s="84">
        <v>2.306</v>
      </c>
      <c r="K82" s="59">
        <f>I82/(0.2*J82)</f>
        <v>5.8954900260190799</v>
      </c>
      <c r="L82" s="60">
        <f>E82</f>
        <v>0.6</v>
      </c>
      <c r="M82" s="60">
        <f>F82</f>
        <v>1</v>
      </c>
      <c r="N82" s="60">
        <f>I82</f>
        <v>2.7189999999999999</v>
      </c>
      <c r="O82" s="60">
        <f>J82</f>
        <v>2.306</v>
      </c>
      <c r="P82" s="83">
        <f>3*((D82*SQRT(1+F82))/(C82))*(1+2*N82/O82)</f>
        <v>8.5485714174462473</v>
      </c>
      <c r="Q82" s="56">
        <f>P82</f>
        <v>8.5485714174462473</v>
      </c>
      <c r="R82" s="22">
        <v>3</v>
      </c>
      <c r="S82" s="27" t="s">
        <v>200</v>
      </c>
      <c r="T82" s="27">
        <f>Q82/R82</f>
        <v>2.8495238058154158</v>
      </c>
      <c r="U82" s="27">
        <f>T82</f>
        <v>2.8495238058154158</v>
      </c>
      <c r="V82" s="26"/>
    </row>
    <row r="83" spans="1:22" x14ac:dyDescent="0.2">
      <c r="B83" s="47" t="s">
        <v>10</v>
      </c>
      <c r="C83" s="238" t="s">
        <v>113</v>
      </c>
      <c r="D83" s="239"/>
      <c r="E83" s="239"/>
      <c r="F83" s="239"/>
      <c r="G83" s="239"/>
      <c r="H83" s="239"/>
      <c r="I83" s="239"/>
      <c r="J83" s="240"/>
      <c r="K83" s="62"/>
      <c r="L83" s="49"/>
      <c r="M83" s="49"/>
      <c r="N83" s="49"/>
      <c r="O83" s="49"/>
      <c r="P83" s="64"/>
      <c r="Q83" s="51"/>
      <c r="S83" s="27" t="s">
        <v>20</v>
      </c>
      <c r="T83" s="27">
        <f>Q82/R82</f>
        <v>2.8495238058154158</v>
      </c>
      <c r="U83" s="27">
        <f>T83</f>
        <v>2.8495238058154158</v>
      </c>
      <c r="V83" s="26"/>
    </row>
    <row r="84" spans="1:22" x14ac:dyDescent="0.2">
      <c r="B84" s="47" t="s">
        <v>11</v>
      </c>
      <c r="C84" s="232"/>
      <c r="D84" s="233"/>
      <c r="E84" s="233"/>
      <c r="F84" s="233"/>
      <c r="G84" s="233"/>
      <c r="H84" s="233"/>
      <c r="I84" s="233"/>
      <c r="J84" s="234"/>
      <c r="K84" s="48"/>
      <c r="L84" s="49"/>
      <c r="M84" s="49"/>
      <c r="N84" s="49"/>
      <c r="O84" s="49"/>
      <c r="P84" s="64"/>
      <c r="Q84" s="51"/>
      <c r="S84" s="25"/>
      <c r="T84" s="25"/>
      <c r="U84" s="25"/>
      <c r="V84" s="26"/>
    </row>
    <row r="85" spans="1:22" x14ac:dyDescent="0.2">
      <c r="B85" s="47"/>
      <c r="C85" s="232"/>
      <c r="D85" s="233"/>
      <c r="E85" s="233"/>
      <c r="F85" s="233"/>
      <c r="G85" s="233"/>
      <c r="H85" s="233"/>
      <c r="I85" s="233"/>
      <c r="J85" s="234"/>
      <c r="K85" s="48"/>
      <c r="L85" s="49"/>
      <c r="M85" s="49"/>
      <c r="N85" s="49"/>
      <c r="O85" s="49"/>
      <c r="P85" s="64"/>
      <c r="Q85" s="51"/>
      <c r="S85" s="25"/>
      <c r="T85" s="25"/>
      <c r="U85" s="25"/>
      <c r="V85" s="26"/>
    </row>
    <row r="86" spans="1:22" x14ac:dyDescent="0.2">
      <c r="B86" s="65"/>
      <c r="C86" s="244"/>
      <c r="D86" s="245"/>
      <c r="E86" s="245"/>
      <c r="F86" s="245"/>
      <c r="G86" s="245"/>
      <c r="H86" s="245"/>
      <c r="I86" s="245"/>
      <c r="J86" s="246"/>
      <c r="K86" s="48"/>
      <c r="L86" s="49"/>
      <c r="M86" s="49"/>
      <c r="N86" s="49"/>
      <c r="O86" s="49"/>
      <c r="P86" s="64"/>
      <c r="Q86" s="51"/>
      <c r="S86" s="25"/>
      <c r="T86" s="25"/>
      <c r="U86" s="25"/>
      <c r="V86" s="26"/>
    </row>
    <row r="87" spans="1:22" ht="45" customHeight="1" x14ac:dyDescent="0.2">
      <c r="A87" s="37">
        <v>13</v>
      </c>
      <c r="B87" s="69" t="s">
        <v>8</v>
      </c>
      <c r="C87" s="232" t="s">
        <v>60</v>
      </c>
      <c r="D87" s="233"/>
      <c r="E87" s="233"/>
      <c r="F87" s="233"/>
      <c r="G87" s="233"/>
      <c r="H87" s="233"/>
      <c r="I87" s="233"/>
      <c r="J87" s="234"/>
      <c r="K87" s="48"/>
      <c r="L87" s="49"/>
      <c r="M87" s="49"/>
      <c r="N87" s="49"/>
      <c r="O87" s="49"/>
      <c r="P87" s="64"/>
      <c r="Q87" s="51"/>
      <c r="S87" s="25"/>
      <c r="T87" s="25"/>
      <c r="U87" s="25"/>
      <c r="V87" s="26"/>
    </row>
    <row r="88" spans="1:22" ht="22.5" x14ac:dyDescent="0.2">
      <c r="A88" s="46"/>
      <c r="B88" s="69" t="s">
        <v>9</v>
      </c>
      <c r="C88" s="235" t="s">
        <v>115</v>
      </c>
      <c r="D88" s="236"/>
      <c r="E88" s="236"/>
      <c r="F88" s="236"/>
      <c r="G88" s="236"/>
      <c r="H88" s="236"/>
      <c r="I88" s="236"/>
      <c r="J88" s="237"/>
      <c r="K88" s="52"/>
      <c r="L88" s="49"/>
      <c r="M88" s="49"/>
      <c r="N88" s="49"/>
      <c r="O88" s="49"/>
      <c r="P88" s="64"/>
      <c r="Q88" s="51"/>
      <c r="S88" s="28" t="s">
        <v>299</v>
      </c>
      <c r="T88" s="28">
        <f>Q89/R89</f>
        <v>1.0692400952063414</v>
      </c>
      <c r="U88" s="25"/>
      <c r="V88" s="26"/>
    </row>
    <row r="89" spans="1:22" x14ac:dyDescent="0.2">
      <c r="B89" s="47"/>
      <c r="C89" s="67">
        <v>8</v>
      </c>
      <c r="D89" s="55">
        <v>4.5</v>
      </c>
      <c r="E89" s="55">
        <f>D89/C89</f>
        <v>0.5625</v>
      </c>
      <c r="F89" s="55">
        <v>1</v>
      </c>
      <c r="G89" s="55"/>
      <c r="H89" s="56"/>
      <c r="I89" s="56">
        <v>2.7519999999999998</v>
      </c>
      <c r="J89" s="78">
        <v>4.4379999999999997</v>
      </c>
      <c r="K89" s="85">
        <f>I89/(0.2*J89)</f>
        <v>3.1004957187922488</v>
      </c>
      <c r="L89" s="86">
        <f>E89</f>
        <v>0.5625</v>
      </c>
      <c r="M89" s="60">
        <f>F89</f>
        <v>1</v>
      </c>
      <c r="N89" s="60">
        <f>I89</f>
        <v>2.7519999999999998</v>
      </c>
      <c r="O89" s="60">
        <f>J89</f>
        <v>4.4379999999999997</v>
      </c>
      <c r="P89" s="83">
        <f>3*((D89*SQRT(1+F89))/(C89))*(1+2*N89/O89)</f>
        <v>5.346200476031707</v>
      </c>
      <c r="Q89" s="56">
        <f>P89</f>
        <v>5.346200476031707</v>
      </c>
      <c r="R89" s="22">
        <v>5</v>
      </c>
      <c r="S89" s="28" t="s">
        <v>300</v>
      </c>
      <c r="T89" s="192">
        <f>Q89/R89</f>
        <v>1.0692400952063414</v>
      </c>
      <c r="U89" s="25"/>
      <c r="V89" s="26"/>
    </row>
    <row r="90" spans="1:22" x14ac:dyDescent="0.2">
      <c r="B90" s="47" t="s">
        <v>10</v>
      </c>
      <c r="C90" s="238" t="s">
        <v>116</v>
      </c>
      <c r="D90" s="239"/>
      <c r="E90" s="239"/>
      <c r="F90" s="239"/>
      <c r="G90" s="239"/>
      <c r="H90" s="239"/>
      <c r="I90" s="239"/>
      <c r="J90" s="240"/>
      <c r="K90" s="48"/>
      <c r="L90" s="49"/>
      <c r="M90" s="49"/>
      <c r="N90" s="49"/>
      <c r="O90" s="49"/>
      <c r="P90" s="64"/>
      <c r="Q90" s="51"/>
      <c r="S90" s="28" t="s">
        <v>326</v>
      </c>
      <c r="T90" s="28">
        <f>Q89/R89</f>
        <v>1.0692400952063414</v>
      </c>
      <c r="U90" s="25"/>
      <c r="V90" s="26"/>
    </row>
    <row r="91" spans="1:22" x14ac:dyDescent="0.2">
      <c r="B91" s="47" t="s">
        <v>11</v>
      </c>
      <c r="C91" s="232"/>
      <c r="D91" s="233"/>
      <c r="E91" s="233"/>
      <c r="F91" s="233"/>
      <c r="G91" s="233"/>
      <c r="H91" s="233"/>
      <c r="I91" s="233"/>
      <c r="J91" s="234"/>
      <c r="K91" s="48"/>
      <c r="L91" s="49"/>
      <c r="M91" s="49"/>
      <c r="N91" s="49"/>
      <c r="O91" s="49"/>
      <c r="P91" s="64"/>
      <c r="Q91" s="51"/>
      <c r="S91" s="27" t="s">
        <v>201</v>
      </c>
      <c r="T91" s="27">
        <f>Q89/R89</f>
        <v>1.0692400952063414</v>
      </c>
      <c r="U91" s="27">
        <f>T91+T90</f>
        <v>2.1384801904126829</v>
      </c>
      <c r="V91" s="26"/>
    </row>
    <row r="92" spans="1:22" x14ac:dyDescent="0.2">
      <c r="B92" s="47"/>
      <c r="C92" s="232"/>
      <c r="D92" s="233"/>
      <c r="E92" s="233"/>
      <c r="F92" s="233"/>
      <c r="G92" s="233"/>
      <c r="H92" s="233"/>
      <c r="I92" s="233"/>
      <c r="J92" s="234"/>
      <c r="K92" s="48"/>
      <c r="L92" s="49"/>
      <c r="M92" s="49"/>
      <c r="N92" s="49"/>
      <c r="O92" s="49"/>
      <c r="P92" s="64"/>
      <c r="Q92" s="51"/>
      <c r="S92" s="27" t="s">
        <v>202</v>
      </c>
      <c r="T92" s="27">
        <f>Q89/R89</f>
        <v>1.0692400952063414</v>
      </c>
      <c r="U92" s="27">
        <f>T92+T89+T88</f>
        <v>3.2077202856190246</v>
      </c>
      <c r="V92" s="26"/>
    </row>
    <row r="93" spans="1:22" x14ac:dyDescent="0.2">
      <c r="B93" s="65"/>
      <c r="C93" s="244"/>
      <c r="D93" s="245"/>
      <c r="E93" s="245"/>
      <c r="F93" s="245"/>
      <c r="G93" s="245"/>
      <c r="H93" s="245"/>
      <c r="I93" s="245"/>
      <c r="J93" s="246"/>
      <c r="K93" s="48"/>
      <c r="L93" s="49"/>
      <c r="M93" s="49"/>
      <c r="N93" s="49"/>
      <c r="O93" s="49"/>
      <c r="P93" s="64"/>
      <c r="Q93" s="51"/>
      <c r="S93" s="25"/>
      <c r="T93" s="25"/>
      <c r="U93" s="25"/>
      <c r="V93" s="26"/>
    </row>
    <row r="94" spans="1:22" ht="44.25" customHeight="1" x14ac:dyDescent="0.2">
      <c r="A94" s="37">
        <v>14</v>
      </c>
      <c r="B94" s="69" t="s">
        <v>8</v>
      </c>
      <c r="C94" s="232" t="s">
        <v>117</v>
      </c>
      <c r="D94" s="233"/>
      <c r="E94" s="233"/>
      <c r="F94" s="233"/>
      <c r="G94" s="233"/>
      <c r="H94" s="233"/>
      <c r="I94" s="233"/>
      <c r="J94" s="234"/>
      <c r="K94" s="48"/>
      <c r="L94" s="49"/>
      <c r="M94" s="49"/>
      <c r="N94" s="49"/>
      <c r="O94" s="49"/>
      <c r="P94" s="64"/>
      <c r="Q94" s="51"/>
      <c r="S94" s="25"/>
      <c r="T94" s="25"/>
      <c r="U94" s="25"/>
      <c r="V94" s="26"/>
    </row>
    <row r="95" spans="1:22" ht="22.5" x14ac:dyDescent="0.2">
      <c r="A95" s="46"/>
      <c r="B95" s="69" t="s">
        <v>9</v>
      </c>
      <c r="C95" s="235" t="s">
        <v>229</v>
      </c>
      <c r="D95" s="236"/>
      <c r="E95" s="236"/>
      <c r="F95" s="236"/>
      <c r="G95" s="236"/>
      <c r="H95" s="236"/>
      <c r="I95" s="236"/>
      <c r="J95" s="237"/>
      <c r="K95" s="48"/>
      <c r="L95" s="49"/>
      <c r="M95" s="49"/>
      <c r="N95" s="49"/>
      <c r="O95" s="49"/>
      <c r="P95" s="64"/>
      <c r="Q95" s="51"/>
      <c r="S95" s="28" t="s">
        <v>301</v>
      </c>
      <c r="T95" s="28">
        <f>Q96/R96</f>
        <v>3.1889188915174045</v>
      </c>
      <c r="U95" s="25"/>
      <c r="V95" s="26"/>
    </row>
    <row r="96" spans="1:22" x14ac:dyDescent="0.2">
      <c r="B96" s="47"/>
      <c r="C96" s="67">
        <v>5</v>
      </c>
      <c r="D96" s="161">
        <v>3.13</v>
      </c>
      <c r="E96" s="55">
        <f>D96/C96</f>
        <v>0.626</v>
      </c>
      <c r="F96" s="55">
        <v>3</v>
      </c>
      <c r="G96" s="55"/>
      <c r="H96" s="56"/>
      <c r="I96" s="56">
        <v>3.5449999999999999</v>
      </c>
      <c r="J96" s="87">
        <v>2.9590000000000001</v>
      </c>
      <c r="K96" s="85">
        <f>I96/(0.2*J96)</f>
        <v>5.9901993916863807</v>
      </c>
      <c r="L96" s="86">
        <f>E96</f>
        <v>0.626</v>
      </c>
      <c r="M96" s="60">
        <f>F96</f>
        <v>3</v>
      </c>
      <c r="N96" s="60">
        <f>I96</f>
        <v>3.5449999999999999</v>
      </c>
      <c r="O96" s="60">
        <f>J96</f>
        <v>2.9590000000000001</v>
      </c>
      <c r="P96" s="83">
        <f>3*((D96*SQRT(1+F96))/(C96))*(1+2*N96/O96)</f>
        <v>12.755675566069618</v>
      </c>
      <c r="Q96" s="56">
        <f>P96</f>
        <v>12.755675566069618</v>
      </c>
      <c r="R96" s="22">
        <v>4</v>
      </c>
      <c r="S96" s="27" t="s">
        <v>191</v>
      </c>
      <c r="T96" s="27">
        <f>Q96/R96</f>
        <v>3.1889188915174045</v>
      </c>
      <c r="U96" s="27">
        <f>T96</f>
        <v>3.1889188915174045</v>
      </c>
      <c r="V96" s="26"/>
    </row>
    <row r="97" spans="1:22" x14ac:dyDescent="0.2">
      <c r="B97" s="47" t="s">
        <v>10</v>
      </c>
      <c r="C97" s="238" t="s">
        <v>118</v>
      </c>
      <c r="D97" s="239"/>
      <c r="E97" s="239"/>
      <c r="F97" s="239"/>
      <c r="G97" s="239"/>
      <c r="H97" s="239"/>
      <c r="I97" s="239"/>
      <c r="J97" s="240"/>
      <c r="K97" s="48"/>
      <c r="L97" s="49"/>
      <c r="M97" s="49"/>
      <c r="N97" s="49"/>
      <c r="O97" s="49"/>
      <c r="P97" s="64"/>
      <c r="Q97" s="51"/>
      <c r="S97" s="28" t="s">
        <v>297</v>
      </c>
      <c r="T97" s="28">
        <f>Q96/R96</f>
        <v>3.1889188915174045</v>
      </c>
      <c r="U97" s="25"/>
      <c r="V97" s="26"/>
    </row>
    <row r="98" spans="1:22" x14ac:dyDescent="0.2">
      <c r="B98" s="47" t="s">
        <v>11</v>
      </c>
      <c r="C98" s="232"/>
      <c r="D98" s="233"/>
      <c r="E98" s="233"/>
      <c r="F98" s="233"/>
      <c r="G98" s="233"/>
      <c r="H98" s="233"/>
      <c r="I98" s="233"/>
      <c r="J98" s="234"/>
      <c r="K98" s="48"/>
      <c r="L98" s="49"/>
      <c r="M98" s="49"/>
      <c r="N98" s="49"/>
      <c r="O98" s="49"/>
      <c r="P98" s="64"/>
      <c r="Q98" s="51"/>
      <c r="S98" s="27" t="s">
        <v>15</v>
      </c>
      <c r="T98" s="27">
        <f>Q96/R96</f>
        <v>3.1889188915174045</v>
      </c>
      <c r="U98" s="27">
        <f>T98+T97+T95</f>
        <v>9.566756674552213</v>
      </c>
      <c r="V98" s="26"/>
    </row>
    <row r="99" spans="1:22" x14ac:dyDescent="0.2">
      <c r="B99" s="47"/>
      <c r="C99" s="232"/>
      <c r="D99" s="233"/>
      <c r="E99" s="233"/>
      <c r="F99" s="233"/>
      <c r="G99" s="233"/>
      <c r="H99" s="233"/>
      <c r="I99" s="233"/>
      <c r="J99" s="234"/>
      <c r="K99" s="48"/>
      <c r="L99" s="49"/>
      <c r="M99" s="49"/>
      <c r="N99" s="49"/>
      <c r="O99" s="49"/>
      <c r="P99" s="64"/>
      <c r="Q99" s="51"/>
      <c r="S99" s="25"/>
      <c r="T99" s="25"/>
      <c r="U99" s="25"/>
      <c r="V99" s="26"/>
    </row>
    <row r="100" spans="1:22" x14ac:dyDescent="0.2">
      <c r="B100" s="65"/>
      <c r="C100" s="244"/>
      <c r="D100" s="245"/>
      <c r="E100" s="245"/>
      <c r="F100" s="245"/>
      <c r="G100" s="245"/>
      <c r="H100" s="245"/>
      <c r="I100" s="245"/>
      <c r="J100" s="246"/>
      <c r="K100" s="48"/>
      <c r="L100" s="49"/>
      <c r="M100" s="49"/>
      <c r="N100" s="49"/>
      <c r="O100" s="49"/>
      <c r="P100" s="64"/>
      <c r="Q100" s="51"/>
      <c r="S100" s="25"/>
      <c r="T100" s="25"/>
      <c r="U100" s="25"/>
      <c r="V100" s="26"/>
    </row>
    <row r="101" spans="1:22" ht="49.5" customHeight="1" x14ac:dyDescent="0.2">
      <c r="A101" s="37">
        <v>15</v>
      </c>
      <c r="B101" s="47" t="s">
        <v>8</v>
      </c>
      <c r="C101" s="232" t="s">
        <v>61</v>
      </c>
      <c r="D101" s="233"/>
      <c r="E101" s="233"/>
      <c r="F101" s="233"/>
      <c r="G101" s="233"/>
      <c r="H101" s="233"/>
      <c r="I101" s="233"/>
      <c r="J101" s="234"/>
      <c r="K101" s="48"/>
      <c r="L101" s="49"/>
      <c r="M101" s="49"/>
      <c r="N101" s="49"/>
      <c r="O101" s="49"/>
      <c r="P101" s="64"/>
      <c r="Q101" s="51"/>
      <c r="S101" s="25"/>
      <c r="T101" s="25"/>
      <c r="U101" s="25"/>
      <c r="V101" s="26"/>
    </row>
    <row r="102" spans="1:22" ht="22.5" x14ac:dyDescent="0.2">
      <c r="B102" s="47" t="s">
        <v>9</v>
      </c>
      <c r="C102" s="235" t="s">
        <v>119</v>
      </c>
      <c r="D102" s="236"/>
      <c r="E102" s="236"/>
      <c r="F102" s="236"/>
      <c r="G102" s="236"/>
      <c r="H102" s="236"/>
      <c r="I102" s="236"/>
      <c r="J102" s="237"/>
      <c r="K102" s="48"/>
      <c r="L102" s="49"/>
      <c r="M102" s="49"/>
      <c r="N102" s="49"/>
      <c r="O102" s="49"/>
      <c r="P102" s="64"/>
      <c r="Q102" s="51"/>
      <c r="S102" s="25"/>
      <c r="T102" s="25"/>
      <c r="U102" s="25"/>
      <c r="V102" s="26"/>
    </row>
    <row r="103" spans="1:22" x14ac:dyDescent="0.2">
      <c r="B103" s="47"/>
      <c r="C103" s="54">
        <v>6</v>
      </c>
      <c r="D103" s="55">
        <v>2</v>
      </c>
      <c r="E103" s="55">
        <f>D103/C103</f>
        <v>0.33333333333333331</v>
      </c>
      <c r="F103" s="55">
        <v>2</v>
      </c>
      <c r="G103" s="55"/>
      <c r="H103" s="56"/>
      <c r="I103" s="56">
        <v>5.7309999999999999</v>
      </c>
      <c r="J103" s="87">
        <v>5.6020000000000003</v>
      </c>
      <c r="K103" s="85">
        <f>I103/(0.2*J103)</f>
        <v>5.1151374509103888</v>
      </c>
      <c r="L103" s="86">
        <f>E103</f>
        <v>0.33333333333333331</v>
      </c>
      <c r="M103" s="60">
        <f>F103</f>
        <v>2</v>
      </c>
      <c r="N103" s="60">
        <f>I103</f>
        <v>5.7309999999999999</v>
      </c>
      <c r="O103" s="60">
        <f>J103</f>
        <v>5.6020000000000003</v>
      </c>
      <c r="P103" s="83">
        <f>3*((D103*SQRT(1+F103))/(C103))*(1+2*N103/O103)</f>
        <v>5.2759219886389355</v>
      </c>
      <c r="Q103" s="56">
        <f>P103</f>
        <v>5.2759219886389355</v>
      </c>
      <c r="R103" s="22">
        <v>2</v>
      </c>
      <c r="S103" s="28" t="s">
        <v>348</v>
      </c>
      <c r="T103" s="28">
        <f>Q103/R103</f>
        <v>2.6379609943194677</v>
      </c>
      <c r="U103" s="25"/>
      <c r="V103" s="26"/>
    </row>
    <row r="104" spans="1:22" x14ac:dyDescent="0.2">
      <c r="B104" s="47" t="s">
        <v>10</v>
      </c>
      <c r="C104" s="238" t="s">
        <v>120</v>
      </c>
      <c r="D104" s="239"/>
      <c r="E104" s="239"/>
      <c r="F104" s="239"/>
      <c r="G104" s="239"/>
      <c r="H104" s="239"/>
      <c r="I104" s="239"/>
      <c r="J104" s="240"/>
      <c r="K104" s="48"/>
      <c r="L104" s="49"/>
      <c r="M104" s="49"/>
      <c r="N104" s="49"/>
      <c r="O104" s="49"/>
      <c r="P104" s="64"/>
      <c r="Q104" s="51"/>
      <c r="S104" s="27" t="s">
        <v>32</v>
      </c>
      <c r="T104" s="27">
        <f>Q103/R103</f>
        <v>2.6379609943194677</v>
      </c>
      <c r="U104" s="27">
        <f>T104+T103</f>
        <v>5.2759219886389355</v>
      </c>
      <c r="V104" s="26"/>
    </row>
    <row r="105" spans="1:22" x14ac:dyDescent="0.2">
      <c r="B105" s="47" t="s">
        <v>11</v>
      </c>
      <c r="C105" s="232"/>
      <c r="D105" s="233"/>
      <c r="E105" s="233"/>
      <c r="F105" s="233"/>
      <c r="G105" s="233"/>
      <c r="H105" s="233"/>
      <c r="I105" s="233"/>
      <c r="J105" s="234"/>
      <c r="K105" s="48"/>
      <c r="L105" s="49"/>
      <c r="M105" s="49"/>
      <c r="N105" s="49"/>
      <c r="O105" s="49"/>
      <c r="P105" s="64"/>
      <c r="Q105" s="51"/>
      <c r="S105" s="25"/>
      <c r="T105" s="25"/>
      <c r="U105" s="25"/>
      <c r="V105" s="26"/>
    </row>
    <row r="106" spans="1:22" x14ac:dyDescent="0.2">
      <c r="B106" s="47"/>
      <c r="C106" s="232"/>
      <c r="D106" s="233"/>
      <c r="E106" s="233"/>
      <c r="F106" s="233"/>
      <c r="G106" s="233"/>
      <c r="H106" s="233"/>
      <c r="I106" s="233"/>
      <c r="J106" s="234"/>
      <c r="K106" s="48"/>
      <c r="L106" s="49"/>
      <c r="M106" s="49"/>
      <c r="N106" s="49"/>
      <c r="O106" s="49"/>
      <c r="P106" s="64"/>
      <c r="Q106" s="51"/>
      <c r="S106" s="25"/>
      <c r="T106" s="25"/>
      <c r="U106" s="25"/>
      <c r="V106" s="26"/>
    </row>
    <row r="107" spans="1:22" x14ac:dyDescent="0.2">
      <c r="B107" s="65"/>
      <c r="C107" s="244"/>
      <c r="D107" s="245"/>
      <c r="E107" s="245"/>
      <c r="F107" s="245"/>
      <c r="G107" s="245"/>
      <c r="H107" s="245"/>
      <c r="I107" s="245"/>
      <c r="J107" s="246"/>
      <c r="K107" s="48"/>
      <c r="L107" s="49"/>
      <c r="M107" s="49"/>
      <c r="N107" s="49"/>
      <c r="O107" s="49"/>
      <c r="P107" s="64"/>
      <c r="Q107" s="51"/>
      <c r="S107" s="25"/>
      <c r="T107" s="25"/>
      <c r="U107" s="25"/>
      <c r="V107" s="26"/>
    </row>
    <row r="108" spans="1:22" ht="47.25" customHeight="1" x14ac:dyDescent="0.2">
      <c r="A108" s="37">
        <v>16</v>
      </c>
      <c r="B108" s="47" t="s">
        <v>8</v>
      </c>
      <c r="C108" s="232" t="s">
        <v>62</v>
      </c>
      <c r="D108" s="233"/>
      <c r="E108" s="233"/>
      <c r="F108" s="233"/>
      <c r="G108" s="233"/>
      <c r="H108" s="233"/>
      <c r="I108" s="233"/>
      <c r="J108" s="234"/>
      <c r="K108" s="48"/>
      <c r="L108" s="49"/>
      <c r="M108" s="49"/>
      <c r="N108" s="49"/>
      <c r="O108" s="49"/>
      <c r="P108" s="64"/>
      <c r="Q108" s="51"/>
      <c r="S108" s="25"/>
      <c r="T108" s="25"/>
      <c r="U108" s="25"/>
      <c r="V108" s="26"/>
    </row>
    <row r="109" spans="1:22" ht="22.5" x14ac:dyDescent="0.2">
      <c r="B109" s="47" t="s">
        <v>9</v>
      </c>
      <c r="C109" s="235" t="s">
        <v>121</v>
      </c>
      <c r="D109" s="236"/>
      <c r="E109" s="236"/>
      <c r="F109" s="236"/>
      <c r="G109" s="236"/>
      <c r="H109" s="236"/>
      <c r="I109" s="236"/>
      <c r="J109" s="237"/>
      <c r="K109" s="48"/>
      <c r="L109" s="49"/>
      <c r="M109" s="49"/>
      <c r="N109" s="49"/>
      <c r="O109" s="49"/>
      <c r="P109" s="64"/>
      <c r="Q109" s="51"/>
      <c r="S109" s="27" t="s">
        <v>203</v>
      </c>
      <c r="T109" s="27">
        <f>Q110/R110</f>
        <v>3.0471961431108854</v>
      </c>
      <c r="U109" s="27">
        <f>T109</f>
        <v>3.0471961431108854</v>
      </c>
      <c r="V109" s="26"/>
    </row>
    <row r="110" spans="1:22" x14ac:dyDescent="0.2">
      <c r="B110" s="47"/>
      <c r="C110" s="54">
        <v>6</v>
      </c>
      <c r="D110" s="55">
        <v>2</v>
      </c>
      <c r="E110" s="55">
        <f>D110/C110</f>
        <v>0.33333333333333331</v>
      </c>
      <c r="F110" s="55">
        <v>3</v>
      </c>
      <c r="G110" s="55"/>
      <c r="H110" s="56"/>
      <c r="I110" s="56">
        <v>4.0339999999999998</v>
      </c>
      <c r="J110" s="123">
        <f>(5.602+2.28)/2</f>
        <v>3.9409999999999998</v>
      </c>
      <c r="K110" s="85">
        <f>I110/(0.2*J110)</f>
        <v>5.1179903577772139</v>
      </c>
      <c r="L110" s="86">
        <f>E110</f>
        <v>0.33333333333333331</v>
      </c>
      <c r="M110" s="60">
        <f>F110</f>
        <v>3</v>
      </c>
      <c r="N110" s="60">
        <f>I110</f>
        <v>4.0339999999999998</v>
      </c>
      <c r="O110" s="60">
        <f>J110</f>
        <v>3.9409999999999998</v>
      </c>
      <c r="P110" s="83">
        <f>3*((D110*SQRT(1+F110))/(C110))*(1+2*N110/O110)</f>
        <v>6.0943922862217708</v>
      </c>
      <c r="Q110" s="56">
        <f>P110</f>
        <v>6.0943922862217708</v>
      </c>
      <c r="R110" s="22">
        <v>2</v>
      </c>
      <c r="S110" s="27" t="s">
        <v>20</v>
      </c>
      <c r="T110" s="27">
        <f>Q110/R110</f>
        <v>3.0471961431108854</v>
      </c>
      <c r="U110" s="27">
        <f>T110</f>
        <v>3.0471961431108854</v>
      </c>
      <c r="V110" s="26"/>
    </row>
    <row r="111" spans="1:22" x14ac:dyDescent="0.2">
      <c r="B111" s="47" t="s">
        <v>10</v>
      </c>
      <c r="C111" s="238" t="s">
        <v>122</v>
      </c>
      <c r="D111" s="239"/>
      <c r="E111" s="239"/>
      <c r="F111" s="239"/>
      <c r="G111" s="239"/>
      <c r="H111" s="239"/>
      <c r="I111" s="239"/>
      <c r="J111" s="240"/>
      <c r="K111" s="48"/>
      <c r="L111" s="49"/>
      <c r="M111" s="49"/>
      <c r="N111" s="49"/>
      <c r="O111" s="49"/>
      <c r="P111" s="64"/>
      <c r="Q111" s="51"/>
      <c r="S111" s="25"/>
      <c r="T111" s="25"/>
      <c r="U111" s="25"/>
      <c r="V111" s="26"/>
    </row>
    <row r="112" spans="1:22" x14ac:dyDescent="0.2">
      <c r="B112" s="47" t="s">
        <v>11</v>
      </c>
      <c r="C112" s="232"/>
      <c r="D112" s="233"/>
      <c r="E112" s="233"/>
      <c r="F112" s="233"/>
      <c r="G112" s="233"/>
      <c r="H112" s="233"/>
      <c r="I112" s="233"/>
      <c r="J112" s="234"/>
      <c r="K112" s="48"/>
      <c r="L112" s="49"/>
      <c r="M112" s="49"/>
      <c r="N112" s="49"/>
      <c r="O112" s="49"/>
      <c r="P112" s="64"/>
      <c r="Q112" s="51"/>
      <c r="S112" s="25"/>
      <c r="T112" s="25"/>
      <c r="U112" s="25"/>
      <c r="V112" s="26"/>
    </row>
    <row r="113" spans="1:22" x14ac:dyDescent="0.2">
      <c r="B113" s="47"/>
      <c r="C113" s="232"/>
      <c r="D113" s="233"/>
      <c r="E113" s="233"/>
      <c r="F113" s="233"/>
      <c r="G113" s="233"/>
      <c r="H113" s="233"/>
      <c r="I113" s="233"/>
      <c r="J113" s="234"/>
      <c r="K113" s="48"/>
      <c r="L113" s="49"/>
      <c r="M113" s="49"/>
      <c r="N113" s="49"/>
      <c r="O113" s="49"/>
      <c r="P113" s="64"/>
      <c r="Q113" s="51"/>
      <c r="S113" s="25"/>
      <c r="T113" s="25"/>
      <c r="U113" s="25"/>
      <c r="V113" s="26"/>
    </row>
    <row r="114" spans="1:22" x14ac:dyDescent="0.2">
      <c r="B114" s="65"/>
      <c r="C114" s="244"/>
      <c r="D114" s="245"/>
      <c r="E114" s="245"/>
      <c r="F114" s="245"/>
      <c r="G114" s="245"/>
      <c r="H114" s="245"/>
      <c r="I114" s="245"/>
      <c r="J114" s="246"/>
      <c r="K114" s="48"/>
      <c r="L114" s="49"/>
      <c r="M114" s="49"/>
      <c r="N114" s="49"/>
      <c r="O114" s="49"/>
      <c r="P114" s="64"/>
      <c r="Q114" s="51"/>
      <c r="S114" s="25"/>
      <c r="T114" s="25"/>
      <c r="U114" s="25"/>
      <c r="V114" s="26"/>
    </row>
    <row r="115" spans="1:22" ht="33.75" x14ac:dyDescent="0.2">
      <c r="A115" s="37">
        <v>17</v>
      </c>
      <c r="B115" s="69" t="s">
        <v>8</v>
      </c>
      <c r="C115" s="232" t="s">
        <v>63</v>
      </c>
      <c r="D115" s="233"/>
      <c r="E115" s="233"/>
      <c r="F115" s="233"/>
      <c r="G115" s="233"/>
      <c r="H115" s="233"/>
      <c r="I115" s="233"/>
      <c r="J115" s="234"/>
      <c r="K115" s="48"/>
      <c r="L115" s="49"/>
      <c r="M115" s="49"/>
      <c r="N115" s="49"/>
      <c r="O115" s="49"/>
      <c r="P115" s="64"/>
      <c r="Q115" s="51"/>
      <c r="S115" s="25"/>
      <c r="T115" s="25"/>
      <c r="U115" s="25"/>
      <c r="V115" s="26"/>
    </row>
    <row r="116" spans="1:22" ht="22.5" x14ac:dyDescent="0.2">
      <c r="A116" s="46"/>
      <c r="B116" s="69" t="s">
        <v>9</v>
      </c>
      <c r="C116" s="235" t="s">
        <v>230</v>
      </c>
      <c r="D116" s="236"/>
      <c r="E116" s="236"/>
      <c r="F116" s="236"/>
      <c r="G116" s="236"/>
      <c r="H116" s="236"/>
      <c r="I116" s="236"/>
      <c r="J116" s="237"/>
      <c r="K116" s="48"/>
      <c r="L116" s="49"/>
      <c r="M116" s="49"/>
      <c r="N116" s="49"/>
      <c r="O116" s="49"/>
      <c r="P116" s="64"/>
      <c r="Q116" s="51"/>
      <c r="S116" s="28" t="s">
        <v>327</v>
      </c>
      <c r="T116" s="28">
        <f>Q117/R117</f>
        <v>0.48213571142742806</v>
      </c>
      <c r="U116" s="25"/>
      <c r="V116" s="26"/>
    </row>
    <row r="117" spans="1:22" x14ac:dyDescent="0.2">
      <c r="B117" s="47"/>
      <c r="C117" s="54">
        <v>9</v>
      </c>
      <c r="D117" s="55">
        <v>2</v>
      </c>
      <c r="E117" s="55">
        <f>D117/C117</f>
        <v>0.22222222222222221</v>
      </c>
      <c r="F117" s="55">
        <v>0</v>
      </c>
      <c r="G117" s="55"/>
      <c r="H117" s="56"/>
      <c r="I117" s="56">
        <v>1.7050000000000001</v>
      </c>
      <c r="J117" s="125">
        <f>(2.572+3.259)/2</f>
        <v>2.9154999999999998</v>
      </c>
      <c r="K117" s="85">
        <f>I117/(0.2*J117)</f>
        <v>2.9240267535585667</v>
      </c>
      <c r="L117" s="86">
        <f>E117</f>
        <v>0.22222222222222221</v>
      </c>
      <c r="M117" s="60">
        <f>F117</f>
        <v>0</v>
      </c>
      <c r="N117" s="60">
        <f>I117</f>
        <v>1.7050000000000001</v>
      </c>
      <c r="O117" s="60">
        <f>J117</f>
        <v>2.9154999999999998</v>
      </c>
      <c r="P117" s="83">
        <f>3*((D117*SQRT(1+F117))/(C117))*(1+2*N117/O117)</f>
        <v>1.4464071342822842</v>
      </c>
      <c r="Q117" s="56">
        <f>P117</f>
        <v>1.4464071342822842</v>
      </c>
      <c r="R117" s="22">
        <v>3</v>
      </c>
      <c r="S117" s="27" t="s">
        <v>201</v>
      </c>
      <c r="T117" s="27">
        <f>Q117/R117</f>
        <v>0.48213571142742806</v>
      </c>
      <c r="U117" s="27">
        <f>T117+T116</f>
        <v>0.96427142285485612</v>
      </c>
      <c r="V117" s="26"/>
    </row>
    <row r="118" spans="1:22" x14ac:dyDescent="0.2">
      <c r="B118" s="47" t="s">
        <v>10</v>
      </c>
      <c r="C118" s="238" t="s">
        <v>123</v>
      </c>
      <c r="D118" s="239"/>
      <c r="E118" s="239"/>
      <c r="F118" s="239"/>
      <c r="G118" s="239"/>
      <c r="H118" s="239"/>
      <c r="I118" s="239"/>
      <c r="J118" s="240"/>
      <c r="K118" s="48"/>
      <c r="L118" s="49"/>
      <c r="M118" s="49"/>
      <c r="N118" s="49"/>
      <c r="O118" s="49"/>
      <c r="P118" s="64"/>
      <c r="Q118" s="51"/>
      <c r="S118" s="27" t="s">
        <v>15</v>
      </c>
      <c r="T118" s="27">
        <f>Q117/R117</f>
        <v>0.48213571142742806</v>
      </c>
      <c r="U118" s="27">
        <f>T118</f>
        <v>0.48213571142742806</v>
      </c>
      <c r="V118" s="26"/>
    </row>
    <row r="119" spans="1:22" x14ac:dyDescent="0.2">
      <c r="B119" s="47" t="s">
        <v>11</v>
      </c>
      <c r="C119" s="232"/>
      <c r="D119" s="233"/>
      <c r="E119" s="233"/>
      <c r="F119" s="233"/>
      <c r="G119" s="233"/>
      <c r="H119" s="233"/>
      <c r="I119" s="233"/>
      <c r="J119" s="234"/>
      <c r="K119" s="48"/>
      <c r="L119" s="49"/>
      <c r="M119" s="49"/>
      <c r="N119" s="49"/>
      <c r="O119" s="49"/>
      <c r="P119" s="64"/>
      <c r="Q119" s="51"/>
      <c r="S119" s="25"/>
      <c r="T119" s="25"/>
      <c r="U119" s="25"/>
      <c r="V119" s="26"/>
    </row>
    <row r="120" spans="1:22" x14ac:dyDescent="0.2">
      <c r="B120" s="47"/>
      <c r="C120" s="232"/>
      <c r="D120" s="233"/>
      <c r="E120" s="233"/>
      <c r="F120" s="233"/>
      <c r="G120" s="233"/>
      <c r="H120" s="233"/>
      <c r="I120" s="233"/>
      <c r="J120" s="234"/>
      <c r="K120" s="48"/>
      <c r="L120" s="49"/>
      <c r="M120" s="49"/>
      <c r="N120" s="49"/>
      <c r="O120" s="49"/>
      <c r="P120" s="64"/>
      <c r="Q120" s="51"/>
      <c r="S120" s="25"/>
      <c r="T120" s="25"/>
      <c r="U120" s="25"/>
      <c r="V120" s="26"/>
    </row>
    <row r="121" spans="1:22" x14ac:dyDescent="0.2">
      <c r="B121" s="65"/>
      <c r="C121" s="244"/>
      <c r="D121" s="245"/>
      <c r="E121" s="245"/>
      <c r="F121" s="245"/>
      <c r="G121" s="245"/>
      <c r="H121" s="245"/>
      <c r="I121" s="245"/>
      <c r="J121" s="246"/>
      <c r="K121" s="48"/>
      <c r="L121" s="49"/>
      <c r="M121" s="49"/>
      <c r="N121" s="49"/>
      <c r="O121" s="49"/>
      <c r="P121" s="64"/>
      <c r="Q121" s="51"/>
      <c r="S121" s="25"/>
      <c r="T121" s="25"/>
      <c r="U121" s="25"/>
      <c r="V121" s="26"/>
    </row>
    <row r="122" spans="1:22" ht="39" customHeight="1" x14ac:dyDescent="0.2">
      <c r="A122" s="37">
        <v>18</v>
      </c>
      <c r="B122" s="47" t="s">
        <v>8</v>
      </c>
      <c r="C122" s="312" t="s">
        <v>237</v>
      </c>
      <c r="D122" s="313"/>
      <c r="E122" s="313"/>
      <c r="F122" s="313"/>
      <c r="G122" s="313"/>
      <c r="H122" s="313"/>
      <c r="I122" s="313"/>
      <c r="J122" s="314"/>
      <c r="K122" s="48"/>
      <c r="L122" s="49"/>
      <c r="M122" s="49"/>
      <c r="N122" s="49"/>
      <c r="O122" s="49"/>
      <c r="P122" s="64"/>
      <c r="Q122" s="51"/>
      <c r="S122" s="25"/>
      <c r="T122" s="25"/>
      <c r="U122" s="25"/>
      <c r="V122" s="26"/>
    </row>
    <row r="123" spans="1:22" ht="22.5" x14ac:dyDescent="0.2">
      <c r="A123" s="46"/>
      <c r="B123" s="69" t="s">
        <v>9</v>
      </c>
      <c r="C123" s="309" t="s">
        <v>275</v>
      </c>
      <c r="D123" s="310"/>
      <c r="E123" s="310"/>
      <c r="F123" s="310"/>
      <c r="G123" s="310"/>
      <c r="H123" s="310"/>
      <c r="I123" s="310"/>
      <c r="J123" s="311"/>
      <c r="K123" s="48"/>
      <c r="L123" s="49"/>
      <c r="M123" s="49"/>
      <c r="N123" s="49"/>
      <c r="O123" s="49"/>
      <c r="P123" s="64"/>
      <c r="Q123" s="51"/>
      <c r="S123" s="27" t="s">
        <v>193</v>
      </c>
      <c r="T123" s="27">
        <f>Q124/R124</f>
        <v>2.9012835472578766</v>
      </c>
      <c r="U123" s="27">
        <f>T123</f>
        <v>2.9012835472578766</v>
      </c>
      <c r="V123" s="26"/>
    </row>
    <row r="124" spans="1:22" x14ac:dyDescent="0.2">
      <c r="B124" s="47"/>
      <c r="C124" s="156">
        <v>3</v>
      </c>
      <c r="D124" s="160">
        <v>1.5</v>
      </c>
      <c r="E124" s="157">
        <f>D124/C124</f>
        <v>0.5</v>
      </c>
      <c r="F124" s="157">
        <v>0</v>
      </c>
      <c r="G124" s="157"/>
      <c r="H124" s="158"/>
      <c r="I124" s="158">
        <v>4.0970000000000004</v>
      </c>
      <c r="J124" s="159">
        <f>(2.959+3.627+1.984)/3</f>
        <v>2.8566666666666669</v>
      </c>
      <c r="K124" s="85">
        <f>I124/(0.2*J124)</f>
        <v>7.1709451575262548</v>
      </c>
      <c r="L124" s="86">
        <f>E124</f>
        <v>0.5</v>
      </c>
      <c r="M124" s="60">
        <f>F124</f>
        <v>0</v>
      </c>
      <c r="N124" s="60">
        <f>I124</f>
        <v>4.0970000000000004</v>
      </c>
      <c r="O124" s="60">
        <f>J124</f>
        <v>2.8566666666666669</v>
      </c>
      <c r="P124" s="83">
        <f>3*((D124*SQRT(1+F124))/(C124))*(1+2*N124/O124)</f>
        <v>5.8025670945157533</v>
      </c>
      <c r="Q124" s="56">
        <f>P124</f>
        <v>5.8025670945157533</v>
      </c>
      <c r="R124" s="22">
        <v>2</v>
      </c>
      <c r="S124" s="27" t="s">
        <v>16</v>
      </c>
      <c r="T124" s="27">
        <f>Q124/R124</f>
        <v>2.9012835472578766</v>
      </c>
      <c r="U124" s="27">
        <f>T124</f>
        <v>2.9012835472578766</v>
      </c>
      <c r="V124" s="26"/>
    </row>
    <row r="125" spans="1:22" x14ac:dyDescent="0.2">
      <c r="B125" s="47" t="s">
        <v>10</v>
      </c>
      <c r="C125" s="238" t="s">
        <v>124</v>
      </c>
      <c r="D125" s="239"/>
      <c r="E125" s="239"/>
      <c r="F125" s="239"/>
      <c r="G125" s="239"/>
      <c r="H125" s="239"/>
      <c r="I125" s="239"/>
      <c r="J125" s="240"/>
      <c r="K125" s="48"/>
      <c r="L125" s="49"/>
      <c r="M125" s="49"/>
      <c r="N125" s="49"/>
      <c r="O125" s="49"/>
      <c r="P125" s="64"/>
      <c r="Q125" s="51"/>
      <c r="S125" s="25"/>
      <c r="T125" s="25"/>
      <c r="U125" s="25"/>
      <c r="V125" s="26"/>
    </row>
    <row r="126" spans="1:22" x14ac:dyDescent="0.2">
      <c r="B126" s="47" t="s">
        <v>11</v>
      </c>
      <c r="C126" s="232"/>
      <c r="D126" s="233"/>
      <c r="E126" s="233"/>
      <c r="F126" s="233"/>
      <c r="G126" s="233"/>
      <c r="H126" s="233"/>
      <c r="I126" s="233"/>
      <c r="J126" s="234"/>
      <c r="K126" s="48"/>
      <c r="L126" s="49"/>
      <c r="M126" s="49"/>
      <c r="N126" s="49"/>
      <c r="O126" s="49"/>
      <c r="P126" s="64"/>
      <c r="Q126" s="51"/>
      <c r="S126" s="25"/>
      <c r="T126" s="25"/>
      <c r="U126" s="25"/>
      <c r="V126" s="26"/>
    </row>
    <row r="127" spans="1:22" x14ac:dyDescent="0.2">
      <c r="B127" s="47"/>
      <c r="C127" s="232"/>
      <c r="D127" s="233"/>
      <c r="E127" s="233"/>
      <c r="F127" s="233"/>
      <c r="G127" s="233"/>
      <c r="H127" s="233"/>
      <c r="I127" s="233"/>
      <c r="J127" s="234"/>
      <c r="K127" s="48"/>
      <c r="L127" s="49"/>
      <c r="M127" s="49"/>
      <c r="N127" s="49"/>
      <c r="O127" s="49"/>
      <c r="P127" s="64"/>
      <c r="Q127" s="51"/>
      <c r="S127" s="25"/>
      <c r="T127" s="25"/>
      <c r="U127" s="25"/>
      <c r="V127" s="26"/>
    </row>
    <row r="128" spans="1:22" x14ac:dyDescent="0.2">
      <c r="B128" s="65"/>
      <c r="C128" s="244"/>
      <c r="D128" s="245"/>
      <c r="E128" s="245"/>
      <c r="F128" s="245"/>
      <c r="G128" s="245"/>
      <c r="H128" s="245"/>
      <c r="I128" s="245"/>
      <c r="J128" s="246"/>
      <c r="K128" s="48"/>
      <c r="L128" s="49"/>
      <c r="M128" s="49"/>
      <c r="N128" s="49"/>
      <c r="O128" s="49"/>
      <c r="P128" s="64"/>
      <c r="Q128" s="51"/>
      <c r="S128" s="25"/>
      <c r="T128" s="25"/>
      <c r="U128" s="25"/>
      <c r="V128" s="26"/>
    </row>
    <row r="129" spans="1:24" ht="47.25" customHeight="1" x14ac:dyDescent="0.2">
      <c r="A129" s="37">
        <v>19</v>
      </c>
      <c r="B129" s="47" t="s">
        <v>8</v>
      </c>
      <c r="C129" s="232" t="s">
        <v>64</v>
      </c>
      <c r="D129" s="233"/>
      <c r="E129" s="233"/>
      <c r="F129" s="233"/>
      <c r="G129" s="233"/>
      <c r="H129" s="233"/>
      <c r="I129" s="233"/>
      <c r="J129" s="234"/>
      <c r="K129" s="48"/>
      <c r="L129" s="49"/>
      <c r="M129" s="49"/>
      <c r="N129" s="49"/>
      <c r="O129" s="49"/>
      <c r="P129" s="64"/>
      <c r="Q129" s="51"/>
      <c r="S129" s="25"/>
      <c r="T129" s="25"/>
      <c r="U129" s="25"/>
      <c r="V129" s="26"/>
    </row>
    <row r="130" spans="1:24" ht="22.5" x14ac:dyDescent="0.2">
      <c r="A130" s="46"/>
      <c r="B130" s="69" t="s">
        <v>9</v>
      </c>
      <c r="C130" s="235" t="s">
        <v>236</v>
      </c>
      <c r="D130" s="236"/>
      <c r="E130" s="236"/>
      <c r="F130" s="236"/>
      <c r="G130" s="236"/>
      <c r="H130" s="236"/>
      <c r="I130" s="236"/>
      <c r="J130" s="237"/>
      <c r="K130" s="48"/>
      <c r="L130" s="49"/>
      <c r="M130" s="49"/>
      <c r="N130" s="49"/>
      <c r="O130" s="49"/>
      <c r="P130" s="64"/>
      <c r="Q130" s="51"/>
      <c r="S130" s="27" t="s">
        <v>193</v>
      </c>
      <c r="T130" s="27">
        <f>Q131/R131</f>
        <v>3.6471418140640104</v>
      </c>
      <c r="U130" s="27">
        <f>T130+T132</f>
        <v>7.2942836281280208</v>
      </c>
      <c r="V130" s="26"/>
    </row>
    <row r="131" spans="1:24" x14ac:dyDescent="0.2">
      <c r="B131" s="47"/>
      <c r="C131" s="54">
        <v>3</v>
      </c>
      <c r="D131" s="55">
        <v>2</v>
      </c>
      <c r="E131" s="55">
        <f>D131/C131</f>
        <v>0.66666666666666663</v>
      </c>
      <c r="F131" s="55">
        <v>1</v>
      </c>
      <c r="G131" s="55"/>
      <c r="H131" s="56"/>
      <c r="I131" s="56">
        <v>4.0970000000000004</v>
      </c>
      <c r="J131" s="123">
        <f>(2.959+3.627+1.984)/3</f>
        <v>2.8566666666666669</v>
      </c>
      <c r="K131" s="85">
        <f>I131/(0.2*J131)</f>
        <v>7.1709451575262548</v>
      </c>
      <c r="L131" s="86">
        <f>E131</f>
        <v>0.66666666666666663</v>
      </c>
      <c r="M131" s="60">
        <f>F131</f>
        <v>1</v>
      </c>
      <c r="N131" s="60">
        <f>I131</f>
        <v>4.0970000000000004</v>
      </c>
      <c r="O131" s="60">
        <f>J131</f>
        <v>2.8566666666666669</v>
      </c>
      <c r="P131" s="83">
        <f>3*((D131*SQRT(1+F131))/(C131))*(1+2*N131/O131)</f>
        <v>10.941425442192031</v>
      </c>
      <c r="Q131" s="56">
        <f>P131</f>
        <v>10.941425442192031</v>
      </c>
      <c r="R131" s="22">
        <v>3</v>
      </c>
      <c r="S131" s="27" t="s">
        <v>16</v>
      </c>
      <c r="T131" s="32">
        <f>Q131/R131</f>
        <v>3.6471418140640104</v>
      </c>
      <c r="U131" s="27">
        <f>T131</f>
        <v>3.6471418140640104</v>
      </c>
      <c r="V131" s="26"/>
    </row>
    <row r="132" spans="1:24" x14ac:dyDescent="0.2">
      <c r="B132" s="47" t="s">
        <v>10</v>
      </c>
      <c r="C132" s="238" t="s">
        <v>124</v>
      </c>
      <c r="D132" s="239"/>
      <c r="E132" s="239"/>
      <c r="F132" s="239"/>
      <c r="G132" s="239"/>
      <c r="H132" s="239"/>
      <c r="I132" s="239"/>
      <c r="J132" s="240"/>
      <c r="K132" s="48"/>
      <c r="L132" s="49"/>
      <c r="M132" s="49"/>
      <c r="N132" s="49"/>
      <c r="O132" s="49"/>
      <c r="P132" s="64"/>
      <c r="Q132" s="51"/>
      <c r="S132" s="28" t="s">
        <v>297</v>
      </c>
      <c r="T132" s="28">
        <f>Q131/R131</f>
        <v>3.6471418140640104</v>
      </c>
      <c r="U132" s="25"/>
      <c r="V132" s="26"/>
    </row>
    <row r="133" spans="1:24" x14ac:dyDescent="0.2">
      <c r="B133" s="47" t="s">
        <v>11</v>
      </c>
      <c r="C133" s="232"/>
      <c r="D133" s="233"/>
      <c r="E133" s="233"/>
      <c r="F133" s="233"/>
      <c r="G133" s="233"/>
      <c r="H133" s="233"/>
      <c r="I133" s="233"/>
      <c r="J133" s="234"/>
      <c r="K133" s="48"/>
      <c r="L133" s="49"/>
      <c r="M133" s="49"/>
      <c r="N133" s="49"/>
      <c r="O133" s="49"/>
      <c r="P133" s="64"/>
      <c r="Q133" s="51"/>
      <c r="S133" s="25"/>
      <c r="T133" s="25"/>
      <c r="U133" s="25"/>
      <c r="V133" s="26"/>
    </row>
    <row r="134" spans="1:24" x14ac:dyDescent="0.2">
      <c r="B134" s="47"/>
      <c r="C134" s="232"/>
      <c r="D134" s="233"/>
      <c r="E134" s="233"/>
      <c r="F134" s="233"/>
      <c r="G134" s="233"/>
      <c r="H134" s="233"/>
      <c r="I134" s="233"/>
      <c r="J134" s="234"/>
      <c r="K134" s="48"/>
      <c r="L134" s="49"/>
      <c r="M134" s="49"/>
      <c r="N134" s="49"/>
      <c r="O134" s="49"/>
      <c r="P134" s="64"/>
      <c r="Q134" s="51"/>
      <c r="S134" s="25"/>
      <c r="T134" s="25"/>
      <c r="U134" s="25"/>
      <c r="V134" s="26"/>
    </row>
    <row r="135" spans="1:24" x14ac:dyDescent="0.2">
      <c r="B135" s="65"/>
      <c r="C135" s="244"/>
      <c r="D135" s="245"/>
      <c r="E135" s="245"/>
      <c r="F135" s="245"/>
      <c r="G135" s="245"/>
      <c r="H135" s="245"/>
      <c r="I135" s="245"/>
      <c r="J135" s="246"/>
      <c r="K135" s="48"/>
      <c r="L135" s="49"/>
      <c r="M135" s="49"/>
      <c r="N135" s="49"/>
      <c r="O135" s="49"/>
      <c r="P135" s="64"/>
      <c r="Q135" s="51"/>
      <c r="S135" s="25"/>
      <c r="T135" s="25"/>
      <c r="U135" s="25"/>
      <c r="V135" s="26"/>
    </row>
    <row r="136" spans="1:24" ht="56.25" customHeight="1" x14ac:dyDescent="0.2">
      <c r="A136" s="37">
        <v>20</v>
      </c>
      <c r="B136" s="47" t="s">
        <v>8</v>
      </c>
      <c r="C136" s="232" t="s">
        <v>125</v>
      </c>
      <c r="D136" s="233"/>
      <c r="E136" s="233"/>
      <c r="F136" s="233"/>
      <c r="G136" s="233"/>
      <c r="H136" s="233"/>
      <c r="I136" s="233"/>
      <c r="J136" s="234"/>
      <c r="K136" s="48"/>
      <c r="L136" s="49"/>
      <c r="M136" s="49"/>
      <c r="N136" s="49"/>
      <c r="O136" s="49"/>
      <c r="P136" s="64"/>
      <c r="Q136" s="51"/>
      <c r="S136" s="25"/>
      <c r="T136" s="25"/>
      <c r="U136" s="25"/>
      <c r="V136" s="26"/>
      <c r="W136" s="26"/>
      <c r="X136" s="26"/>
    </row>
    <row r="137" spans="1:24" ht="22.5" x14ac:dyDescent="0.2">
      <c r="A137" s="46"/>
      <c r="B137" s="47" t="s">
        <v>9</v>
      </c>
      <c r="C137" s="235" t="s">
        <v>126</v>
      </c>
      <c r="D137" s="236"/>
      <c r="E137" s="236"/>
      <c r="F137" s="236"/>
      <c r="G137" s="236"/>
      <c r="H137" s="236"/>
      <c r="I137" s="236"/>
      <c r="J137" s="237"/>
      <c r="K137" s="48"/>
      <c r="L137" s="49"/>
      <c r="M137" s="49"/>
      <c r="N137" s="49"/>
      <c r="O137" s="49"/>
      <c r="P137" s="64"/>
      <c r="Q137" s="51"/>
      <c r="S137" s="27" t="s">
        <v>193</v>
      </c>
      <c r="T137" s="27">
        <f>Q138/R138</f>
        <v>2.902996048157338</v>
      </c>
      <c r="U137" s="27">
        <f>T137+T139</f>
        <v>5.8059920963146761</v>
      </c>
      <c r="V137" s="26"/>
      <c r="W137" s="26"/>
      <c r="X137" s="26"/>
    </row>
    <row r="138" spans="1:24" x14ac:dyDescent="0.2">
      <c r="B138" s="47"/>
      <c r="C138" s="54">
        <v>3</v>
      </c>
      <c r="D138" s="55">
        <v>2.5</v>
      </c>
      <c r="E138" s="55">
        <f>D138/C138</f>
        <v>0.83333333333333337</v>
      </c>
      <c r="F138" s="68">
        <v>0</v>
      </c>
      <c r="G138" s="55"/>
      <c r="H138" s="56"/>
      <c r="I138" s="56">
        <v>4.5039999999999996</v>
      </c>
      <c r="J138" s="123">
        <v>3.6269999999999998</v>
      </c>
      <c r="K138" s="85">
        <f>I138/(0.2*J138)</f>
        <v>6.2089881444720145</v>
      </c>
      <c r="L138" s="86">
        <f>E138</f>
        <v>0.83333333333333337</v>
      </c>
      <c r="M138" s="60">
        <f>F138</f>
        <v>0</v>
      </c>
      <c r="N138" s="60">
        <f>I138</f>
        <v>4.5039999999999996</v>
      </c>
      <c r="O138" s="60">
        <f>J138</f>
        <v>3.6269999999999998</v>
      </c>
      <c r="P138" s="83">
        <f>3*((D138*SQRT(1+F138))/(C138))*(1+2*N138/O138)</f>
        <v>8.7089881444720145</v>
      </c>
      <c r="Q138" s="56">
        <f>P138</f>
        <v>8.7089881444720145</v>
      </c>
      <c r="R138" s="22">
        <v>3</v>
      </c>
      <c r="S138" s="27" t="s">
        <v>191</v>
      </c>
      <c r="T138" s="27">
        <f>Q138/R138</f>
        <v>2.902996048157338</v>
      </c>
      <c r="U138" s="27">
        <f>T138</f>
        <v>2.902996048157338</v>
      </c>
      <c r="V138" s="26"/>
      <c r="W138" s="26"/>
      <c r="X138" s="26"/>
    </row>
    <row r="139" spans="1:24" x14ac:dyDescent="0.2">
      <c r="B139" s="47" t="s">
        <v>10</v>
      </c>
      <c r="C139" s="238" t="s">
        <v>127</v>
      </c>
      <c r="D139" s="239"/>
      <c r="E139" s="239"/>
      <c r="F139" s="239"/>
      <c r="G139" s="239"/>
      <c r="H139" s="239"/>
      <c r="I139" s="239"/>
      <c r="J139" s="240"/>
      <c r="K139" s="48"/>
      <c r="L139" s="49"/>
      <c r="M139" s="49"/>
      <c r="N139" s="49"/>
      <c r="O139" s="49"/>
      <c r="P139" s="64"/>
      <c r="Q139" s="51"/>
      <c r="S139" s="28" t="s">
        <v>302</v>
      </c>
      <c r="T139" s="28">
        <f>Q138/R138</f>
        <v>2.902996048157338</v>
      </c>
      <c r="U139" s="25"/>
      <c r="V139" s="26"/>
      <c r="W139" s="26"/>
      <c r="X139" s="26"/>
    </row>
    <row r="140" spans="1:24" x14ac:dyDescent="0.2">
      <c r="B140" s="47" t="s">
        <v>11</v>
      </c>
      <c r="C140" s="232"/>
      <c r="D140" s="233"/>
      <c r="E140" s="233"/>
      <c r="F140" s="233"/>
      <c r="G140" s="233"/>
      <c r="H140" s="233"/>
      <c r="I140" s="233"/>
      <c r="J140" s="234"/>
      <c r="K140" s="48"/>
      <c r="L140" s="49"/>
      <c r="M140" s="49"/>
      <c r="N140" s="49"/>
      <c r="O140" s="49"/>
      <c r="P140" s="64"/>
      <c r="Q140" s="51"/>
      <c r="S140" s="25"/>
      <c r="T140" s="25"/>
      <c r="U140" s="25"/>
      <c r="V140" s="26"/>
      <c r="W140" s="26"/>
      <c r="X140" s="26"/>
    </row>
    <row r="141" spans="1:24" x14ac:dyDescent="0.2">
      <c r="B141" s="47"/>
      <c r="C141" s="232"/>
      <c r="D141" s="233"/>
      <c r="E141" s="233"/>
      <c r="F141" s="233"/>
      <c r="G141" s="233"/>
      <c r="H141" s="233"/>
      <c r="I141" s="233"/>
      <c r="J141" s="234"/>
      <c r="K141" s="48"/>
      <c r="L141" s="49"/>
      <c r="M141" s="49"/>
      <c r="N141" s="49"/>
      <c r="O141" s="49"/>
      <c r="P141" s="64"/>
      <c r="Q141" s="51"/>
      <c r="S141" s="25"/>
      <c r="T141" s="25"/>
      <c r="U141" s="25"/>
      <c r="V141" s="26"/>
      <c r="W141" s="26"/>
      <c r="X141" s="26"/>
    </row>
    <row r="142" spans="1:24" x14ac:dyDescent="0.2">
      <c r="B142" s="65"/>
      <c r="C142" s="244"/>
      <c r="D142" s="245"/>
      <c r="E142" s="245"/>
      <c r="F142" s="245"/>
      <c r="G142" s="245"/>
      <c r="H142" s="245"/>
      <c r="I142" s="245"/>
      <c r="J142" s="246"/>
      <c r="K142" s="48"/>
      <c r="L142" s="49"/>
      <c r="M142" s="49"/>
      <c r="N142" s="49"/>
      <c r="O142" s="49"/>
      <c r="P142" s="64"/>
      <c r="Q142" s="51"/>
      <c r="S142" s="25"/>
      <c r="T142" s="25"/>
      <c r="U142" s="25"/>
      <c r="V142" s="26"/>
      <c r="W142" s="26"/>
      <c r="X142" s="26"/>
    </row>
    <row r="143" spans="1:24" ht="44.25" customHeight="1" x14ac:dyDescent="0.2">
      <c r="A143" s="37">
        <v>21</v>
      </c>
      <c r="B143" s="47" t="s">
        <v>8</v>
      </c>
      <c r="C143" s="232" t="s">
        <v>65</v>
      </c>
      <c r="D143" s="233"/>
      <c r="E143" s="233"/>
      <c r="F143" s="233"/>
      <c r="G143" s="233"/>
      <c r="H143" s="233"/>
      <c r="I143" s="233"/>
      <c r="J143" s="234"/>
      <c r="K143" s="48"/>
      <c r="L143" s="49"/>
      <c r="M143" s="49"/>
      <c r="N143" s="49"/>
      <c r="O143" s="49"/>
      <c r="P143" s="64"/>
      <c r="Q143" s="51"/>
      <c r="S143" s="28" t="s">
        <v>298</v>
      </c>
      <c r="T143" s="28">
        <f>Q145/R145</f>
        <v>1.76019359053882</v>
      </c>
      <c r="U143" s="25"/>
      <c r="V143" s="26"/>
      <c r="W143" s="26"/>
      <c r="X143" s="26"/>
    </row>
    <row r="144" spans="1:24" ht="22.5" x14ac:dyDescent="0.2">
      <c r="A144" s="46"/>
      <c r="B144" s="47" t="s">
        <v>9</v>
      </c>
      <c r="C144" s="235" t="s">
        <v>129</v>
      </c>
      <c r="D144" s="236"/>
      <c r="E144" s="236"/>
      <c r="F144" s="236"/>
      <c r="G144" s="236"/>
      <c r="H144" s="236"/>
      <c r="I144" s="236"/>
      <c r="J144" s="237"/>
      <c r="K144" s="48"/>
      <c r="L144" s="49"/>
      <c r="M144" s="49"/>
      <c r="N144" s="49"/>
      <c r="O144" s="49"/>
      <c r="P144" s="64"/>
      <c r="Q144" s="51"/>
      <c r="S144" s="28" t="s">
        <v>303</v>
      </c>
      <c r="T144" s="28">
        <f>Q145/R145</f>
        <v>1.76019359053882</v>
      </c>
      <c r="U144" s="25"/>
      <c r="V144" s="26"/>
      <c r="W144" s="26"/>
      <c r="X144" s="26"/>
    </row>
    <row r="145" spans="1:24" x14ac:dyDescent="0.2">
      <c r="B145" s="47"/>
      <c r="C145" s="54">
        <v>7</v>
      </c>
      <c r="D145" s="55">
        <v>6</v>
      </c>
      <c r="E145" s="55">
        <f>D145/C145</f>
        <v>0.8571428571428571</v>
      </c>
      <c r="F145" s="55">
        <v>1</v>
      </c>
      <c r="G145" s="55"/>
      <c r="H145" s="56"/>
      <c r="I145" s="56">
        <v>3.5619999999999998</v>
      </c>
      <c r="J145" s="123">
        <v>2.9830000000000001</v>
      </c>
      <c r="K145" s="85">
        <f>I145/(0.2*J145)</f>
        <v>5.9704994971505192</v>
      </c>
      <c r="L145" s="86">
        <f>E145</f>
        <v>0.8571428571428571</v>
      </c>
      <c r="M145" s="60">
        <f>F145</f>
        <v>1</v>
      </c>
      <c r="N145" s="60">
        <f>I145</f>
        <v>3.5619999999999998</v>
      </c>
      <c r="O145" s="60">
        <f>J145</f>
        <v>2.9830000000000001</v>
      </c>
      <c r="P145" s="83">
        <f>3*((D145*SQRT(1+F145))/(C145))*(1+2*N145/O145)</f>
        <v>12.321355133771739</v>
      </c>
      <c r="Q145" s="56">
        <f>P145</f>
        <v>12.321355133771739</v>
      </c>
      <c r="R145" s="22">
        <v>7</v>
      </c>
      <c r="S145" s="27" t="s">
        <v>191</v>
      </c>
      <c r="T145" s="32">
        <f>Q145/R145</f>
        <v>1.76019359053882</v>
      </c>
      <c r="U145" s="27">
        <f>T145</f>
        <v>1.76019359053882</v>
      </c>
      <c r="V145" s="26"/>
      <c r="W145" s="26"/>
      <c r="X145" s="26"/>
    </row>
    <row r="146" spans="1:24" x14ac:dyDescent="0.2">
      <c r="B146" s="47" t="s">
        <v>10</v>
      </c>
      <c r="C146" s="238" t="s">
        <v>128</v>
      </c>
      <c r="D146" s="239"/>
      <c r="E146" s="239"/>
      <c r="F146" s="239"/>
      <c r="G146" s="239"/>
      <c r="H146" s="239"/>
      <c r="I146" s="239"/>
      <c r="J146" s="240"/>
      <c r="K146" s="48"/>
      <c r="L146" s="49"/>
      <c r="M146" s="49"/>
      <c r="N146" s="49"/>
      <c r="O146" s="49"/>
      <c r="P146" s="64"/>
      <c r="Q146" s="51"/>
      <c r="S146" s="27" t="s">
        <v>186</v>
      </c>
      <c r="T146" s="27">
        <f>Q145/R145</f>
        <v>1.76019359053882</v>
      </c>
      <c r="U146" s="27">
        <f>T146</f>
        <v>1.76019359053882</v>
      </c>
      <c r="V146" s="26"/>
      <c r="W146" s="26"/>
      <c r="X146" s="26"/>
    </row>
    <row r="147" spans="1:24" x14ac:dyDescent="0.2">
      <c r="B147" s="47" t="s">
        <v>11</v>
      </c>
      <c r="C147" s="232"/>
      <c r="D147" s="233"/>
      <c r="E147" s="233"/>
      <c r="F147" s="233"/>
      <c r="G147" s="233"/>
      <c r="H147" s="233"/>
      <c r="I147" s="233"/>
      <c r="J147" s="234"/>
      <c r="K147" s="48"/>
      <c r="L147" s="49"/>
      <c r="M147" s="49"/>
      <c r="N147" s="49"/>
      <c r="O147" s="49"/>
      <c r="P147" s="64"/>
      <c r="Q147" s="51"/>
      <c r="S147" s="27" t="s">
        <v>198</v>
      </c>
      <c r="T147" s="27">
        <f>Q145/R145</f>
        <v>1.76019359053882</v>
      </c>
      <c r="U147" s="27">
        <f>T147</f>
        <v>1.76019359053882</v>
      </c>
      <c r="V147" s="26"/>
      <c r="W147" s="26"/>
      <c r="X147" s="26"/>
    </row>
    <row r="148" spans="1:24" x14ac:dyDescent="0.2">
      <c r="B148" s="47"/>
      <c r="C148" s="232"/>
      <c r="D148" s="233"/>
      <c r="E148" s="233"/>
      <c r="F148" s="233"/>
      <c r="G148" s="233"/>
      <c r="H148" s="233"/>
      <c r="I148" s="233"/>
      <c r="J148" s="234"/>
      <c r="K148" s="48"/>
      <c r="L148" s="49"/>
      <c r="M148" s="49"/>
      <c r="N148" s="49"/>
      <c r="O148" s="49"/>
      <c r="P148" s="64"/>
      <c r="Q148" s="51"/>
      <c r="S148" s="28" t="s">
        <v>304</v>
      </c>
      <c r="T148" s="28">
        <f>Q145/R145</f>
        <v>1.76019359053882</v>
      </c>
      <c r="U148" s="25"/>
      <c r="V148" s="26"/>
      <c r="W148" s="26"/>
      <c r="X148" s="26"/>
    </row>
    <row r="149" spans="1:24" x14ac:dyDescent="0.2">
      <c r="B149" s="65"/>
      <c r="C149" s="244"/>
      <c r="D149" s="245"/>
      <c r="E149" s="245"/>
      <c r="F149" s="245"/>
      <c r="G149" s="245"/>
      <c r="H149" s="245"/>
      <c r="I149" s="245"/>
      <c r="J149" s="246"/>
      <c r="K149" s="48"/>
      <c r="L149" s="49"/>
      <c r="M149" s="49"/>
      <c r="N149" s="49"/>
      <c r="O149" s="49"/>
      <c r="P149" s="64"/>
      <c r="Q149" s="51"/>
      <c r="S149" s="27" t="s">
        <v>15</v>
      </c>
      <c r="T149" s="27">
        <f>Q145/R145</f>
        <v>1.76019359053882</v>
      </c>
      <c r="U149" s="27">
        <f>T149+T148+T144+T143</f>
        <v>7.0407743621552799</v>
      </c>
      <c r="V149" s="26"/>
      <c r="W149" s="26"/>
      <c r="X149" s="26"/>
    </row>
    <row r="150" spans="1:24" ht="44.25" customHeight="1" x14ac:dyDescent="0.2">
      <c r="A150" s="37">
        <v>22</v>
      </c>
      <c r="B150" s="47" t="s">
        <v>8</v>
      </c>
      <c r="C150" s="232" t="s">
        <v>66</v>
      </c>
      <c r="D150" s="233"/>
      <c r="E150" s="233"/>
      <c r="F150" s="233"/>
      <c r="G150" s="233"/>
      <c r="H150" s="233"/>
      <c r="I150" s="233"/>
      <c r="J150" s="234"/>
      <c r="K150" s="48"/>
      <c r="L150" s="49"/>
      <c r="M150" s="49"/>
      <c r="N150" s="49"/>
      <c r="O150" s="49"/>
      <c r="P150" s="64"/>
      <c r="Q150" s="51"/>
      <c r="S150" s="25"/>
      <c r="T150" s="25"/>
      <c r="U150" s="25"/>
      <c r="V150" s="26"/>
      <c r="W150" s="26"/>
      <c r="X150" s="26"/>
    </row>
    <row r="151" spans="1:24" ht="22.5" x14ac:dyDescent="0.2">
      <c r="A151" s="46"/>
      <c r="B151" s="47" t="s">
        <v>9</v>
      </c>
      <c r="C151" s="235" t="s">
        <v>130</v>
      </c>
      <c r="D151" s="236"/>
      <c r="E151" s="236"/>
      <c r="F151" s="236"/>
      <c r="G151" s="236"/>
      <c r="H151" s="236"/>
      <c r="I151" s="236"/>
      <c r="J151" s="237"/>
      <c r="K151" s="48"/>
      <c r="L151" s="49"/>
      <c r="M151" s="49"/>
      <c r="N151" s="49"/>
      <c r="O151" s="49"/>
      <c r="P151" s="64"/>
      <c r="Q151" s="51"/>
      <c r="S151" s="28" t="s">
        <v>305</v>
      </c>
      <c r="T151" s="28">
        <f>Q152/R152</f>
        <v>1.4627640765626726</v>
      </c>
      <c r="U151" s="25"/>
      <c r="V151" s="26"/>
      <c r="W151" s="26"/>
      <c r="X151" s="26"/>
    </row>
    <row r="152" spans="1:24" x14ac:dyDescent="0.2">
      <c r="B152" s="47"/>
      <c r="C152" s="54">
        <v>5</v>
      </c>
      <c r="D152" s="55">
        <v>3</v>
      </c>
      <c r="E152" s="55">
        <f>D152/C152</f>
        <v>0.6</v>
      </c>
      <c r="F152" s="55">
        <v>1</v>
      </c>
      <c r="G152" s="55"/>
      <c r="H152" s="56"/>
      <c r="I152" s="56">
        <v>2.1379999999999999</v>
      </c>
      <c r="J152" s="87">
        <f>(2.959+3.627)/2</f>
        <v>3.2930000000000001</v>
      </c>
      <c r="K152" s="85">
        <f>I152/(0.2*J152)</f>
        <v>3.2462799878530211</v>
      </c>
      <c r="L152" s="86">
        <f>E152</f>
        <v>0.6</v>
      </c>
      <c r="M152" s="60">
        <f>F152</f>
        <v>1</v>
      </c>
      <c r="N152" s="60">
        <f>I152</f>
        <v>2.1379999999999999</v>
      </c>
      <c r="O152" s="60">
        <f>J152</f>
        <v>3.2930000000000001</v>
      </c>
      <c r="P152" s="83">
        <f>3*((D152*SQRT(1+F152))/(C152))*(1+2*N152/O152)</f>
        <v>5.8510563062506904</v>
      </c>
      <c r="Q152" s="56">
        <f>P152</f>
        <v>5.8510563062506904</v>
      </c>
      <c r="R152" s="22">
        <v>4</v>
      </c>
      <c r="S152" s="27" t="s">
        <v>191</v>
      </c>
      <c r="T152" s="27">
        <f>Q152/R152</f>
        <v>1.4627640765626726</v>
      </c>
      <c r="U152" s="27">
        <f>T152</f>
        <v>1.4627640765626726</v>
      </c>
      <c r="V152" s="26"/>
      <c r="W152" s="26"/>
      <c r="X152" s="26"/>
    </row>
    <row r="153" spans="1:24" x14ac:dyDescent="0.2">
      <c r="B153" s="47" t="s">
        <v>10</v>
      </c>
      <c r="C153" s="238" t="s">
        <v>131</v>
      </c>
      <c r="D153" s="239"/>
      <c r="E153" s="239"/>
      <c r="F153" s="239"/>
      <c r="G153" s="239"/>
      <c r="H153" s="239"/>
      <c r="I153" s="239"/>
      <c r="J153" s="240"/>
      <c r="K153" s="48"/>
      <c r="L153" s="49"/>
      <c r="M153" s="49"/>
      <c r="N153" s="49"/>
      <c r="O153" s="49"/>
      <c r="P153" s="64"/>
      <c r="Q153" s="51"/>
      <c r="S153" s="27" t="s">
        <v>204</v>
      </c>
      <c r="T153" s="27">
        <f>Q152/R152</f>
        <v>1.4627640765626726</v>
      </c>
      <c r="U153" s="27">
        <f>T153</f>
        <v>1.4627640765626726</v>
      </c>
      <c r="V153" s="26"/>
      <c r="W153" s="26"/>
      <c r="X153" s="26"/>
    </row>
    <row r="154" spans="1:24" x14ac:dyDescent="0.2">
      <c r="B154" s="47" t="s">
        <v>11</v>
      </c>
      <c r="C154" s="232"/>
      <c r="D154" s="233"/>
      <c r="E154" s="233"/>
      <c r="F154" s="233"/>
      <c r="G154" s="233"/>
      <c r="H154" s="233"/>
      <c r="I154" s="233"/>
      <c r="J154" s="234"/>
      <c r="K154" s="48"/>
      <c r="L154" s="49"/>
      <c r="M154" s="49"/>
      <c r="N154" s="49"/>
      <c r="O154" s="49"/>
      <c r="P154" s="64"/>
      <c r="Q154" s="51"/>
      <c r="S154" s="27" t="s">
        <v>15</v>
      </c>
      <c r="T154" s="27">
        <f>Q152/R152</f>
        <v>1.4627640765626726</v>
      </c>
      <c r="U154" s="27">
        <f>T154+T151</f>
        <v>2.9255281531253452</v>
      </c>
      <c r="V154" s="26"/>
      <c r="W154" s="26"/>
      <c r="X154" s="26"/>
    </row>
    <row r="155" spans="1:24" x14ac:dyDescent="0.2">
      <c r="B155" s="47"/>
      <c r="C155" s="232"/>
      <c r="D155" s="233"/>
      <c r="E155" s="233"/>
      <c r="F155" s="233"/>
      <c r="G155" s="233"/>
      <c r="H155" s="233"/>
      <c r="I155" s="233"/>
      <c r="J155" s="234"/>
      <c r="K155" s="48"/>
      <c r="L155" s="49"/>
      <c r="M155" s="49"/>
      <c r="N155" s="49"/>
      <c r="O155" s="49"/>
      <c r="P155" s="64"/>
      <c r="Q155" s="51"/>
      <c r="S155" s="25"/>
      <c r="T155" s="25"/>
      <c r="U155" s="25"/>
      <c r="V155" s="26"/>
      <c r="W155" s="26"/>
      <c r="X155" s="26"/>
    </row>
    <row r="156" spans="1:24" x14ac:dyDescent="0.2">
      <c r="B156" s="65"/>
      <c r="C156" s="244"/>
      <c r="D156" s="245"/>
      <c r="E156" s="245"/>
      <c r="F156" s="245"/>
      <c r="G156" s="245"/>
      <c r="H156" s="245"/>
      <c r="I156" s="245"/>
      <c r="J156" s="246"/>
      <c r="K156" s="48"/>
      <c r="L156" s="49"/>
      <c r="M156" s="49"/>
      <c r="N156" s="49"/>
      <c r="O156" s="49"/>
      <c r="P156" s="64"/>
      <c r="Q156" s="51"/>
      <c r="S156" s="25"/>
      <c r="T156" s="25"/>
      <c r="U156" s="25"/>
      <c r="V156" s="26"/>
      <c r="W156" s="26"/>
      <c r="X156" s="26"/>
    </row>
    <row r="157" spans="1:24" ht="45.6" customHeight="1" x14ac:dyDescent="0.2">
      <c r="A157" s="37">
        <v>23</v>
      </c>
      <c r="B157" s="47" t="s">
        <v>8</v>
      </c>
      <c r="C157" s="263" t="s">
        <v>67</v>
      </c>
      <c r="D157" s="264"/>
      <c r="E157" s="264"/>
      <c r="F157" s="264"/>
      <c r="G157" s="264"/>
      <c r="H157" s="264"/>
      <c r="I157" s="264"/>
      <c r="J157" s="265"/>
      <c r="K157" s="48"/>
      <c r="L157" s="49"/>
      <c r="M157" s="49"/>
      <c r="N157" s="49"/>
      <c r="O157" s="49"/>
      <c r="P157" s="64"/>
      <c r="Q157" s="51"/>
      <c r="S157" s="27" t="s">
        <v>198</v>
      </c>
      <c r="T157" s="27">
        <f>Q159/R159</f>
        <v>1.3791071970847253</v>
      </c>
      <c r="U157" s="27">
        <f>T157+T158</f>
        <v>2.7582143941694506</v>
      </c>
      <c r="V157" s="26"/>
      <c r="W157" s="26"/>
      <c r="X157" s="26"/>
    </row>
    <row r="158" spans="1:24" ht="22.5" x14ac:dyDescent="0.2">
      <c r="A158" s="46"/>
      <c r="B158" s="47" t="s">
        <v>9</v>
      </c>
      <c r="C158" s="235" t="s">
        <v>205</v>
      </c>
      <c r="D158" s="236"/>
      <c r="E158" s="236"/>
      <c r="F158" s="236"/>
      <c r="G158" s="236"/>
      <c r="H158" s="236"/>
      <c r="I158" s="236"/>
      <c r="J158" s="237"/>
      <c r="K158" s="48"/>
      <c r="L158" s="49"/>
      <c r="M158" s="49"/>
      <c r="N158" s="49"/>
      <c r="O158" s="49"/>
      <c r="P158" s="64"/>
      <c r="Q158" s="51"/>
      <c r="S158" s="28" t="s">
        <v>347</v>
      </c>
      <c r="T158" s="28">
        <f>Q159/R159</f>
        <v>1.3791071970847253</v>
      </c>
      <c r="U158" s="25"/>
      <c r="V158" s="26"/>
      <c r="W158" s="26"/>
      <c r="X158" s="26"/>
    </row>
    <row r="159" spans="1:24" x14ac:dyDescent="0.2">
      <c r="B159" s="47"/>
      <c r="C159" s="54">
        <v>6</v>
      </c>
      <c r="D159" s="55">
        <v>3</v>
      </c>
      <c r="E159" s="55">
        <f>D159/C159</f>
        <v>0.5</v>
      </c>
      <c r="F159" s="68">
        <v>3</v>
      </c>
      <c r="G159" s="55"/>
      <c r="H159" s="56"/>
      <c r="I159" s="56">
        <v>2.1379999999999999</v>
      </c>
      <c r="J159" s="123">
        <f>(2.959+3.627)/2</f>
        <v>3.2930000000000001</v>
      </c>
      <c r="K159" s="85">
        <f>I159/(0.2*J159)</f>
        <v>3.2462799878530211</v>
      </c>
      <c r="L159" s="86">
        <f>E159</f>
        <v>0.5</v>
      </c>
      <c r="M159" s="60">
        <f>F159</f>
        <v>3</v>
      </c>
      <c r="N159" s="60">
        <f>I159</f>
        <v>2.1379999999999999</v>
      </c>
      <c r="O159" s="60">
        <f>J159</f>
        <v>3.2930000000000001</v>
      </c>
      <c r="P159" s="83">
        <f>3*((D159*SQRT(1+F159))/(C159))*(1+2*N159/O159)</f>
        <v>6.895535985423626</v>
      </c>
      <c r="Q159" s="56">
        <f>P159</f>
        <v>6.895535985423626</v>
      </c>
      <c r="R159" s="22">
        <v>5</v>
      </c>
      <c r="S159" s="27" t="s">
        <v>191</v>
      </c>
      <c r="T159" s="27">
        <f>Q159/R159</f>
        <v>1.3791071970847253</v>
      </c>
      <c r="U159" s="27">
        <f>T159</f>
        <v>1.3791071970847253</v>
      </c>
      <c r="V159" s="26"/>
      <c r="W159" s="26"/>
      <c r="X159" s="26"/>
    </row>
    <row r="160" spans="1:24" x14ac:dyDescent="0.2">
      <c r="B160" s="47" t="s">
        <v>10</v>
      </c>
      <c r="C160" s="238" t="s">
        <v>132</v>
      </c>
      <c r="D160" s="239"/>
      <c r="E160" s="239"/>
      <c r="F160" s="239"/>
      <c r="G160" s="239"/>
      <c r="H160" s="239"/>
      <c r="I160" s="239"/>
      <c r="J160" s="240"/>
      <c r="K160" s="48"/>
      <c r="L160" s="49"/>
      <c r="M160" s="49"/>
      <c r="N160" s="49"/>
      <c r="O160" s="49"/>
      <c r="P160" s="64"/>
      <c r="Q160" s="51"/>
      <c r="S160" s="28" t="s">
        <v>304</v>
      </c>
      <c r="T160" s="28">
        <f>Q159/R159</f>
        <v>1.3791071970847253</v>
      </c>
      <c r="U160" s="25"/>
      <c r="V160" s="26"/>
      <c r="W160" s="26"/>
      <c r="X160" s="26"/>
    </row>
    <row r="161" spans="1:24" x14ac:dyDescent="0.2">
      <c r="B161" s="47" t="s">
        <v>11</v>
      </c>
      <c r="C161" s="232"/>
      <c r="D161" s="233"/>
      <c r="E161" s="233"/>
      <c r="F161" s="233"/>
      <c r="G161" s="233"/>
      <c r="H161" s="233"/>
      <c r="I161" s="233"/>
      <c r="J161" s="234"/>
      <c r="K161" s="48"/>
      <c r="L161" s="49"/>
      <c r="M161" s="49"/>
      <c r="N161" s="49"/>
      <c r="O161" s="49"/>
      <c r="P161" s="64"/>
      <c r="Q161" s="51"/>
      <c r="S161" s="27" t="s">
        <v>202</v>
      </c>
      <c r="T161" s="27">
        <f>Q159/R159</f>
        <v>1.3791071970847253</v>
      </c>
      <c r="U161" s="27">
        <f>T161+T160</f>
        <v>2.7582143941694506</v>
      </c>
      <c r="V161" s="26"/>
      <c r="W161" s="26"/>
      <c r="X161" s="26"/>
    </row>
    <row r="162" spans="1:24" x14ac:dyDescent="0.2">
      <c r="B162" s="47"/>
      <c r="C162" s="232"/>
      <c r="D162" s="233"/>
      <c r="E162" s="233"/>
      <c r="F162" s="233"/>
      <c r="G162" s="233"/>
      <c r="H162" s="233"/>
      <c r="I162" s="233"/>
      <c r="J162" s="234"/>
      <c r="K162" s="48"/>
      <c r="L162" s="49"/>
      <c r="M162" s="49"/>
      <c r="N162" s="49"/>
      <c r="O162" s="49"/>
      <c r="P162" s="64"/>
      <c r="Q162" s="51"/>
      <c r="S162" s="25"/>
      <c r="T162" s="25"/>
      <c r="U162" s="25"/>
      <c r="V162" s="26"/>
      <c r="W162" s="26"/>
      <c r="X162" s="26"/>
    </row>
    <row r="163" spans="1:24" x14ac:dyDescent="0.2">
      <c r="B163" s="65"/>
      <c r="C163" s="244"/>
      <c r="D163" s="245"/>
      <c r="E163" s="245"/>
      <c r="F163" s="245"/>
      <c r="G163" s="245"/>
      <c r="H163" s="245"/>
      <c r="I163" s="245"/>
      <c r="J163" s="246"/>
      <c r="K163" s="48"/>
      <c r="L163" s="49"/>
      <c r="M163" s="49"/>
      <c r="N163" s="49"/>
      <c r="O163" s="49"/>
      <c r="P163" s="64"/>
      <c r="Q163" s="51"/>
      <c r="S163" s="25"/>
      <c r="T163" s="25"/>
      <c r="U163" s="25"/>
      <c r="V163" s="26"/>
      <c r="W163" s="26"/>
      <c r="X163" s="26"/>
    </row>
    <row r="164" spans="1:24" ht="43.5" customHeight="1" x14ac:dyDescent="0.2">
      <c r="A164" s="37">
        <v>24</v>
      </c>
      <c r="B164" s="47" t="s">
        <v>8</v>
      </c>
      <c r="C164" s="263" t="s">
        <v>68</v>
      </c>
      <c r="D164" s="264"/>
      <c r="E164" s="264"/>
      <c r="F164" s="264"/>
      <c r="G164" s="264"/>
      <c r="H164" s="264"/>
      <c r="I164" s="264"/>
      <c r="J164" s="265"/>
      <c r="K164" s="48"/>
      <c r="L164" s="49"/>
      <c r="M164" s="49"/>
      <c r="N164" s="49"/>
      <c r="O164" s="49"/>
      <c r="P164" s="64"/>
      <c r="Q164" s="51"/>
      <c r="S164" s="25"/>
      <c r="T164" s="25"/>
      <c r="U164" s="25"/>
      <c r="V164" s="26"/>
      <c r="W164" s="26"/>
      <c r="X164" s="26"/>
    </row>
    <row r="165" spans="1:24" ht="22.5" x14ac:dyDescent="0.2">
      <c r="B165" s="47" t="s">
        <v>9</v>
      </c>
      <c r="C165" s="235" t="s">
        <v>133</v>
      </c>
      <c r="D165" s="236"/>
      <c r="E165" s="236"/>
      <c r="F165" s="236"/>
      <c r="G165" s="236"/>
      <c r="H165" s="236"/>
      <c r="I165" s="236"/>
      <c r="J165" s="237"/>
      <c r="K165" s="48"/>
      <c r="L165" s="49"/>
      <c r="M165" s="49"/>
      <c r="N165" s="49"/>
      <c r="O165" s="49"/>
      <c r="P165" s="64"/>
      <c r="Q165" s="51"/>
      <c r="S165" s="27" t="s">
        <v>356</v>
      </c>
      <c r="T165" s="27">
        <f>Q166/R166</f>
        <v>4.1151435169910915</v>
      </c>
      <c r="U165" s="27">
        <f>T165</f>
        <v>4.1151435169910915</v>
      </c>
      <c r="V165" s="26"/>
      <c r="W165" s="26"/>
      <c r="X165" s="26"/>
    </row>
    <row r="166" spans="1:24" x14ac:dyDescent="0.2">
      <c r="B166" s="47"/>
      <c r="C166" s="54">
        <v>3</v>
      </c>
      <c r="D166" s="55">
        <v>3</v>
      </c>
      <c r="E166" s="55">
        <f>D166/C166</f>
        <v>1</v>
      </c>
      <c r="F166" s="55">
        <v>0</v>
      </c>
      <c r="G166" s="55"/>
      <c r="H166" s="56"/>
      <c r="I166" s="56">
        <v>4.7210000000000001</v>
      </c>
      <c r="J166" s="123">
        <v>3.0310000000000001</v>
      </c>
      <c r="K166" s="85">
        <f>I166/(0.2*J166)</f>
        <v>7.7878587924777296</v>
      </c>
      <c r="L166" s="86">
        <f>E166</f>
        <v>1</v>
      </c>
      <c r="M166" s="60">
        <f>F166</f>
        <v>0</v>
      </c>
      <c r="N166" s="60">
        <f>I166</f>
        <v>4.7210000000000001</v>
      </c>
      <c r="O166" s="60">
        <f>J166</f>
        <v>3.0310000000000001</v>
      </c>
      <c r="P166" s="83">
        <f>3*((D166*SQRT(1+F166))/(C166))*(1+2*N166/O166)</f>
        <v>12.345430550973274</v>
      </c>
      <c r="Q166" s="56">
        <f>P166</f>
        <v>12.345430550973274</v>
      </c>
      <c r="R166" s="22">
        <v>3</v>
      </c>
      <c r="S166" s="28" t="s">
        <v>346</v>
      </c>
      <c r="T166" s="28">
        <f>Q166/R166</f>
        <v>4.1151435169910915</v>
      </c>
      <c r="U166" s="25"/>
      <c r="V166" s="26"/>
      <c r="W166" s="26"/>
      <c r="X166" s="26"/>
    </row>
    <row r="167" spans="1:24" x14ac:dyDescent="0.2">
      <c r="B167" s="47" t="s">
        <v>10</v>
      </c>
      <c r="C167" s="238" t="s">
        <v>134</v>
      </c>
      <c r="D167" s="239"/>
      <c r="E167" s="239"/>
      <c r="F167" s="239"/>
      <c r="G167" s="239"/>
      <c r="H167" s="239"/>
      <c r="I167" s="239"/>
      <c r="J167" s="240"/>
      <c r="K167" s="48"/>
      <c r="L167" s="49"/>
      <c r="M167" s="49"/>
      <c r="N167" s="49"/>
      <c r="O167" s="49"/>
      <c r="P167" s="64"/>
      <c r="Q167" s="51"/>
      <c r="S167" s="27" t="s">
        <v>32</v>
      </c>
      <c r="T167" s="27">
        <f>Q166/R166</f>
        <v>4.1151435169910915</v>
      </c>
      <c r="U167" s="27">
        <f>T167+T166</f>
        <v>8.230287033982183</v>
      </c>
      <c r="V167" s="26"/>
      <c r="W167" s="26"/>
      <c r="X167" s="26"/>
    </row>
    <row r="168" spans="1:24" x14ac:dyDescent="0.2">
      <c r="B168" s="47" t="s">
        <v>11</v>
      </c>
      <c r="C168" s="232"/>
      <c r="D168" s="233"/>
      <c r="E168" s="233"/>
      <c r="F168" s="233"/>
      <c r="G168" s="233"/>
      <c r="H168" s="233"/>
      <c r="I168" s="233"/>
      <c r="J168" s="234"/>
      <c r="K168" s="48"/>
      <c r="L168" s="49"/>
      <c r="M168" s="49"/>
      <c r="N168" s="49"/>
      <c r="O168" s="49"/>
      <c r="P168" s="64"/>
      <c r="Q168" s="51"/>
      <c r="S168" s="25"/>
      <c r="T168" s="25"/>
      <c r="U168" s="25"/>
      <c r="V168" s="26"/>
      <c r="W168" s="26"/>
      <c r="X168" s="26"/>
    </row>
    <row r="169" spans="1:24" x14ac:dyDescent="0.2">
      <c r="B169" s="47"/>
      <c r="C169" s="232"/>
      <c r="D169" s="233"/>
      <c r="E169" s="233"/>
      <c r="F169" s="233"/>
      <c r="G169" s="233"/>
      <c r="H169" s="233"/>
      <c r="I169" s="233"/>
      <c r="J169" s="234"/>
      <c r="K169" s="48"/>
      <c r="L169" s="49"/>
      <c r="M169" s="49"/>
      <c r="N169" s="49"/>
      <c r="O169" s="49"/>
      <c r="P169" s="64"/>
      <c r="Q169" s="51"/>
      <c r="S169" s="25"/>
      <c r="T169" s="25"/>
      <c r="U169" s="25"/>
      <c r="V169" s="26"/>
      <c r="W169" s="26"/>
      <c r="X169" s="26"/>
    </row>
    <row r="170" spans="1:24" x14ac:dyDescent="0.2">
      <c r="B170" s="65"/>
      <c r="C170" s="244"/>
      <c r="D170" s="245"/>
      <c r="E170" s="245"/>
      <c r="F170" s="245"/>
      <c r="G170" s="245"/>
      <c r="H170" s="245"/>
      <c r="I170" s="245"/>
      <c r="J170" s="246"/>
      <c r="K170" s="48"/>
      <c r="L170" s="49"/>
      <c r="M170" s="49"/>
      <c r="N170" s="49"/>
      <c r="O170" s="49"/>
      <c r="P170" s="64"/>
      <c r="Q170" s="51"/>
      <c r="S170" s="25"/>
      <c r="T170" s="25"/>
      <c r="U170" s="25"/>
      <c r="V170" s="26"/>
      <c r="W170" s="26"/>
      <c r="X170" s="26"/>
    </row>
    <row r="171" spans="1:24" ht="45.75" customHeight="1" x14ac:dyDescent="0.2">
      <c r="A171" s="37">
        <v>25</v>
      </c>
      <c r="B171" s="47" t="s">
        <v>8</v>
      </c>
      <c r="C171" s="263" t="s">
        <v>135</v>
      </c>
      <c r="D171" s="264"/>
      <c r="E171" s="264"/>
      <c r="F171" s="264"/>
      <c r="G171" s="264"/>
      <c r="H171" s="264"/>
      <c r="I171" s="264"/>
      <c r="J171" s="265"/>
      <c r="K171" s="48"/>
      <c r="L171" s="49"/>
      <c r="M171" s="49"/>
      <c r="N171" s="49"/>
      <c r="O171" s="49"/>
      <c r="P171" s="64"/>
      <c r="Q171" s="51"/>
      <c r="S171" s="28" t="s">
        <v>357</v>
      </c>
      <c r="T171" s="28">
        <f>Q173/R173</f>
        <v>2.1618277796106891</v>
      </c>
      <c r="U171" s="25"/>
      <c r="V171" s="26"/>
      <c r="W171" s="26"/>
      <c r="X171" s="26"/>
    </row>
    <row r="172" spans="1:24" ht="22.5" x14ac:dyDescent="0.2">
      <c r="B172" s="47" t="s">
        <v>9</v>
      </c>
      <c r="C172" s="235" t="s">
        <v>136</v>
      </c>
      <c r="D172" s="236"/>
      <c r="E172" s="236"/>
      <c r="F172" s="236"/>
      <c r="G172" s="236"/>
      <c r="H172" s="236"/>
      <c r="I172" s="236"/>
      <c r="J172" s="237"/>
      <c r="K172" s="48"/>
      <c r="L172" s="49"/>
      <c r="M172" s="49"/>
      <c r="N172" s="49"/>
      <c r="O172" s="49"/>
      <c r="P172" s="64"/>
      <c r="Q172" s="51"/>
      <c r="S172" s="27" t="s">
        <v>34</v>
      </c>
      <c r="T172" s="27">
        <f>Q173/R173</f>
        <v>2.1618277796106891</v>
      </c>
      <c r="U172" s="27">
        <f>T172</f>
        <v>2.1618277796106891</v>
      </c>
      <c r="V172" s="26"/>
      <c r="W172" s="26"/>
      <c r="X172" s="26"/>
    </row>
    <row r="173" spans="1:24" x14ac:dyDescent="0.2">
      <c r="B173" s="47"/>
      <c r="C173" s="54">
        <v>3</v>
      </c>
      <c r="D173" s="55">
        <v>2.5</v>
      </c>
      <c r="E173" s="55">
        <f>D173/C173</f>
        <v>0.83333333333333337</v>
      </c>
      <c r="F173" s="55">
        <v>0</v>
      </c>
      <c r="G173" s="55"/>
      <c r="H173" s="56"/>
      <c r="I173" s="55">
        <v>2.4159999999999999</v>
      </c>
      <c r="J173" s="123">
        <v>3.0310000000000001</v>
      </c>
      <c r="K173" s="85">
        <f>I173/(0.2*J173)</f>
        <v>3.9854833388320681</v>
      </c>
      <c r="L173" s="86">
        <f>E173</f>
        <v>0.83333333333333337</v>
      </c>
      <c r="M173" s="60">
        <f>F173</f>
        <v>0</v>
      </c>
      <c r="N173" s="60">
        <f>I173</f>
        <v>2.4159999999999999</v>
      </c>
      <c r="O173" s="60">
        <f>J173</f>
        <v>3.0310000000000001</v>
      </c>
      <c r="P173" s="83">
        <f>3*((D173*SQRT(1+F173))/(C173))*(1+2*N173/O173)</f>
        <v>6.4854833388320676</v>
      </c>
      <c r="Q173" s="56">
        <f>P173</f>
        <v>6.4854833388320676</v>
      </c>
      <c r="R173" s="22">
        <v>3</v>
      </c>
      <c r="S173" s="27" t="s">
        <v>35</v>
      </c>
      <c r="T173" s="32">
        <f>Q173/R173</f>
        <v>2.1618277796106891</v>
      </c>
      <c r="U173" s="27">
        <f>T173+T171</f>
        <v>4.3236555592213781</v>
      </c>
      <c r="V173" s="26"/>
      <c r="W173" s="26"/>
      <c r="X173" s="26"/>
    </row>
    <row r="174" spans="1:24" x14ac:dyDescent="0.2">
      <c r="B174" s="47" t="s">
        <v>10</v>
      </c>
      <c r="C174" s="238" t="s">
        <v>137</v>
      </c>
      <c r="D174" s="239"/>
      <c r="E174" s="239"/>
      <c r="F174" s="239"/>
      <c r="G174" s="239"/>
      <c r="H174" s="239"/>
      <c r="I174" s="239"/>
      <c r="J174" s="240"/>
      <c r="K174" s="48"/>
      <c r="L174" s="49"/>
      <c r="M174" s="49"/>
      <c r="N174" s="49"/>
      <c r="O174" s="49"/>
      <c r="P174" s="64"/>
      <c r="Q174" s="51"/>
      <c r="S174" s="25"/>
      <c r="T174" s="22"/>
      <c r="U174" s="25"/>
      <c r="V174" s="26"/>
      <c r="W174" s="26"/>
      <c r="X174" s="26"/>
    </row>
    <row r="175" spans="1:24" x14ac:dyDescent="0.2">
      <c r="B175" s="47" t="s">
        <v>11</v>
      </c>
      <c r="C175" s="232"/>
      <c r="D175" s="233"/>
      <c r="E175" s="233"/>
      <c r="F175" s="233"/>
      <c r="G175" s="233"/>
      <c r="H175" s="233"/>
      <c r="I175" s="233"/>
      <c r="J175" s="234"/>
      <c r="K175" s="48"/>
      <c r="L175" s="49"/>
      <c r="M175" s="49"/>
      <c r="N175" s="49"/>
      <c r="O175" s="49"/>
      <c r="P175" s="64"/>
      <c r="Q175" s="51"/>
      <c r="S175" s="25"/>
      <c r="T175" s="22"/>
      <c r="U175" s="25"/>
      <c r="V175" s="26"/>
      <c r="W175" s="26"/>
      <c r="X175" s="26"/>
    </row>
    <row r="176" spans="1:24" x14ac:dyDescent="0.2">
      <c r="B176" s="47"/>
      <c r="C176" s="232"/>
      <c r="D176" s="233"/>
      <c r="E176" s="233"/>
      <c r="F176" s="233"/>
      <c r="G176" s="233"/>
      <c r="H176" s="233"/>
      <c r="I176" s="233"/>
      <c r="J176" s="234"/>
      <c r="K176" s="48"/>
      <c r="L176" s="49"/>
      <c r="M176" s="49"/>
      <c r="N176" s="49"/>
      <c r="O176" s="49"/>
      <c r="P176" s="64"/>
      <c r="Q176" s="51"/>
      <c r="S176" s="25"/>
      <c r="T176" s="22"/>
      <c r="U176" s="25"/>
      <c r="V176" s="26"/>
      <c r="W176" s="26"/>
      <c r="X176" s="26"/>
    </row>
    <row r="177" spans="1:24" x14ac:dyDescent="0.2">
      <c r="B177" s="65"/>
      <c r="C177" s="244"/>
      <c r="D177" s="245"/>
      <c r="E177" s="245"/>
      <c r="F177" s="245"/>
      <c r="G177" s="245"/>
      <c r="H177" s="245"/>
      <c r="I177" s="245"/>
      <c r="J177" s="246"/>
      <c r="K177" s="48"/>
      <c r="L177" s="49"/>
      <c r="M177" s="49"/>
      <c r="N177" s="49"/>
      <c r="O177" s="49"/>
      <c r="P177" s="64"/>
      <c r="Q177" s="51"/>
      <c r="S177" s="25"/>
      <c r="T177" s="25"/>
      <c r="U177" s="25"/>
      <c r="V177" s="26"/>
      <c r="W177" s="26"/>
      <c r="X177" s="26"/>
    </row>
    <row r="178" spans="1:24" ht="35.25" customHeight="1" x14ac:dyDescent="0.2">
      <c r="A178" s="37">
        <v>26</v>
      </c>
      <c r="B178" s="69" t="s">
        <v>8</v>
      </c>
      <c r="C178" s="263" t="s">
        <v>69</v>
      </c>
      <c r="D178" s="264"/>
      <c r="E178" s="264"/>
      <c r="F178" s="264"/>
      <c r="G178" s="264"/>
      <c r="H178" s="264"/>
      <c r="I178" s="264"/>
      <c r="J178" s="265"/>
      <c r="K178" s="48"/>
      <c r="L178" s="49"/>
      <c r="M178" s="49"/>
      <c r="N178" s="49"/>
      <c r="O178" s="49"/>
      <c r="P178" s="64"/>
      <c r="Q178" s="51"/>
      <c r="S178" s="27" t="s">
        <v>206</v>
      </c>
      <c r="T178" s="27">
        <f>Q180/R180</f>
        <v>0.54756713999073925</v>
      </c>
      <c r="U178" s="27">
        <f>T178</f>
        <v>0.54756713999073925</v>
      </c>
      <c r="V178" s="26"/>
      <c r="W178" s="26"/>
      <c r="X178" s="26"/>
    </row>
    <row r="179" spans="1:24" ht="22.5" x14ac:dyDescent="0.2">
      <c r="A179" s="46"/>
      <c r="B179" s="69" t="s">
        <v>9</v>
      </c>
      <c r="C179" s="304" t="s">
        <v>138</v>
      </c>
      <c r="D179" s="292"/>
      <c r="E179" s="292"/>
      <c r="F179" s="292"/>
      <c r="G179" s="292"/>
      <c r="H179" s="292"/>
      <c r="I179" s="292"/>
      <c r="J179" s="293"/>
      <c r="K179" s="48"/>
      <c r="L179" s="49"/>
      <c r="M179" s="49"/>
      <c r="N179" s="49"/>
      <c r="O179" s="49"/>
      <c r="P179" s="64"/>
      <c r="Q179" s="51"/>
      <c r="S179" s="28" t="s">
        <v>306</v>
      </c>
      <c r="T179" s="28">
        <f>Q180/R180</f>
        <v>0.54756713999073925</v>
      </c>
      <c r="U179" s="25"/>
      <c r="V179" s="26"/>
      <c r="W179" s="26"/>
      <c r="X179" s="26"/>
    </row>
    <row r="180" spans="1:24" x14ac:dyDescent="0.2">
      <c r="B180" s="69"/>
      <c r="C180" s="67">
        <v>8</v>
      </c>
      <c r="D180" s="68">
        <v>3.5</v>
      </c>
      <c r="E180" s="68">
        <f>D180/C180</f>
        <v>0.4375</v>
      </c>
      <c r="F180" s="68">
        <v>0</v>
      </c>
      <c r="G180" s="68"/>
      <c r="H180" s="69"/>
      <c r="I180" s="55">
        <v>1.7589999999999999</v>
      </c>
      <c r="J180" s="78">
        <f>(3.673+2.312+3.158+3.815)/4</f>
        <v>3.2394999999999996</v>
      </c>
      <c r="K180" s="85">
        <f>I180/(0.2*J180)</f>
        <v>2.714925142768946</v>
      </c>
      <c r="L180" s="86">
        <f>E180</f>
        <v>0.4375</v>
      </c>
      <c r="M180" s="60">
        <f>F180</f>
        <v>0</v>
      </c>
      <c r="N180" s="60">
        <f>I180</f>
        <v>1.7589999999999999</v>
      </c>
      <c r="O180" s="60">
        <f>J180</f>
        <v>3.2394999999999996</v>
      </c>
      <c r="P180" s="83">
        <f>3*((D180*SQRT(1+F180))/(C180))*(1+2*N180/O180)</f>
        <v>2.7378356999536964</v>
      </c>
      <c r="Q180" s="56">
        <f>P180</f>
        <v>2.7378356999536964</v>
      </c>
      <c r="R180" s="22">
        <v>5</v>
      </c>
      <c r="S180" s="28" t="s">
        <v>324</v>
      </c>
      <c r="T180" s="28">
        <f>Q180/R180</f>
        <v>0.54756713999073925</v>
      </c>
      <c r="U180" s="25"/>
      <c r="V180" s="26"/>
      <c r="W180" s="26"/>
      <c r="X180" s="26"/>
    </row>
    <row r="181" spans="1:24" x14ac:dyDescent="0.2">
      <c r="B181" s="69" t="s">
        <v>10</v>
      </c>
      <c r="C181" s="305" t="s">
        <v>139</v>
      </c>
      <c r="D181" s="289"/>
      <c r="E181" s="289"/>
      <c r="F181" s="289"/>
      <c r="G181" s="289"/>
      <c r="H181" s="289"/>
      <c r="I181" s="289"/>
      <c r="J181" s="290"/>
      <c r="K181" s="48"/>
      <c r="L181" s="49"/>
      <c r="M181" s="49"/>
      <c r="N181" s="49"/>
      <c r="O181" s="49"/>
      <c r="P181" s="64"/>
      <c r="Q181" s="51"/>
      <c r="S181" s="27" t="s">
        <v>201</v>
      </c>
      <c r="T181" s="27">
        <f>Q180/R180</f>
        <v>0.54756713999073925</v>
      </c>
      <c r="U181" s="27">
        <f>T181+T180</f>
        <v>1.0951342799814785</v>
      </c>
      <c r="V181" s="26"/>
      <c r="W181" s="26"/>
      <c r="X181" s="26"/>
    </row>
    <row r="182" spans="1:24" x14ac:dyDescent="0.2">
      <c r="B182" s="69" t="s">
        <v>11</v>
      </c>
      <c r="C182" s="263"/>
      <c r="D182" s="264"/>
      <c r="E182" s="264"/>
      <c r="F182" s="264"/>
      <c r="G182" s="264"/>
      <c r="H182" s="264"/>
      <c r="I182" s="264"/>
      <c r="J182" s="265"/>
      <c r="K182" s="48"/>
      <c r="L182" s="49"/>
      <c r="M182" s="49"/>
      <c r="N182" s="49"/>
      <c r="O182" s="49"/>
      <c r="P182" s="64"/>
      <c r="Q182" s="51"/>
      <c r="S182" s="27" t="s">
        <v>15</v>
      </c>
      <c r="T182" s="27">
        <f>Q180/R180</f>
        <v>0.54756713999073925</v>
      </c>
      <c r="U182" s="27">
        <f>T182+T179</f>
        <v>1.0951342799814785</v>
      </c>
      <c r="V182" s="26"/>
      <c r="W182" s="26"/>
      <c r="X182" s="26"/>
    </row>
    <row r="183" spans="1:24" x14ac:dyDescent="0.2">
      <c r="B183" s="47"/>
      <c r="C183" s="232"/>
      <c r="D183" s="233"/>
      <c r="E183" s="233"/>
      <c r="F183" s="233"/>
      <c r="G183" s="233"/>
      <c r="H183" s="233"/>
      <c r="I183" s="233"/>
      <c r="J183" s="234"/>
      <c r="K183" s="48"/>
      <c r="L183" s="49"/>
      <c r="M183" s="49"/>
      <c r="N183" s="49"/>
      <c r="O183" s="49"/>
      <c r="P183" s="64"/>
      <c r="Q183" s="51"/>
      <c r="S183" s="25"/>
      <c r="T183" s="25"/>
      <c r="U183" s="25"/>
      <c r="V183" s="26"/>
      <c r="W183" s="26"/>
      <c r="X183" s="26"/>
    </row>
    <row r="184" spans="1:24" x14ac:dyDescent="0.2">
      <c r="B184" s="65"/>
      <c r="C184" s="244"/>
      <c r="D184" s="245"/>
      <c r="E184" s="245"/>
      <c r="F184" s="245"/>
      <c r="G184" s="245"/>
      <c r="H184" s="245"/>
      <c r="I184" s="245"/>
      <c r="J184" s="246"/>
      <c r="K184" s="48"/>
      <c r="L184" s="49"/>
      <c r="M184" s="49"/>
      <c r="N184" s="49"/>
      <c r="O184" s="49"/>
      <c r="P184" s="64"/>
      <c r="Q184" s="51"/>
      <c r="S184" s="25"/>
      <c r="T184" s="25"/>
      <c r="U184" s="25"/>
      <c r="V184" s="26"/>
      <c r="W184" s="26"/>
      <c r="X184" s="26"/>
    </row>
    <row r="185" spans="1:24" ht="52.5" customHeight="1" x14ac:dyDescent="0.2">
      <c r="A185" s="37">
        <v>27</v>
      </c>
      <c r="B185" s="47" t="s">
        <v>8</v>
      </c>
      <c r="C185" s="263" t="s">
        <v>70</v>
      </c>
      <c r="D185" s="264"/>
      <c r="E185" s="264"/>
      <c r="F185" s="264"/>
      <c r="G185" s="264"/>
      <c r="H185" s="264"/>
      <c r="I185" s="264"/>
      <c r="J185" s="265"/>
      <c r="K185" s="48"/>
      <c r="L185" s="49"/>
      <c r="M185" s="49"/>
      <c r="N185" s="49"/>
      <c r="O185" s="49"/>
      <c r="P185" s="64"/>
      <c r="Q185" s="51"/>
      <c r="S185" s="28" t="s">
        <v>342</v>
      </c>
      <c r="T185" s="28">
        <f>Q187/R187</f>
        <v>1.808850150854844</v>
      </c>
      <c r="U185" s="25"/>
      <c r="V185" s="26"/>
      <c r="W185" s="26"/>
      <c r="X185" s="26"/>
    </row>
    <row r="186" spans="1:24" ht="22.5" x14ac:dyDescent="0.2">
      <c r="B186" s="47" t="s">
        <v>9</v>
      </c>
      <c r="C186" s="235" t="s">
        <v>140</v>
      </c>
      <c r="D186" s="236"/>
      <c r="E186" s="236"/>
      <c r="F186" s="236"/>
      <c r="G186" s="236"/>
      <c r="H186" s="236"/>
      <c r="I186" s="236"/>
      <c r="J186" s="237"/>
      <c r="K186" s="48"/>
      <c r="L186" s="49"/>
      <c r="M186" s="49"/>
      <c r="N186" s="49"/>
      <c r="O186" s="49"/>
      <c r="P186" s="64"/>
      <c r="Q186" s="51"/>
      <c r="S186" s="28" t="s">
        <v>343</v>
      </c>
      <c r="T186" s="28">
        <f>Q187/R187</f>
        <v>1.808850150854844</v>
      </c>
      <c r="U186" s="25"/>
      <c r="V186" s="26"/>
      <c r="W186" s="26"/>
      <c r="X186" s="26"/>
    </row>
    <row r="187" spans="1:24" x14ac:dyDescent="0.2">
      <c r="B187" s="47"/>
      <c r="C187" s="54">
        <v>5</v>
      </c>
      <c r="D187" s="55">
        <v>5</v>
      </c>
      <c r="E187" s="55">
        <f>D187/C187</f>
        <v>1</v>
      </c>
      <c r="F187" s="55">
        <v>0</v>
      </c>
      <c r="G187" s="55"/>
      <c r="H187" s="56"/>
      <c r="I187" s="55">
        <v>3.0049999999999999</v>
      </c>
      <c r="J187" s="78">
        <v>2.9830000000000001</v>
      </c>
      <c r="K187" s="85">
        <f>I187/(0.2*J187)</f>
        <v>5.0368756285618499</v>
      </c>
      <c r="L187" s="86">
        <f>E187</f>
        <v>1</v>
      </c>
      <c r="M187" s="60">
        <f>F187</f>
        <v>0</v>
      </c>
      <c r="N187" s="60">
        <f>I187</f>
        <v>3.0049999999999999</v>
      </c>
      <c r="O187" s="60">
        <f>J187</f>
        <v>2.9830000000000001</v>
      </c>
      <c r="P187" s="83">
        <f>3*((D187*SQRT(1+F187))/(C187))*(1+2*N187/O187)</f>
        <v>9.0442507542742199</v>
      </c>
      <c r="Q187" s="69">
        <f>P187</f>
        <v>9.0442507542742199</v>
      </c>
      <c r="R187" s="22">
        <v>5</v>
      </c>
      <c r="S187" s="28" t="s">
        <v>344</v>
      </c>
      <c r="T187" s="28">
        <f>Q187/R187</f>
        <v>1.808850150854844</v>
      </c>
      <c r="U187" s="25"/>
      <c r="V187" s="26"/>
      <c r="W187" s="26"/>
      <c r="X187" s="26"/>
    </row>
    <row r="188" spans="1:24" x14ac:dyDescent="0.2">
      <c r="B188" s="47" t="s">
        <v>10</v>
      </c>
      <c r="C188" s="238" t="s">
        <v>141</v>
      </c>
      <c r="D188" s="239"/>
      <c r="E188" s="239"/>
      <c r="F188" s="239"/>
      <c r="G188" s="239"/>
      <c r="H188" s="239"/>
      <c r="I188" s="239"/>
      <c r="J188" s="240"/>
      <c r="K188" s="48"/>
      <c r="L188" s="49"/>
      <c r="M188" s="49"/>
      <c r="N188" s="49"/>
      <c r="O188" s="49"/>
      <c r="P188" s="64"/>
      <c r="Q188" s="51"/>
      <c r="S188" s="28" t="s">
        <v>345</v>
      </c>
      <c r="T188" s="28">
        <f>Q187/R187</f>
        <v>1.808850150854844</v>
      </c>
      <c r="U188" s="25"/>
      <c r="V188" s="26"/>
      <c r="W188" s="26"/>
      <c r="X188" s="26"/>
    </row>
    <row r="189" spans="1:24" x14ac:dyDescent="0.2">
      <c r="B189" s="47" t="s">
        <v>11</v>
      </c>
      <c r="C189" s="232"/>
      <c r="D189" s="233"/>
      <c r="E189" s="233"/>
      <c r="F189" s="233"/>
      <c r="G189" s="233"/>
      <c r="H189" s="233"/>
      <c r="I189" s="233"/>
      <c r="J189" s="234"/>
      <c r="K189" s="48"/>
      <c r="L189" s="49"/>
      <c r="M189" s="49"/>
      <c r="N189" s="49"/>
      <c r="O189" s="49"/>
      <c r="P189" s="64"/>
      <c r="Q189" s="51"/>
      <c r="S189" s="27" t="s">
        <v>39</v>
      </c>
      <c r="T189" s="27">
        <f>Q187/R187</f>
        <v>1.808850150854844</v>
      </c>
      <c r="U189" s="27">
        <f>T185+T186+T187+T188+T189</f>
        <v>9.0442507542742199</v>
      </c>
      <c r="V189" s="26"/>
      <c r="W189" s="26"/>
      <c r="X189" s="26"/>
    </row>
    <row r="190" spans="1:24" x14ac:dyDescent="0.2">
      <c r="B190" s="47"/>
      <c r="C190" s="232"/>
      <c r="D190" s="233"/>
      <c r="E190" s="233"/>
      <c r="F190" s="233"/>
      <c r="G190" s="233"/>
      <c r="H190" s="233"/>
      <c r="I190" s="233"/>
      <c r="J190" s="234"/>
      <c r="K190" s="48"/>
      <c r="L190" s="49"/>
      <c r="M190" s="49"/>
      <c r="N190" s="49"/>
      <c r="O190" s="49"/>
      <c r="P190" s="64"/>
      <c r="Q190" s="51"/>
      <c r="S190" s="25"/>
      <c r="T190" s="25"/>
      <c r="U190" s="25"/>
      <c r="V190" s="26"/>
      <c r="W190" s="26"/>
      <c r="X190" s="26"/>
    </row>
    <row r="191" spans="1:24" x14ac:dyDescent="0.2">
      <c r="B191" s="65"/>
      <c r="C191" s="244"/>
      <c r="D191" s="245"/>
      <c r="E191" s="245"/>
      <c r="F191" s="245"/>
      <c r="G191" s="245"/>
      <c r="H191" s="245"/>
      <c r="I191" s="245"/>
      <c r="J191" s="246"/>
      <c r="K191" s="48"/>
      <c r="L191" s="49"/>
      <c r="M191" s="49"/>
      <c r="N191" s="49"/>
      <c r="O191" s="49"/>
      <c r="P191" s="64"/>
      <c r="Q191" s="51"/>
      <c r="S191" s="25"/>
      <c r="T191" s="25"/>
      <c r="U191" s="25"/>
      <c r="V191" s="26"/>
      <c r="W191" s="26"/>
      <c r="X191" s="26"/>
    </row>
    <row r="192" spans="1:24" ht="48.75" customHeight="1" x14ac:dyDescent="0.2">
      <c r="A192" s="37">
        <v>28</v>
      </c>
      <c r="B192" s="47" t="s">
        <v>8</v>
      </c>
      <c r="C192" s="263" t="s">
        <v>71</v>
      </c>
      <c r="D192" s="264"/>
      <c r="E192" s="264"/>
      <c r="F192" s="264"/>
      <c r="G192" s="264"/>
      <c r="H192" s="264"/>
      <c r="I192" s="264"/>
      <c r="J192" s="265"/>
      <c r="K192" s="48"/>
      <c r="L192" s="88"/>
      <c r="M192" s="88"/>
      <c r="N192" s="88"/>
      <c r="O192" s="88"/>
      <c r="P192" s="64"/>
      <c r="Q192" s="76"/>
      <c r="S192" s="219" t="s">
        <v>207</v>
      </c>
      <c r="T192" s="195">
        <f>Q194/R194</f>
        <v>1.0961593999929278</v>
      </c>
      <c r="U192" s="76"/>
      <c r="V192" s="26"/>
      <c r="W192" s="26"/>
      <c r="X192" s="26"/>
    </row>
    <row r="193" spans="1:24" ht="22.5" x14ac:dyDescent="0.2">
      <c r="B193" s="47" t="s">
        <v>9</v>
      </c>
      <c r="C193" s="304" t="s">
        <v>143</v>
      </c>
      <c r="D193" s="292"/>
      <c r="E193" s="292"/>
      <c r="F193" s="292"/>
      <c r="G193" s="292"/>
      <c r="H193" s="292"/>
      <c r="I193" s="292"/>
      <c r="J193" s="293"/>
      <c r="K193" s="48"/>
      <c r="L193" s="88"/>
      <c r="M193" s="88"/>
      <c r="N193" s="88"/>
      <c r="O193" s="88"/>
      <c r="P193" s="64"/>
      <c r="Q193" s="76"/>
      <c r="S193" s="189" t="s">
        <v>208</v>
      </c>
      <c r="T193" s="193">
        <f>Q194/R194</f>
        <v>1.0961593999929278</v>
      </c>
      <c r="U193" s="193">
        <f>T193</f>
        <v>1.0961593999929278</v>
      </c>
      <c r="V193" s="26"/>
      <c r="W193" s="26"/>
      <c r="X193" s="26"/>
    </row>
    <row r="194" spans="1:24" x14ac:dyDescent="0.2">
      <c r="B194" s="47"/>
      <c r="C194" s="67">
        <v>9</v>
      </c>
      <c r="D194" s="68">
        <v>4</v>
      </c>
      <c r="E194" s="68">
        <f>D194/C194</f>
        <v>0.44444444444444442</v>
      </c>
      <c r="F194" s="68">
        <v>1</v>
      </c>
      <c r="G194" s="68"/>
      <c r="H194" s="69"/>
      <c r="I194" s="69">
        <v>1.9810000000000001</v>
      </c>
      <c r="J194" s="125">
        <f>(3.673+2.306)/2</f>
        <v>2.9895</v>
      </c>
      <c r="K194" s="85">
        <f>I194/(0.2*J194)</f>
        <v>3.3132630874728219</v>
      </c>
      <c r="L194" s="89">
        <f>E194</f>
        <v>0.44444444444444442</v>
      </c>
      <c r="M194" s="90">
        <f>F194</f>
        <v>1</v>
      </c>
      <c r="N194" s="90">
        <f>I194</f>
        <v>1.9810000000000001</v>
      </c>
      <c r="O194" s="90">
        <f>J194</f>
        <v>2.9895</v>
      </c>
      <c r="P194" s="83">
        <f>3*((D194*SQRT(1+F194))/(C194))*(1+2*N194/O194)</f>
        <v>4.3846375999717111</v>
      </c>
      <c r="Q194" s="69">
        <f>P194</f>
        <v>4.3846375999717111</v>
      </c>
      <c r="R194" s="22">
        <v>4</v>
      </c>
      <c r="S194" s="27" t="s">
        <v>209</v>
      </c>
      <c r="T194" s="27">
        <f>Q194/R194</f>
        <v>1.0961593999929278</v>
      </c>
      <c r="U194" s="193">
        <f>T194</f>
        <v>1.0961593999929278</v>
      </c>
      <c r="V194" s="26"/>
      <c r="W194" s="26"/>
      <c r="X194" s="26"/>
    </row>
    <row r="195" spans="1:24" x14ac:dyDescent="0.2">
      <c r="B195" s="47" t="s">
        <v>10</v>
      </c>
      <c r="C195" s="305" t="s">
        <v>142</v>
      </c>
      <c r="D195" s="289"/>
      <c r="E195" s="289"/>
      <c r="F195" s="289"/>
      <c r="G195" s="289"/>
      <c r="H195" s="289"/>
      <c r="I195" s="289"/>
      <c r="J195" s="290"/>
      <c r="K195" s="48"/>
      <c r="L195" s="88"/>
      <c r="M195" s="88"/>
      <c r="N195" s="88"/>
      <c r="O195" s="88"/>
      <c r="P195" s="64"/>
      <c r="Q195" s="76"/>
      <c r="S195" s="27" t="s">
        <v>20</v>
      </c>
      <c r="T195" s="27">
        <f>Q194/R194</f>
        <v>1.0961593999929278</v>
      </c>
      <c r="U195" s="27">
        <f>T195+T192</f>
        <v>2.1923187999858555</v>
      </c>
      <c r="V195" s="26"/>
      <c r="W195" s="26"/>
      <c r="X195" s="26"/>
    </row>
    <row r="196" spans="1:24" x14ac:dyDescent="0.2">
      <c r="B196" s="47" t="s">
        <v>11</v>
      </c>
      <c r="C196" s="125"/>
      <c r="D196" s="126"/>
      <c r="E196" s="126"/>
      <c r="F196" s="126"/>
      <c r="G196" s="126"/>
      <c r="H196" s="126"/>
      <c r="I196" s="126"/>
      <c r="J196" s="126"/>
      <c r="K196" s="48"/>
      <c r="L196" s="88"/>
      <c r="M196" s="88"/>
      <c r="N196" s="88"/>
      <c r="O196" s="88"/>
      <c r="P196" s="64"/>
      <c r="Q196" s="76"/>
      <c r="S196" s="25"/>
      <c r="T196" s="25"/>
      <c r="U196" s="25"/>
      <c r="V196" s="26"/>
      <c r="W196" s="26"/>
      <c r="X196" s="26"/>
    </row>
    <row r="197" spans="1:24" x14ac:dyDescent="0.2">
      <c r="B197" s="47"/>
      <c r="C197" s="125"/>
      <c r="D197" s="126"/>
      <c r="E197" s="126"/>
      <c r="F197" s="126"/>
      <c r="G197" s="126"/>
      <c r="H197" s="126"/>
      <c r="I197" s="126"/>
      <c r="J197" s="126"/>
      <c r="K197" s="48"/>
      <c r="L197" s="88"/>
      <c r="M197" s="88"/>
      <c r="N197" s="88"/>
      <c r="O197" s="88"/>
      <c r="P197" s="64"/>
      <c r="Q197" s="76"/>
      <c r="S197" s="25"/>
      <c r="T197" s="25"/>
      <c r="U197" s="25"/>
      <c r="V197" s="26"/>
      <c r="W197" s="26"/>
      <c r="X197" s="26"/>
    </row>
    <row r="198" spans="1:24" x14ac:dyDescent="0.2">
      <c r="B198" s="91"/>
      <c r="C198" s="92"/>
      <c r="D198" s="93"/>
      <c r="E198" s="93"/>
      <c r="F198" s="93"/>
      <c r="G198" s="93"/>
      <c r="H198" s="93"/>
      <c r="I198" s="93"/>
      <c r="J198" s="93"/>
      <c r="K198" s="48"/>
      <c r="L198" s="88"/>
      <c r="M198" s="88"/>
      <c r="N198" s="88"/>
      <c r="O198" s="88"/>
      <c r="P198" s="64"/>
      <c r="Q198" s="76"/>
      <c r="S198" s="25"/>
      <c r="T198" s="25"/>
      <c r="U198" s="25"/>
      <c r="V198" s="26"/>
      <c r="W198" s="26"/>
      <c r="X198" s="26"/>
    </row>
    <row r="199" spans="1:24" ht="33.75" x14ac:dyDescent="0.2">
      <c r="A199" s="37">
        <v>29</v>
      </c>
      <c r="B199" s="47" t="s">
        <v>8</v>
      </c>
      <c r="C199" s="263" t="s">
        <v>72</v>
      </c>
      <c r="D199" s="264"/>
      <c r="E199" s="264"/>
      <c r="F199" s="264"/>
      <c r="G199" s="264"/>
      <c r="H199" s="264"/>
      <c r="I199" s="264"/>
      <c r="J199" s="265"/>
      <c r="K199" s="48"/>
      <c r="L199" s="88"/>
      <c r="M199" s="88"/>
      <c r="N199" s="88"/>
      <c r="O199" s="88"/>
      <c r="P199" s="64"/>
      <c r="Q199" s="51"/>
      <c r="S199" s="194" t="s">
        <v>341</v>
      </c>
      <c r="T199" s="195">
        <f>Q201/R201</f>
        <v>0.70051258708043063</v>
      </c>
      <c r="U199" s="34"/>
      <c r="V199" s="26"/>
      <c r="W199" s="26"/>
      <c r="X199" s="26"/>
    </row>
    <row r="200" spans="1:24" ht="22.5" x14ac:dyDescent="0.2">
      <c r="B200" s="47" t="s">
        <v>9</v>
      </c>
      <c r="C200" s="304" t="s">
        <v>144</v>
      </c>
      <c r="D200" s="292"/>
      <c r="E200" s="292"/>
      <c r="F200" s="292"/>
      <c r="G200" s="292"/>
      <c r="H200" s="292"/>
      <c r="I200" s="292"/>
      <c r="J200" s="293"/>
      <c r="K200" s="48"/>
      <c r="L200" s="88"/>
      <c r="M200" s="88"/>
      <c r="N200" s="88"/>
      <c r="O200" s="88"/>
      <c r="P200" s="66"/>
      <c r="Q200" s="51"/>
      <c r="S200" s="27" t="s">
        <v>210</v>
      </c>
      <c r="T200" s="27">
        <f>Q201/R201</f>
        <v>0.70051258708043063</v>
      </c>
      <c r="U200" s="27">
        <f>T200</f>
        <v>0.70051258708043063</v>
      </c>
      <c r="V200" s="26"/>
      <c r="W200" s="26"/>
      <c r="X200" s="26"/>
    </row>
    <row r="201" spans="1:24" x14ac:dyDescent="0.2">
      <c r="B201" s="47"/>
      <c r="C201" s="67">
        <v>8</v>
      </c>
      <c r="D201" s="68">
        <v>3.5</v>
      </c>
      <c r="E201" s="68">
        <f>D201/C201</f>
        <v>0.4375</v>
      </c>
      <c r="F201" s="68">
        <v>0</v>
      </c>
      <c r="G201" s="68"/>
      <c r="H201" s="69"/>
      <c r="I201" s="69">
        <v>1.5680000000000001</v>
      </c>
      <c r="J201" s="125">
        <f>(2.959+2.576+3.673+1.845)/4</f>
        <v>2.7632500000000002</v>
      </c>
      <c r="K201" s="85">
        <f>I201/(0.2*J201)</f>
        <v>2.8372387587080428</v>
      </c>
      <c r="L201" s="89">
        <f>E201</f>
        <v>0.4375</v>
      </c>
      <c r="M201" s="90">
        <f>F201</f>
        <v>0</v>
      </c>
      <c r="N201" s="90">
        <f>I201</f>
        <v>1.5680000000000001</v>
      </c>
      <c r="O201" s="90">
        <f>J201</f>
        <v>2.7632500000000002</v>
      </c>
      <c r="P201" s="94">
        <f>3*((D201*SQRT(1+F201))/(C201))*(1+2*N201/O201)</f>
        <v>2.8020503483217225</v>
      </c>
      <c r="Q201" s="56">
        <f>P201</f>
        <v>2.8020503483217225</v>
      </c>
      <c r="R201" s="22">
        <v>4</v>
      </c>
      <c r="S201" s="27" t="s">
        <v>24</v>
      </c>
      <c r="T201" s="27">
        <f>Q201/R201</f>
        <v>0.70051258708043063</v>
      </c>
      <c r="U201" s="27">
        <f>T201</f>
        <v>0.70051258708043063</v>
      </c>
      <c r="V201" s="26"/>
      <c r="W201" s="26"/>
      <c r="X201" s="26"/>
    </row>
    <row r="202" spans="1:24" x14ac:dyDescent="0.2">
      <c r="B202" s="47" t="s">
        <v>10</v>
      </c>
      <c r="C202" s="141" t="s">
        <v>145</v>
      </c>
      <c r="D202" s="142"/>
      <c r="E202" s="142"/>
      <c r="F202" s="142"/>
      <c r="G202" s="142"/>
      <c r="H202" s="135"/>
      <c r="I202" s="126"/>
      <c r="J202" s="126"/>
      <c r="K202" s="48"/>
      <c r="L202" s="88"/>
      <c r="M202" s="88"/>
      <c r="N202" s="88"/>
      <c r="O202" s="88"/>
      <c r="P202" s="64"/>
      <c r="Q202" s="95"/>
      <c r="R202" s="22"/>
      <c r="S202" s="27" t="s">
        <v>20</v>
      </c>
      <c r="T202" s="27">
        <f>Q201/R201</f>
        <v>0.70051258708043063</v>
      </c>
      <c r="U202" s="27">
        <f>T202+T199</f>
        <v>1.4010251741608613</v>
      </c>
      <c r="V202" s="26"/>
      <c r="W202" s="26"/>
      <c r="X202" s="26"/>
    </row>
    <row r="203" spans="1:24" x14ac:dyDescent="0.2">
      <c r="B203" s="47" t="s">
        <v>11</v>
      </c>
      <c r="C203" s="96"/>
      <c r="D203" s="95"/>
      <c r="E203" s="95"/>
      <c r="F203" s="95"/>
      <c r="G203" s="95"/>
      <c r="H203" s="129"/>
      <c r="I203" s="126"/>
      <c r="J203" s="126"/>
      <c r="K203" s="48"/>
      <c r="L203" s="88"/>
      <c r="M203" s="88"/>
      <c r="N203" s="88"/>
      <c r="O203" s="88"/>
      <c r="P203" s="64"/>
      <c r="Q203" s="95"/>
      <c r="R203" s="22"/>
      <c r="S203" s="25"/>
      <c r="T203" s="25"/>
      <c r="U203" s="25"/>
      <c r="V203" s="26"/>
      <c r="W203" s="26"/>
      <c r="X203" s="26"/>
    </row>
    <row r="204" spans="1:24" x14ac:dyDescent="0.2">
      <c r="B204" s="47"/>
      <c r="C204" s="263"/>
      <c r="D204" s="264"/>
      <c r="E204" s="264"/>
      <c r="F204" s="264"/>
      <c r="G204" s="264"/>
      <c r="H204" s="264"/>
      <c r="I204" s="264"/>
      <c r="J204" s="265"/>
      <c r="K204" s="48"/>
      <c r="L204" s="88"/>
      <c r="M204" s="88"/>
      <c r="N204" s="88"/>
      <c r="O204" s="88"/>
      <c r="P204" s="64"/>
      <c r="Q204" s="76"/>
      <c r="S204" s="25"/>
      <c r="T204" s="25"/>
      <c r="U204" s="25"/>
      <c r="V204" s="26"/>
      <c r="W204" s="26"/>
      <c r="X204" s="26"/>
    </row>
    <row r="205" spans="1:24" x14ac:dyDescent="0.2">
      <c r="B205" s="91"/>
      <c r="C205" s="92"/>
      <c r="D205" s="93"/>
      <c r="E205" s="93"/>
      <c r="F205" s="93"/>
      <c r="G205" s="93"/>
      <c r="H205" s="93"/>
      <c r="I205" s="93"/>
      <c r="J205" s="93"/>
      <c r="K205" s="48"/>
      <c r="L205" s="88"/>
      <c r="M205" s="88"/>
      <c r="N205" s="88"/>
      <c r="O205" s="88"/>
      <c r="P205" s="64"/>
      <c r="Q205" s="76"/>
      <c r="S205" s="25"/>
      <c r="T205" s="25"/>
      <c r="U205" s="25"/>
      <c r="V205" s="26"/>
      <c r="W205" s="26"/>
      <c r="X205" s="26"/>
    </row>
    <row r="206" spans="1:24" ht="33.75" x14ac:dyDescent="0.2">
      <c r="A206" s="37">
        <v>30</v>
      </c>
      <c r="B206" s="47" t="s">
        <v>8</v>
      </c>
      <c r="C206" s="263" t="s">
        <v>73</v>
      </c>
      <c r="D206" s="264"/>
      <c r="E206" s="264"/>
      <c r="F206" s="264"/>
      <c r="G206" s="264"/>
      <c r="H206" s="264"/>
      <c r="I206" s="264"/>
      <c r="J206" s="265"/>
      <c r="K206" s="48"/>
      <c r="L206" s="88"/>
      <c r="M206" s="88"/>
      <c r="N206" s="88"/>
      <c r="O206" s="88"/>
      <c r="P206" s="64"/>
      <c r="Q206" s="51"/>
      <c r="S206" s="28" t="s">
        <v>307</v>
      </c>
      <c r="T206" s="28">
        <f>Q208/R208</f>
        <v>2.2626614923110799</v>
      </c>
      <c r="U206" s="25"/>
      <c r="V206" s="26"/>
      <c r="W206" s="26"/>
      <c r="X206" s="26"/>
    </row>
    <row r="207" spans="1:24" ht="22.5" x14ac:dyDescent="0.2">
      <c r="A207" s="46"/>
      <c r="B207" s="47" t="s">
        <v>9</v>
      </c>
      <c r="C207" s="304" t="s">
        <v>130</v>
      </c>
      <c r="D207" s="292"/>
      <c r="E207" s="292"/>
      <c r="F207" s="292"/>
      <c r="G207" s="292"/>
      <c r="H207" s="292"/>
      <c r="I207" s="292"/>
      <c r="J207" s="293"/>
      <c r="K207" s="48"/>
      <c r="L207" s="88"/>
      <c r="M207" s="88"/>
      <c r="N207" s="88"/>
      <c r="O207" s="88"/>
      <c r="P207" s="64"/>
      <c r="Q207" s="51"/>
      <c r="S207" s="27" t="s">
        <v>211</v>
      </c>
      <c r="T207" s="27">
        <f>Q208/R208</f>
        <v>2.2626614923110799</v>
      </c>
      <c r="U207" s="27">
        <f>T207</f>
        <v>2.2626614923110799</v>
      </c>
      <c r="V207" s="26"/>
      <c r="W207" s="26"/>
      <c r="X207" s="26"/>
    </row>
    <row r="208" spans="1:24" x14ac:dyDescent="0.2">
      <c r="B208" s="47"/>
      <c r="C208" s="67">
        <v>7</v>
      </c>
      <c r="D208" s="68">
        <v>3.5</v>
      </c>
      <c r="E208" s="68">
        <f>D208/C208</f>
        <v>0.5</v>
      </c>
      <c r="F208" s="68">
        <v>2</v>
      </c>
      <c r="G208" s="68"/>
      <c r="H208" s="69"/>
      <c r="I208" s="56">
        <v>4.5039999999999996</v>
      </c>
      <c r="J208" s="123">
        <v>3.6269999999999998</v>
      </c>
      <c r="K208" s="85">
        <f>I208/(0.2*J208)</f>
        <v>6.2089881444720145</v>
      </c>
      <c r="L208" s="89">
        <f>E208</f>
        <v>0.5</v>
      </c>
      <c r="M208" s="90">
        <f>F208</f>
        <v>2</v>
      </c>
      <c r="N208" s="90">
        <f>I208</f>
        <v>4.5039999999999996</v>
      </c>
      <c r="O208" s="97">
        <f>J208</f>
        <v>3.6269999999999998</v>
      </c>
      <c r="P208" s="83">
        <f>3*((D208*SQRT(1+F208))/(C208))*(1+2*N208/O208)</f>
        <v>9.0506459692443197</v>
      </c>
      <c r="Q208" s="73">
        <f>P208</f>
        <v>9.0506459692443197</v>
      </c>
      <c r="R208" s="22">
        <v>4</v>
      </c>
      <c r="S208" s="27" t="s">
        <v>204</v>
      </c>
      <c r="T208" s="27">
        <f>Q208/R208</f>
        <v>2.2626614923110799</v>
      </c>
      <c r="U208" s="27">
        <f>T208</f>
        <v>2.2626614923110799</v>
      </c>
      <c r="V208" s="26"/>
      <c r="W208" s="26"/>
      <c r="X208" s="26"/>
    </row>
    <row r="209" spans="1:24" x14ac:dyDescent="0.2">
      <c r="B209" s="47" t="s">
        <v>10</v>
      </c>
      <c r="C209" s="305" t="s">
        <v>127</v>
      </c>
      <c r="D209" s="289"/>
      <c r="E209" s="289"/>
      <c r="F209" s="289"/>
      <c r="G209" s="289"/>
      <c r="H209" s="289"/>
      <c r="I209" s="289"/>
      <c r="J209" s="290"/>
      <c r="K209" s="48"/>
      <c r="L209" s="88"/>
      <c r="M209" s="88"/>
      <c r="N209" s="88"/>
      <c r="O209" s="88"/>
      <c r="P209" s="64"/>
      <c r="Q209" s="51"/>
      <c r="S209" s="27" t="s">
        <v>15</v>
      </c>
      <c r="T209" s="27">
        <f>Q208/R208</f>
        <v>2.2626614923110799</v>
      </c>
      <c r="U209" s="27">
        <f>T209+T206</f>
        <v>4.5253229846221599</v>
      </c>
      <c r="V209" s="26"/>
      <c r="W209" s="26"/>
      <c r="X209" s="26"/>
    </row>
    <row r="210" spans="1:24" x14ac:dyDescent="0.2">
      <c r="B210" s="47" t="s">
        <v>11</v>
      </c>
      <c r="C210" s="125"/>
      <c r="D210" s="126"/>
      <c r="E210" s="126"/>
      <c r="F210" s="126"/>
      <c r="G210" s="126"/>
      <c r="H210" s="126"/>
      <c r="I210" s="126"/>
      <c r="J210" s="126"/>
      <c r="K210" s="48"/>
      <c r="L210" s="88"/>
      <c r="M210" s="88"/>
      <c r="N210" s="88"/>
      <c r="O210" s="88"/>
      <c r="P210" s="64"/>
      <c r="Q210" s="51"/>
      <c r="S210" s="25"/>
      <c r="T210" s="25"/>
      <c r="U210" s="25"/>
      <c r="V210" s="26"/>
      <c r="W210" s="26"/>
      <c r="X210" s="26"/>
    </row>
    <row r="211" spans="1:24" x14ac:dyDescent="0.2">
      <c r="B211" s="47"/>
      <c r="C211" s="125"/>
      <c r="D211" s="126"/>
      <c r="E211" s="126"/>
      <c r="F211" s="126"/>
      <c r="G211" s="126"/>
      <c r="H211" s="126"/>
      <c r="I211" s="126"/>
      <c r="J211" s="126"/>
      <c r="K211" s="48"/>
      <c r="L211" s="88"/>
      <c r="M211" s="88"/>
      <c r="N211" s="88"/>
      <c r="O211" s="88"/>
      <c r="P211" s="64"/>
      <c r="Q211" s="51"/>
      <c r="S211" s="25"/>
      <c r="T211" s="25"/>
      <c r="U211" s="25"/>
      <c r="V211" s="26"/>
      <c r="W211" s="26"/>
      <c r="X211" s="26"/>
    </row>
    <row r="212" spans="1:24" x14ac:dyDescent="0.2">
      <c r="B212" s="91"/>
      <c r="C212" s="92"/>
      <c r="D212" s="93"/>
      <c r="E212" s="93"/>
      <c r="F212" s="93"/>
      <c r="G212" s="93"/>
      <c r="H212" s="93"/>
      <c r="I212" s="93"/>
      <c r="J212" s="93"/>
      <c r="K212" s="48"/>
      <c r="L212" s="88"/>
      <c r="M212" s="88"/>
      <c r="N212" s="88"/>
      <c r="O212" s="88"/>
      <c r="P212" s="64"/>
      <c r="Q212" s="51"/>
      <c r="S212" s="25"/>
      <c r="T212" s="25"/>
      <c r="U212" s="25"/>
      <c r="V212" s="26"/>
      <c r="W212" s="26"/>
      <c r="X212" s="26"/>
    </row>
    <row r="213" spans="1:24" ht="33.75" x14ac:dyDescent="0.2">
      <c r="A213" s="37">
        <v>31</v>
      </c>
      <c r="B213" s="47" t="s">
        <v>8</v>
      </c>
      <c r="C213" s="263" t="s">
        <v>74</v>
      </c>
      <c r="D213" s="264"/>
      <c r="E213" s="264"/>
      <c r="F213" s="264"/>
      <c r="G213" s="264"/>
      <c r="H213" s="264"/>
      <c r="I213" s="264"/>
      <c r="J213" s="265"/>
      <c r="K213" s="48"/>
      <c r="L213" s="88"/>
      <c r="M213" s="88"/>
      <c r="N213" s="88"/>
      <c r="O213" s="88"/>
      <c r="P213" s="64"/>
      <c r="Q213" s="51"/>
      <c r="S213" s="25"/>
      <c r="T213" s="25"/>
      <c r="U213" s="25"/>
      <c r="V213" s="26"/>
      <c r="W213" s="26"/>
      <c r="X213" s="26"/>
    </row>
    <row r="214" spans="1:24" ht="22.5" x14ac:dyDescent="0.2">
      <c r="B214" s="47" t="s">
        <v>9</v>
      </c>
      <c r="C214" s="304" t="s">
        <v>31</v>
      </c>
      <c r="D214" s="292"/>
      <c r="E214" s="292"/>
      <c r="F214" s="292"/>
      <c r="G214" s="292"/>
      <c r="H214" s="292"/>
      <c r="I214" s="292"/>
      <c r="J214" s="293"/>
      <c r="K214" s="48"/>
      <c r="L214" s="88"/>
      <c r="M214" s="88"/>
      <c r="N214" s="88"/>
      <c r="O214" s="88"/>
      <c r="P214" s="64"/>
      <c r="Q214" s="51"/>
      <c r="T214" s="35"/>
      <c r="U214" s="25"/>
      <c r="V214" s="26"/>
      <c r="W214" s="26"/>
      <c r="X214" s="26"/>
    </row>
    <row r="215" spans="1:24" x14ac:dyDescent="0.2">
      <c r="B215" s="47"/>
      <c r="C215" s="67">
        <v>6</v>
      </c>
      <c r="D215" s="68">
        <v>1</v>
      </c>
      <c r="E215" s="68">
        <f>D215/C215</f>
        <v>0.16666666666666666</v>
      </c>
      <c r="F215" s="68">
        <v>2</v>
      </c>
      <c r="G215" s="68"/>
      <c r="H215" s="69"/>
      <c r="I215" s="69">
        <v>3.9420000000000002</v>
      </c>
      <c r="J215" s="125">
        <f>(4.438+2.954)/2</f>
        <v>3.6959999999999997</v>
      </c>
      <c r="K215" s="85">
        <f>I215/(0.2*J215)</f>
        <v>5.3327922077922079</v>
      </c>
      <c r="L215" s="89">
        <f>E215</f>
        <v>0.16666666666666666</v>
      </c>
      <c r="M215" s="90">
        <f>F215</f>
        <v>2</v>
      </c>
      <c r="N215" s="90">
        <f>I215</f>
        <v>3.9420000000000002</v>
      </c>
      <c r="O215" s="97">
        <f>J215</f>
        <v>3.6959999999999997</v>
      </c>
      <c r="P215" s="83">
        <f>3*((D215*SQRT(1+F215))/(C215))*(1+2*N215/O215)</f>
        <v>2.7133588138051405</v>
      </c>
      <c r="Q215" s="73">
        <f>P215</f>
        <v>2.7133588138051405</v>
      </c>
      <c r="R215" s="22">
        <v>1</v>
      </c>
      <c r="S215" s="33" t="s">
        <v>31</v>
      </c>
      <c r="T215" s="27">
        <f>Q215/R215</f>
        <v>2.7133588138051405</v>
      </c>
      <c r="U215" s="27">
        <f>T215</f>
        <v>2.7133588138051405</v>
      </c>
      <c r="V215" s="26"/>
      <c r="W215" s="26"/>
      <c r="X215" s="26"/>
    </row>
    <row r="216" spans="1:24" x14ac:dyDescent="0.2">
      <c r="B216" s="47" t="s">
        <v>10</v>
      </c>
      <c r="C216" s="305" t="s">
        <v>146</v>
      </c>
      <c r="D216" s="289"/>
      <c r="E216" s="289"/>
      <c r="F216" s="289"/>
      <c r="G216" s="289"/>
      <c r="H216" s="289"/>
      <c r="I216" s="289"/>
      <c r="J216" s="290"/>
      <c r="K216" s="48"/>
      <c r="L216" s="88"/>
      <c r="M216" s="88"/>
      <c r="N216" s="88"/>
      <c r="O216" s="88"/>
      <c r="P216" s="64"/>
      <c r="Q216" s="51"/>
      <c r="S216" s="25"/>
      <c r="T216" s="25"/>
      <c r="U216" s="25"/>
      <c r="V216" s="26"/>
      <c r="W216" s="26"/>
      <c r="X216" s="26"/>
    </row>
    <row r="217" spans="1:24" x14ac:dyDescent="0.2">
      <c r="B217" s="47" t="s">
        <v>11</v>
      </c>
      <c r="C217" s="125"/>
      <c r="D217" s="126"/>
      <c r="E217" s="126"/>
      <c r="F217" s="126"/>
      <c r="G217" s="126"/>
      <c r="H217" s="126"/>
      <c r="I217" s="126"/>
      <c r="J217" s="126"/>
      <c r="K217" s="48"/>
      <c r="L217" s="88"/>
      <c r="M217" s="88"/>
      <c r="N217" s="88"/>
      <c r="O217" s="88"/>
      <c r="P217" s="64"/>
      <c r="Q217" s="51"/>
      <c r="S217" s="25"/>
      <c r="T217" s="25"/>
      <c r="U217" s="25"/>
      <c r="V217" s="26"/>
      <c r="W217" s="26"/>
      <c r="X217" s="26"/>
    </row>
    <row r="218" spans="1:24" x14ac:dyDescent="0.2">
      <c r="B218" s="47"/>
      <c r="C218" s="125"/>
      <c r="D218" s="126"/>
      <c r="E218" s="126"/>
      <c r="F218" s="126"/>
      <c r="G218" s="126"/>
      <c r="H218" s="126"/>
      <c r="I218" s="126"/>
      <c r="J218" s="126"/>
      <c r="K218" s="48"/>
      <c r="L218" s="88"/>
      <c r="M218" s="88"/>
      <c r="N218" s="88"/>
      <c r="O218" s="88"/>
      <c r="P218" s="64"/>
      <c r="Q218" s="51"/>
      <c r="S218" s="25"/>
      <c r="T218" s="25"/>
      <c r="U218" s="25"/>
      <c r="V218" s="26"/>
      <c r="W218" s="26"/>
      <c r="X218" s="26"/>
    </row>
    <row r="219" spans="1:24" x14ac:dyDescent="0.2">
      <c r="B219" s="91"/>
      <c r="C219" s="92"/>
      <c r="D219" s="93"/>
      <c r="E219" s="93"/>
      <c r="F219" s="93"/>
      <c r="G219" s="93"/>
      <c r="H219" s="93"/>
      <c r="I219" s="93"/>
      <c r="J219" s="93"/>
      <c r="K219" s="48"/>
      <c r="L219" s="88"/>
      <c r="M219" s="88"/>
      <c r="N219" s="88"/>
      <c r="O219" s="88"/>
      <c r="P219" s="64"/>
      <c r="Q219" s="51"/>
      <c r="S219" s="25"/>
      <c r="T219" s="25"/>
      <c r="U219" s="25"/>
      <c r="V219" s="26"/>
      <c r="W219" s="26"/>
      <c r="X219" s="26"/>
    </row>
    <row r="220" spans="1:24" ht="40.5" customHeight="1" x14ac:dyDescent="0.2">
      <c r="A220" s="37">
        <v>32</v>
      </c>
      <c r="B220" s="47" t="s">
        <v>8</v>
      </c>
      <c r="C220" s="263" t="s">
        <v>147</v>
      </c>
      <c r="D220" s="264"/>
      <c r="E220" s="264"/>
      <c r="F220" s="264"/>
      <c r="G220" s="264"/>
      <c r="H220" s="264"/>
      <c r="I220" s="264"/>
      <c r="J220" s="265"/>
      <c r="K220" s="48"/>
      <c r="L220" s="88"/>
      <c r="M220" s="88"/>
      <c r="N220" s="88"/>
      <c r="O220" s="88"/>
      <c r="P220" s="64"/>
      <c r="Q220" s="51"/>
      <c r="S220" s="28" t="s">
        <v>340</v>
      </c>
      <c r="T220" s="28">
        <f>Q222/R222</f>
        <v>1.409347799990907</v>
      </c>
      <c r="U220" s="25"/>
      <c r="V220" s="26"/>
      <c r="W220" s="26"/>
      <c r="X220" s="26"/>
    </row>
    <row r="221" spans="1:24" ht="22.5" x14ac:dyDescent="0.2">
      <c r="B221" s="47" t="s">
        <v>9</v>
      </c>
      <c r="C221" s="304" t="s">
        <v>148</v>
      </c>
      <c r="D221" s="292"/>
      <c r="E221" s="292"/>
      <c r="F221" s="292"/>
      <c r="G221" s="292"/>
      <c r="H221" s="292"/>
      <c r="I221" s="292"/>
      <c r="J221" s="293"/>
      <c r="K221" s="48"/>
      <c r="L221" s="88"/>
      <c r="M221" s="88"/>
      <c r="N221" s="88"/>
      <c r="O221" s="88"/>
      <c r="P221" s="64"/>
      <c r="Q221" s="51"/>
      <c r="S221" s="27" t="s">
        <v>187</v>
      </c>
      <c r="T221" s="27">
        <f>Q222/R222</f>
        <v>1.409347799990907</v>
      </c>
      <c r="U221" s="27">
        <f>T221</f>
        <v>1.409347799990907</v>
      </c>
      <c r="V221" s="26"/>
      <c r="W221" s="26"/>
      <c r="X221" s="26"/>
    </row>
    <row r="222" spans="1:24" x14ac:dyDescent="0.2">
      <c r="B222" s="47"/>
      <c r="C222" s="67">
        <v>7</v>
      </c>
      <c r="D222" s="68">
        <v>5</v>
      </c>
      <c r="E222" s="68">
        <f>D222/C222</f>
        <v>0.7142857142857143</v>
      </c>
      <c r="F222" s="68">
        <v>1</v>
      </c>
      <c r="G222" s="68"/>
      <c r="H222" s="69"/>
      <c r="I222" s="69">
        <v>1.9810000000000001</v>
      </c>
      <c r="J222" s="163">
        <f>(3.673+2.306)/2</f>
        <v>2.9895</v>
      </c>
      <c r="K222" s="85">
        <f>I222/(0.2*J222)</f>
        <v>3.3132630874728219</v>
      </c>
      <c r="L222" s="89">
        <f>E222</f>
        <v>0.7142857142857143</v>
      </c>
      <c r="M222" s="90">
        <f>F222</f>
        <v>1</v>
      </c>
      <c r="N222" s="90">
        <f>I222</f>
        <v>1.9810000000000001</v>
      </c>
      <c r="O222" s="97">
        <f>J222</f>
        <v>2.9895</v>
      </c>
      <c r="P222" s="83">
        <f>3*((D222*SQRT(1+F222))/(C222))*(1+2*N222/O222)</f>
        <v>7.0467389999545347</v>
      </c>
      <c r="Q222" s="73">
        <f>P222</f>
        <v>7.0467389999545347</v>
      </c>
      <c r="R222" s="22">
        <v>5</v>
      </c>
      <c r="S222" s="28" t="s">
        <v>360</v>
      </c>
      <c r="T222" s="28">
        <f>Q222/R222</f>
        <v>1.409347799990907</v>
      </c>
      <c r="U222" s="25"/>
      <c r="V222" s="26"/>
      <c r="W222" s="26"/>
      <c r="X222" s="26"/>
    </row>
    <row r="223" spans="1:24" x14ac:dyDescent="0.2">
      <c r="B223" s="47" t="s">
        <v>10</v>
      </c>
      <c r="C223" s="305" t="s">
        <v>142</v>
      </c>
      <c r="D223" s="289"/>
      <c r="E223" s="289"/>
      <c r="F223" s="289"/>
      <c r="G223" s="289"/>
      <c r="H223" s="289"/>
      <c r="I223" s="289"/>
      <c r="J223" s="290"/>
      <c r="K223" s="48"/>
      <c r="L223" s="88"/>
      <c r="M223" s="88"/>
      <c r="N223" s="88"/>
      <c r="O223" s="88"/>
      <c r="P223" s="64"/>
      <c r="Q223" s="51"/>
      <c r="S223" s="27" t="s">
        <v>212</v>
      </c>
      <c r="T223" s="27">
        <f>Q222/R222</f>
        <v>1.409347799990907</v>
      </c>
      <c r="U223" s="27">
        <f>T223</f>
        <v>1.409347799990907</v>
      </c>
      <c r="V223" s="26"/>
      <c r="W223" s="26"/>
      <c r="X223" s="26"/>
    </row>
    <row r="224" spans="1:24" x14ac:dyDescent="0.2">
      <c r="B224" s="47" t="s">
        <v>11</v>
      </c>
      <c r="C224" s="125"/>
      <c r="D224" s="126"/>
      <c r="E224" s="126"/>
      <c r="F224" s="126"/>
      <c r="G224" s="126"/>
      <c r="H224" s="126"/>
      <c r="I224" s="126"/>
      <c r="J224" s="126"/>
      <c r="K224" s="48"/>
      <c r="L224" s="88"/>
      <c r="M224" s="88"/>
      <c r="N224" s="88"/>
      <c r="O224" s="88"/>
      <c r="P224" s="64"/>
      <c r="Q224" s="51"/>
      <c r="S224" s="27" t="s">
        <v>22</v>
      </c>
      <c r="T224" s="27">
        <f>Q222/R222</f>
        <v>1.409347799990907</v>
      </c>
      <c r="U224" s="27">
        <f>T224+T220</f>
        <v>2.818695599981814</v>
      </c>
      <c r="V224" s="26"/>
      <c r="W224" s="26"/>
      <c r="X224" s="26"/>
    </row>
    <row r="225" spans="1:24" x14ac:dyDescent="0.2">
      <c r="B225" s="47"/>
      <c r="C225" s="125"/>
      <c r="D225" s="126"/>
      <c r="E225" s="126"/>
      <c r="F225" s="126"/>
      <c r="G225" s="126"/>
      <c r="H225" s="126"/>
      <c r="I225" s="126"/>
      <c r="J225" s="126"/>
      <c r="K225" s="48"/>
      <c r="L225" s="88"/>
      <c r="M225" s="88"/>
      <c r="N225" s="88"/>
      <c r="O225" s="88"/>
      <c r="P225" s="64"/>
      <c r="Q225" s="51"/>
      <c r="S225" s="27" t="s">
        <v>20</v>
      </c>
      <c r="T225" s="27"/>
      <c r="U225" s="27">
        <f>T222</f>
        <v>1.409347799990907</v>
      </c>
      <c r="V225" s="26"/>
      <c r="W225" s="26"/>
      <c r="X225" s="26"/>
    </row>
    <row r="226" spans="1:24" x14ac:dyDescent="0.2">
      <c r="B226" s="91"/>
      <c r="C226" s="92"/>
      <c r="D226" s="93"/>
      <c r="E226" s="93"/>
      <c r="F226" s="93"/>
      <c r="G226" s="93"/>
      <c r="H226" s="93"/>
      <c r="I226" s="93"/>
      <c r="J226" s="93"/>
      <c r="K226" s="48"/>
      <c r="L226" s="88"/>
      <c r="M226" s="88"/>
      <c r="N226" s="88"/>
      <c r="O226" s="88"/>
      <c r="P226" s="64"/>
      <c r="Q226" s="51"/>
      <c r="S226" s="25"/>
      <c r="T226" s="25"/>
      <c r="U226" s="25"/>
      <c r="V226" s="26"/>
      <c r="W226" s="26"/>
      <c r="X226" s="26"/>
    </row>
    <row r="227" spans="1:24" ht="46.9" customHeight="1" x14ac:dyDescent="0.2">
      <c r="A227" s="37">
        <v>33</v>
      </c>
      <c r="B227" s="47" t="s">
        <v>8</v>
      </c>
      <c r="C227" s="263" t="s">
        <v>75</v>
      </c>
      <c r="D227" s="264"/>
      <c r="E227" s="264"/>
      <c r="F227" s="264"/>
      <c r="G227" s="264"/>
      <c r="H227" s="264"/>
      <c r="I227" s="264"/>
      <c r="J227" s="265"/>
      <c r="K227" s="48"/>
      <c r="L227" s="88"/>
      <c r="M227" s="88"/>
      <c r="N227" s="88"/>
      <c r="O227" s="88"/>
      <c r="P227" s="64"/>
      <c r="Q227" s="51"/>
      <c r="S227" s="27" t="s">
        <v>213</v>
      </c>
      <c r="T227" s="27">
        <f>Q229/R229</f>
        <v>1.1562810133194046</v>
      </c>
      <c r="U227" s="27">
        <f>T227+T228+T230</f>
        <v>3.4688430399582137</v>
      </c>
      <c r="V227" s="26"/>
      <c r="W227" s="26"/>
      <c r="X227" s="26"/>
    </row>
    <row r="228" spans="1:24" ht="22.5" x14ac:dyDescent="0.2">
      <c r="B228" s="47" t="s">
        <v>9</v>
      </c>
      <c r="C228" s="304" t="s">
        <v>149</v>
      </c>
      <c r="D228" s="292"/>
      <c r="E228" s="292"/>
      <c r="F228" s="292"/>
      <c r="G228" s="292"/>
      <c r="H228" s="292"/>
      <c r="I228" s="292"/>
      <c r="J228" s="293"/>
      <c r="K228" s="48"/>
      <c r="L228" s="88"/>
      <c r="M228" s="88"/>
      <c r="N228" s="88"/>
      <c r="O228" s="88"/>
      <c r="P228" s="64"/>
      <c r="Q228" s="51"/>
      <c r="S228" s="28" t="s">
        <v>321</v>
      </c>
      <c r="T228" s="28">
        <f>Q229/R229</f>
        <v>1.1562810133194046</v>
      </c>
      <c r="U228" s="25"/>
      <c r="V228" s="26"/>
      <c r="W228" s="26"/>
      <c r="X228" s="26"/>
    </row>
    <row r="229" spans="1:24" x14ac:dyDescent="0.2">
      <c r="B229" s="47"/>
      <c r="C229" s="67">
        <v>7</v>
      </c>
      <c r="D229" s="68">
        <v>7</v>
      </c>
      <c r="E229" s="68">
        <f>D229/C229</f>
        <v>1</v>
      </c>
      <c r="F229" s="68">
        <v>0</v>
      </c>
      <c r="G229" s="68"/>
      <c r="H229" s="69"/>
      <c r="I229" s="69">
        <v>2.3220000000000001</v>
      </c>
      <c r="J229" s="125">
        <f>(2.312+3.158)/2</f>
        <v>2.7349999999999999</v>
      </c>
      <c r="K229" s="85">
        <f>I229/(0.2*J229)</f>
        <v>4.2449725776965259</v>
      </c>
      <c r="L229" s="89">
        <f>E229</f>
        <v>1</v>
      </c>
      <c r="M229" s="90">
        <f>F229</f>
        <v>0</v>
      </c>
      <c r="N229" s="90">
        <f>I229</f>
        <v>2.3220000000000001</v>
      </c>
      <c r="O229" s="90">
        <f>J229</f>
        <v>2.7349999999999999</v>
      </c>
      <c r="P229" s="83">
        <f>3*((D229*SQRT(1+F229))/(C229))*(1+2*N229/O229)</f>
        <v>8.0939670932358325</v>
      </c>
      <c r="Q229" s="56">
        <f>P229</f>
        <v>8.0939670932358325</v>
      </c>
      <c r="R229" s="22">
        <v>7</v>
      </c>
      <c r="S229" s="27" t="s">
        <v>26</v>
      </c>
      <c r="T229" s="27">
        <f>Q229/R229</f>
        <v>1.1562810133194046</v>
      </c>
      <c r="U229" s="27">
        <f>T229</f>
        <v>1.1562810133194046</v>
      </c>
      <c r="V229" s="26"/>
      <c r="W229" s="26"/>
      <c r="X229" s="26"/>
    </row>
    <row r="230" spans="1:24" x14ac:dyDescent="0.2">
      <c r="B230" s="47" t="s">
        <v>10</v>
      </c>
      <c r="C230" s="305" t="s">
        <v>150</v>
      </c>
      <c r="D230" s="289"/>
      <c r="E230" s="289"/>
      <c r="F230" s="289"/>
      <c r="G230" s="289"/>
      <c r="H230" s="289"/>
      <c r="I230" s="289"/>
      <c r="J230" s="290"/>
      <c r="K230" s="48"/>
      <c r="L230" s="88"/>
      <c r="M230" s="88"/>
      <c r="N230" s="88"/>
      <c r="O230" s="88"/>
      <c r="P230" s="64"/>
      <c r="Q230" s="51"/>
      <c r="S230" s="28" t="s">
        <v>320</v>
      </c>
      <c r="T230" s="28">
        <f>Q229/R229</f>
        <v>1.1562810133194046</v>
      </c>
      <c r="U230" s="25"/>
      <c r="V230" s="26"/>
      <c r="W230" s="26"/>
      <c r="X230" s="26"/>
    </row>
    <row r="231" spans="1:24" x14ac:dyDescent="0.2">
      <c r="B231" s="47" t="s">
        <v>11</v>
      </c>
      <c r="C231" s="125"/>
      <c r="D231" s="126"/>
      <c r="E231" s="126"/>
      <c r="F231" s="126"/>
      <c r="G231" s="126"/>
      <c r="H231" s="126"/>
      <c r="I231" s="126"/>
      <c r="J231" s="126"/>
      <c r="K231" s="48"/>
      <c r="L231" s="88"/>
      <c r="M231" s="88"/>
      <c r="N231" s="88"/>
      <c r="O231" s="88"/>
      <c r="P231" s="64"/>
      <c r="Q231" s="51"/>
      <c r="S231" s="27" t="s">
        <v>214</v>
      </c>
      <c r="T231" s="27">
        <f>Q229/R229</f>
        <v>1.1562810133194046</v>
      </c>
      <c r="U231" s="27">
        <f>T231</f>
        <v>1.1562810133194046</v>
      </c>
      <c r="V231" s="26"/>
      <c r="W231" s="26"/>
      <c r="X231" s="26"/>
    </row>
    <row r="232" spans="1:24" x14ac:dyDescent="0.2">
      <c r="B232" s="47"/>
      <c r="C232" s="125"/>
      <c r="D232" s="126"/>
      <c r="E232" s="126"/>
      <c r="F232" s="126"/>
      <c r="G232" s="126"/>
      <c r="H232" s="126"/>
      <c r="I232" s="126"/>
      <c r="J232" s="126"/>
      <c r="K232" s="48"/>
      <c r="L232" s="88"/>
      <c r="M232" s="88"/>
      <c r="N232" s="88"/>
      <c r="O232" s="88"/>
      <c r="P232" s="64"/>
      <c r="Q232" s="51"/>
      <c r="S232" s="28" t="s">
        <v>358</v>
      </c>
      <c r="T232" s="28">
        <f>Q229/R229</f>
        <v>1.1562810133194046</v>
      </c>
      <c r="U232" s="25"/>
      <c r="V232" s="26"/>
      <c r="W232" s="26"/>
      <c r="X232" s="26"/>
    </row>
    <row r="233" spans="1:24" x14ac:dyDescent="0.2">
      <c r="B233" s="91"/>
      <c r="C233" s="92"/>
      <c r="D233" s="93"/>
      <c r="E233" s="93"/>
      <c r="F233" s="93"/>
      <c r="G233" s="93"/>
      <c r="H233" s="93"/>
      <c r="I233" s="93"/>
      <c r="J233" s="93"/>
      <c r="K233" s="48"/>
      <c r="L233" s="88"/>
      <c r="M233" s="88"/>
      <c r="N233" s="88"/>
      <c r="O233" s="88"/>
      <c r="P233" s="64"/>
      <c r="Q233" s="51"/>
      <c r="S233" s="27" t="s">
        <v>215</v>
      </c>
      <c r="T233" s="27">
        <f>Q229/R229</f>
        <v>1.1562810133194046</v>
      </c>
      <c r="U233" s="27">
        <f>T233+T232</f>
        <v>2.3125620266388092</v>
      </c>
      <c r="V233" s="26"/>
      <c r="W233" s="26"/>
      <c r="X233" s="26"/>
    </row>
    <row r="234" spans="1:24" ht="42.75" customHeight="1" x14ac:dyDescent="0.2">
      <c r="A234" s="37">
        <v>34</v>
      </c>
      <c r="B234" s="47" t="s">
        <v>8</v>
      </c>
      <c r="C234" s="263" t="s">
        <v>76</v>
      </c>
      <c r="D234" s="264"/>
      <c r="E234" s="264"/>
      <c r="F234" s="264"/>
      <c r="G234" s="264"/>
      <c r="H234" s="264"/>
      <c r="I234" s="264"/>
      <c r="J234" s="265"/>
      <c r="K234" s="48"/>
      <c r="L234" s="88"/>
      <c r="M234" s="88"/>
      <c r="N234" s="88"/>
      <c r="O234" s="88"/>
      <c r="P234" s="64"/>
      <c r="Q234" s="51"/>
      <c r="S234" s="25"/>
      <c r="T234" s="25"/>
      <c r="U234" s="25"/>
      <c r="V234" s="26"/>
      <c r="W234" s="26"/>
      <c r="X234" s="26"/>
    </row>
    <row r="235" spans="1:24" ht="22.5" x14ac:dyDescent="0.2">
      <c r="B235" s="47" t="s">
        <v>9</v>
      </c>
      <c r="C235" s="304" t="s">
        <v>151</v>
      </c>
      <c r="D235" s="292"/>
      <c r="E235" s="292"/>
      <c r="F235" s="292"/>
      <c r="G235" s="292"/>
      <c r="H235" s="292"/>
      <c r="I235" s="292"/>
      <c r="J235" s="293"/>
      <c r="K235" s="48"/>
      <c r="L235" s="88"/>
      <c r="M235" s="88"/>
      <c r="N235" s="88"/>
      <c r="O235" s="88"/>
      <c r="P235" s="64"/>
      <c r="Q235" s="51"/>
      <c r="S235" s="28" t="s">
        <v>339</v>
      </c>
      <c r="T235" s="28">
        <f>Q236/R236</f>
        <v>1.7143133468719107</v>
      </c>
      <c r="U235" s="25"/>
      <c r="V235" s="26"/>
      <c r="W235" s="26"/>
      <c r="X235" s="26"/>
    </row>
    <row r="236" spans="1:24" x14ac:dyDescent="0.2">
      <c r="B236" s="47"/>
      <c r="C236" s="67">
        <v>7</v>
      </c>
      <c r="D236" s="68">
        <v>5</v>
      </c>
      <c r="E236" s="68">
        <f>D236/C236</f>
        <v>0.7142857142857143</v>
      </c>
      <c r="F236" s="68">
        <v>1</v>
      </c>
      <c r="G236" s="68"/>
      <c r="H236" s="69"/>
      <c r="I236" s="68">
        <v>2.9990000000000001</v>
      </c>
      <c r="J236" s="125">
        <f>(4.438+3.673+1.73)/3</f>
        <v>3.2803333333333335</v>
      </c>
      <c r="K236" s="85">
        <f>I236/(0.2*J236)</f>
        <v>4.5711817904684473</v>
      </c>
      <c r="L236" s="89">
        <f>E236</f>
        <v>0.7142857142857143</v>
      </c>
      <c r="M236" s="90">
        <f>F236</f>
        <v>1</v>
      </c>
      <c r="N236" s="90">
        <f>I236</f>
        <v>2.9990000000000001</v>
      </c>
      <c r="O236" s="90">
        <f>J236</f>
        <v>3.2803333333333335</v>
      </c>
      <c r="P236" s="83">
        <f>3*((D236*SQRT(1+F236))/(C236))*(1+2*N236/O236)</f>
        <v>8.5715667343595534</v>
      </c>
      <c r="Q236" s="56">
        <f>P236</f>
        <v>8.5715667343595534</v>
      </c>
      <c r="R236" s="22">
        <v>5</v>
      </c>
      <c r="S236" s="28" t="s">
        <v>338</v>
      </c>
      <c r="T236" s="28">
        <f>Q236/R236</f>
        <v>1.7143133468719107</v>
      </c>
      <c r="U236" s="25"/>
      <c r="V236" s="26"/>
      <c r="W236" s="26"/>
      <c r="X236" s="26"/>
    </row>
    <row r="237" spans="1:24" x14ac:dyDescent="0.2">
      <c r="B237" s="47" t="s">
        <v>10</v>
      </c>
      <c r="C237" s="305" t="s">
        <v>152</v>
      </c>
      <c r="D237" s="289"/>
      <c r="E237" s="289"/>
      <c r="F237" s="289"/>
      <c r="G237" s="289"/>
      <c r="H237" s="289"/>
      <c r="I237" s="289"/>
      <c r="J237" s="290"/>
      <c r="K237" s="48"/>
      <c r="L237" s="88"/>
      <c r="M237" s="88"/>
      <c r="N237" s="88"/>
      <c r="O237" s="88"/>
      <c r="P237" s="64"/>
      <c r="Q237" s="51"/>
      <c r="S237" s="27" t="s">
        <v>187</v>
      </c>
      <c r="T237" s="27">
        <f>Q236/R236</f>
        <v>1.7143133468719107</v>
      </c>
      <c r="U237" s="27">
        <f>T237</f>
        <v>1.7143133468719107</v>
      </c>
      <c r="V237" s="26"/>
      <c r="W237" s="26"/>
      <c r="X237" s="26"/>
    </row>
    <row r="238" spans="1:24" x14ac:dyDescent="0.2">
      <c r="B238" s="47" t="s">
        <v>11</v>
      </c>
      <c r="C238" s="308"/>
      <c r="D238" s="274"/>
      <c r="E238" s="274"/>
      <c r="F238" s="274"/>
      <c r="G238" s="274"/>
      <c r="H238" s="274"/>
      <c r="I238" s="274"/>
      <c r="J238" s="275"/>
      <c r="K238" s="48"/>
      <c r="L238" s="88"/>
      <c r="M238" s="88"/>
      <c r="N238" s="88"/>
      <c r="O238" s="88"/>
      <c r="P238" s="64"/>
      <c r="Q238" s="51"/>
      <c r="S238" s="27" t="s">
        <v>29</v>
      </c>
      <c r="T238" s="27">
        <f>Q236/R236</f>
        <v>1.7143133468719107</v>
      </c>
      <c r="U238" s="27">
        <f>T238</f>
        <v>1.7143133468719107</v>
      </c>
      <c r="V238" s="26"/>
      <c r="W238" s="26"/>
      <c r="X238" s="26"/>
    </row>
    <row r="239" spans="1:24" x14ac:dyDescent="0.2">
      <c r="B239" s="98"/>
      <c r="C239" s="130"/>
      <c r="D239" s="131"/>
      <c r="E239" s="131"/>
      <c r="F239" s="131"/>
      <c r="G239" s="131"/>
      <c r="H239" s="131"/>
      <c r="I239" s="131"/>
      <c r="J239" s="131"/>
      <c r="K239" s="48"/>
      <c r="L239" s="88"/>
      <c r="M239" s="88"/>
      <c r="N239" s="88"/>
      <c r="O239" s="88"/>
      <c r="P239" s="64"/>
      <c r="Q239" s="51"/>
      <c r="S239" s="27" t="s">
        <v>20</v>
      </c>
      <c r="T239" s="27">
        <f>Q236/R236</f>
        <v>1.7143133468719107</v>
      </c>
      <c r="U239" s="27">
        <f>T239+T236+T235</f>
        <v>5.1429400406157324</v>
      </c>
      <c r="V239" s="26"/>
      <c r="W239" s="26"/>
      <c r="X239" s="26"/>
    </row>
    <row r="240" spans="1:24" x14ac:dyDescent="0.2">
      <c r="B240" s="91"/>
      <c r="C240" s="99"/>
      <c r="D240" s="99"/>
      <c r="E240" s="99"/>
      <c r="F240" s="99"/>
      <c r="G240" s="99"/>
      <c r="H240" s="99"/>
      <c r="I240" s="99"/>
      <c r="J240" s="99"/>
      <c r="K240" s="48"/>
      <c r="L240" s="88"/>
      <c r="M240" s="88"/>
      <c r="N240" s="88"/>
      <c r="O240" s="88"/>
      <c r="P240" s="64"/>
      <c r="Q240" s="51"/>
      <c r="S240" s="25"/>
      <c r="T240" s="25"/>
      <c r="U240" s="25"/>
      <c r="V240" s="26"/>
      <c r="W240" s="26"/>
      <c r="X240" s="26"/>
    </row>
    <row r="241" spans="1:24" ht="44.25" customHeight="1" x14ac:dyDescent="0.2">
      <c r="A241" s="37">
        <v>35</v>
      </c>
      <c r="B241" s="98" t="s">
        <v>8</v>
      </c>
      <c r="C241" s="266" t="s">
        <v>77</v>
      </c>
      <c r="D241" s="306"/>
      <c r="E241" s="306"/>
      <c r="F241" s="306"/>
      <c r="G241" s="306"/>
      <c r="H241" s="306"/>
      <c r="I241" s="306"/>
      <c r="J241" s="307"/>
      <c r="K241" s="48"/>
      <c r="L241" s="88"/>
      <c r="M241" s="88"/>
      <c r="N241" s="88"/>
      <c r="O241" s="88"/>
      <c r="P241" s="64"/>
      <c r="Q241" s="51"/>
      <c r="S241" s="25"/>
      <c r="T241" s="25"/>
      <c r="U241" s="25"/>
      <c r="V241" s="26"/>
      <c r="W241" s="26"/>
      <c r="X241" s="26"/>
    </row>
    <row r="242" spans="1:24" ht="22.5" x14ac:dyDescent="0.2">
      <c r="B242" s="47" t="s">
        <v>9</v>
      </c>
      <c r="C242" s="298" t="s">
        <v>21</v>
      </c>
      <c r="D242" s="295"/>
      <c r="E242" s="295"/>
      <c r="F242" s="295"/>
      <c r="G242" s="295"/>
      <c r="H242" s="295"/>
      <c r="I242" s="295"/>
      <c r="J242" s="296"/>
      <c r="K242" s="48"/>
      <c r="L242" s="88"/>
      <c r="M242" s="88"/>
      <c r="N242" s="88"/>
      <c r="O242" s="88"/>
      <c r="P242" s="64"/>
      <c r="Q242" s="51"/>
      <c r="T242" s="25"/>
      <c r="U242" s="25"/>
      <c r="V242" s="26"/>
      <c r="W242" s="26"/>
      <c r="X242" s="26"/>
    </row>
    <row r="243" spans="1:24" x14ac:dyDescent="0.2">
      <c r="B243" s="47"/>
      <c r="C243" s="67">
        <v>5</v>
      </c>
      <c r="D243" s="68">
        <v>1</v>
      </c>
      <c r="E243" s="68">
        <f>D243/C243</f>
        <v>0.2</v>
      </c>
      <c r="F243" s="68">
        <v>2</v>
      </c>
      <c r="G243" s="68"/>
      <c r="H243" s="69"/>
      <c r="I243" s="55">
        <v>2.0369999999999999</v>
      </c>
      <c r="J243" s="123">
        <f>(5.602+2.806)/2</f>
        <v>4.2040000000000006</v>
      </c>
      <c r="K243" s="85">
        <f>I243/(0.2*J243)</f>
        <v>2.4226926736441476</v>
      </c>
      <c r="L243" s="89">
        <f>E243</f>
        <v>0.2</v>
      </c>
      <c r="M243" s="90">
        <f>F243</f>
        <v>2</v>
      </c>
      <c r="N243" s="90">
        <f>I243</f>
        <v>2.0369999999999999</v>
      </c>
      <c r="O243" s="90">
        <f>J243</f>
        <v>4.2040000000000006</v>
      </c>
      <c r="P243" s="83">
        <f>3*((D243*SQRT(1+F243))/(C243))*(1+2*N243/O243)</f>
        <v>2.0463249169916984</v>
      </c>
      <c r="Q243" s="56">
        <f>P243</f>
        <v>2.0463249169916984</v>
      </c>
      <c r="R243" s="22">
        <v>1</v>
      </c>
      <c r="S243" s="27" t="s">
        <v>21</v>
      </c>
      <c r="T243" s="27">
        <f>Q243/R243</f>
        <v>2.0463249169916984</v>
      </c>
      <c r="U243" s="27">
        <f>T243</f>
        <v>2.0463249169916984</v>
      </c>
      <c r="V243" s="26"/>
      <c r="W243" s="26"/>
      <c r="X243" s="26"/>
    </row>
    <row r="244" spans="1:24" x14ac:dyDescent="0.2">
      <c r="B244" s="47" t="s">
        <v>10</v>
      </c>
      <c r="C244" s="299" t="s">
        <v>153</v>
      </c>
      <c r="D244" s="300"/>
      <c r="E244" s="300"/>
      <c r="F244" s="300"/>
      <c r="G244" s="300"/>
      <c r="H244" s="300"/>
      <c r="I244" s="300"/>
      <c r="J244" s="301"/>
      <c r="K244" s="48"/>
      <c r="L244" s="88"/>
      <c r="M244" s="88"/>
      <c r="N244" s="88"/>
      <c r="O244" s="88"/>
      <c r="P244" s="64"/>
      <c r="Q244" s="51"/>
      <c r="S244" s="25"/>
      <c r="T244" s="25"/>
      <c r="U244" s="25"/>
      <c r="V244" s="26"/>
      <c r="W244" s="26"/>
      <c r="X244" s="26"/>
    </row>
    <row r="245" spans="1:24" x14ac:dyDescent="0.2">
      <c r="B245" s="47" t="s">
        <v>11</v>
      </c>
      <c r="C245" s="130"/>
      <c r="D245" s="131"/>
      <c r="E245" s="131"/>
      <c r="F245" s="131"/>
      <c r="G245" s="131"/>
      <c r="H245" s="131"/>
      <c r="I245" s="131"/>
      <c r="J245" s="131"/>
      <c r="K245" s="48"/>
      <c r="L245" s="88"/>
      <c r="M245" s="88"/>
      <c r="N245" s="88"/>
      <c r="O245" s="88"/>
      <c r="P245" s="64"/>
      <c r="Q245" s="51"/>
      <c r="S245" s="25"/>
      <c r="T245" s="25"/>
      <c r="U245" s="25"/>
      <c r="V245" s="26"/>
      <c r="W245" s="26"/>
      <c r="X245" s="26"/>
    </row>
    <row r="246" spans="1:24" x14ac:dyDescent="0.2">
      <c r="B246" s="98"/>
      <c r="C246" s="143"/>
      <c r="D246" s="142"/>
      <c r="E246" s="142"/>
      <c r="F246" s="142"/>
      <c r="G246" s="142"/>
      <c r="H246" s="142"/>
      <c r="I246" s="142"/>
      <c r="J246" s="142"/>
      <c r="K246" s="48"/>
      <c r="L246" s="88"/>
      <c r="M246" s="88"/>
      <c r="N246" s="88"/>
      <c r="O246" s="88"/>
      <c r="P246" s="64"/>
      <c r="Q246" s="51"/>
      <c r="S246" s="25"/>
      <c r="T246" s="25"/>
      <c r="U246" s="25"/>
      <c r="V246" s="26"/>
      <c r="W246" s="26"/>
      <c r="X246" s="26"/>
    </row>
    <row r="247" spans="1:24" x14ac:dyDescent="0.2">
      <c r="B247" s="92"/>
      <c r="C247" s="99"/>
      <c r="D247" s="99"/>
      <c r="E247" s="99"/>
      <c r="F247" s="99"/>
      <c r="G247" s="99"/>
      <c r="H247" s="99"/>
      <c r="I247" s="99"/>
      <c r="J247" s="99"/>
      <c r="K247" s="48"/>
      <c r="L247" s="88"/>
      <c r="M247" s="88"/>
      <c r="N247" s="88"/>
      <c r="O247" s="88"/>
      <c r="P247" s="64"/>
      <c r="Q247" s="51"/>
      <c r="S247" s="25"/>
      <c r="T247" s="25"/>
      <c r="U247" s="25"/>
      <c r="V247" s="26"/>
      <c r="W247" s="26"/>
      <c r="X247" s="26"/>
    </row>
    <row r="248" spans="1:24" ht="33.75" x14ac:dyDescent="0.2">
      <c r="A248" s="37">
        <v>36</v>
      </c>
      <c r="B248" s="98" t="s">
        <v>8</v>
      </c>
      <c r="C248" s="266" t="s">
        <v>78</v>
      </c>
      <c r="D248" s="267"/>
      <c r="E248" s="267"/>
      <c r="F248" s="267"/>
      <c r="G248" s="267"/>
      <c r="H248" s="267"/>
      <c r="I248" s="267"/>
      <c r="J248" s="268"/>
      <c r="K248" s="48"/>
      <c r="L248" s="88"/>
      <c r="M248" s="88"/>
      <c r="N248" s="88"/>
      <c r="O248" s="88"/>
      <c r="P248" s="64"/>
      <c r="Q248" s="51"/>
      <c r="S248" s="25"/>
      <c r="T248" s="25"/>
      <c r="U248" s="25"/>
      <c r="V248" s="26"/>
      <c r="W248" s="26"/>
      <c r="X248" s="26"/>
    </row>
    <row r="249" spans="1:24" ht="22.5" x14ac:dyDescent="0.2">
      <c r="B249" s="47" t="s">
        <v>9</v>
      </c>
      <c r="C249" s="298" t="s">
        <v>154</v>
      </c>
      <c r="D249" s="295"/>
      <c r="E249" s="295"/>
      <c r="F249" s="295"/>
      <c r="G249" s="295"/>
      <c r="H249" s="295"/>
      <c r="I249" s="295"/>
      <c r="J249" s="296"/>
      <c r="K249" s="48"/>
      <c r="L249" s="88"/>
      <c r="M249" s="88"/>
      <c r="N249" s="88"/>
      <c r="O249" s="88"/>
      <c r="P249" s="64"/>
      <c r="Q249" s="51"/>
      <c r="S249" s="27" t="s">
        <v>216</v>
      </c>
      <c r="T249" s="27">
        <f>Q250/R250</f>
        <v>1.5821733821733825</v>
      </c>
      <c r="U249" s="27">
        <f>T249</f>
        <v>1.5821733821733825</v>
      </c>
      <c r="V249" s="26"/>
      <c r="W249" s="26"/>
      <c r="X249" s="26"/>
    </row>
    <row r="250" spans="1:24" x14ac:dyDescent="0.2">
      <c r="B250" s="47"/>
      <c r="C250" s="67">
        <v>5</v>
      </c>
      <c r="D250" s="68">
        <v>2</v>
      </c>
      <c r="E250" s="68">
        <f>D250/C250</f>
        <v>0.4</v>
      </c>
      <c r="F250" s="68">
        <v>0</v>
      </c>
      <c r="G250" s="68"/>
      <c r="H250" s="69"/>
      <c r="I250" s="55">
        <v>2.0110000000000001</v>
      </c>
      <c r="J250" s="123">
        <f>(2.634+2.28)/2</f>
        <v>2.4569999999999999</v>
      </c>
      <c r="K250" s="85">
        <f>I250/(0.2*J250)</f>
        <v>4.0923890923890927</v>
      </c>
      <c r="L250" s="89">
        <f>E250</f>
        <v>0.4</v>
      </c>
      <c r="M250" s="90">
        <f>F250</f>
        <v>0</v>
      </c>
      <c r="N250" s="90">
        <f>I250</f>
        <v>2.0110000000000001</v>
      </c>
      <c r="O250" s="90">
        <f>J250</f>
        <v>2.4569999999999999</v>
      </c>
      <c r="P250" s="83">
        <f>3*((D250*SQRT(1+F250))/(C250))*(1+2*N250/O250)</f>
        <v>3.1643467643467651</v>
      </c>
      <c r="Q250" s="56">
        <f>P250</f>
        <v>3.1643467643467651</v>
      </c>
      <c r="R250" s="22">
        <v>2</v>
      </c>
      <c r="S250" s="27" t="s">
        <v>20</v>
      </c>
      <c r="T250" s="27">
        <f>Q250/R250</f>
        <v>1.5821733821733825</v>
      </c>
      <c r="U250" s="27">
        <f>T250</f>
        <v>1.5821733821733825</v>
      </c>
      <c r="V250" s="26"/>
      <c r="W250" s="26"/>
      <c r="X250" s="26"/>
    </row>
    <row r="251" spans="1:24" x14ac:dyDescent="0.2">
      <c r="B251" s="47" t="s">
        <v>10</v>
      </c>
      <c r="C251" s="299" t="s">
        <v>155</v>
      </c>
      <c r="D251" s="300"/>
      <c r="E251" s="300"/>
      <c r="F251" s="300"/>
      <c r="G251" s="300"/>
      <c r="H251" s="300"/>
      <c r="I251" s="300"/>
      <c r="J251" s="301"/>
      <c r="K251" s="48"/>
      <c r="L251" s="88"/>
      <c r="M251" s="88"/>
      <c r="N251" s="88"/>
      <c r="O251" s="88"/>
      <c r="P251" s="64"/>
      <c r="Q251" s="51"/>
      <c r="S251" s="25"/>
      <c r="T251" s="25"/>
      <c r="U251" s="25"/>
      <c r="V251" s="26"/>
      <c r="W251" s="26"/>
      <c r="X251" s="26"/>
    </row>
    <row r="252" spans="1:24" x14ac:dyDescent="0.2">
      <c r="B252" s="47" t="s">
        <v>11</v>
      </c>
      <c r="C252" s="130"/>
      <c r="D252" s="131"/>
      <c r="E252" s="131"/>
      <c r="F252" s="131"/>
      <c r="G252" s="131"/>
      <c r="H252" s="131"/>
      <c r="I252" s="131"/>
      <c r="J252" s="131"/>
      <c r="K252" s="48"/>
      <c r="L252" s="88"/>
      <c r="M252" s="88"/>
      <c r="N252" s="88"/>
      <c r="O252" s="88"/>
      <c r="P252" s="64"/>
      <c r="Q252" s="51"/>
      <c r="S252" s="25"/>
      <c r="T252" s="25"/>
      <c r="U252" s="25"/>
      <c r="V252" s="26"/>
      <c r="W252" s="26"/>
      <c r="X252" s="26"/>
    </row>
    <row r="253" spans="1:24" x14ac:dyDescent="0.2">
      <c r="B253" s="98"/>
      <c r="C253" s="139"/>
      <c r="D253" s="140"/>
      <c r="E253" s="140"/>
      <c r="F253" s="140"/>
      <c r="G253" s="140"/>
      <c r="H253" s="140"/>
      <c r="I253" s="140"/>
      <c r="J253" s="140"/>
      <c r="K253" s="48"/>
      <c r="L253" s="88"/>
      <c r="M253" s="88"/>
      <c r="N253" s="88"/>
      <c r="O253" s="88"/>
      <c r="P253" s="64"/>
      <c r="Q253" s="51"/>
      <c r="S253" s="25"/>
      <c r="T253" s="25"/>
      <c r="U253" s="25"/>
      <c r="V253" s="26"/>
      <c r="W253" s="26"/>
      <c r="X253" s="26"/>
    </row>
    <row r="254" spans="1:24" x14ac:dyDescent="0.2">
      <c r="B254" s="92"/>
      <c r="C254" s="100"/>
      <c r="D254" s="101"/>
      <c r="E254" s="101"/>
      <c r="F254" s="101"/>
      <c r="G254" s="101"/>
      <c r="H254" s="101"/>
      <c r="I254" s="101"/>
      <c r="J254" s="101"/>
      <c r="K254" s="48"/>
      <c r="L254" s="88"/>
      <c r="M254" s="88"/>
      <c r="N254" s="88"/>
      <c r="O254" s="88"/>
      <c r="P254" s="64"/>
      <c r="Q254" s="51"/>
      <c r="S254" s="25"/>
      <c r="T254" s="25"/>
      <c r="U254" s="25"/>
      <c r="V254" s="26"/>
      <c r="W254" s="26"/>
      <c r="X254" s="26"/>
    </row>
    <row r="255" spans="1:24" ht="33.75" x14ac:dyDescent="0.2">
      <c r="A255" s="37">
        <v>37</v>
      </c>
      <c r="B255" s="98" t="s">
        <v>8</v>
      </c>
      <c r="C255" s="266" t="s">
        <v>79</v>
      </c>
      <c r="D255" s="267"/>
      <c r="E255" s="267"/>
      <c r="F255" s="267"/>
      <c r="G255" s="267"/>
      <c r="H255" s="267"/>
      <c r="I255" s="267"/>
      <c r="J255" s="268"/>
      <c r="K255" s="48"/>
      <c r="L255" s="88"/>
      <c r="M255" s="88"/>
      <c r="N255" s="88"/>
      <c r="O255" s="88"/>
      <c r="P255" s="64"/>
      <c r="Q255" s="51"/>
      <c r="S255" s="27" t="s">
        <v>217</v>
      </c>
      <c r="T255" s="27">
        <f>Q257/R257</f>
        <v>2.0901571546732836</v>
      </c>
      <c r="U255" s="27">
        <f>T255</f>
        <v>2.0901571546732836</v>
      </c>
      <c r="V255" s="26"/>
      <c r="W255" s="26"/>
      <c r="X255" s="26"/>
    </row>
    <row r="256" spans="1:24" ht="22.5" x14ac:dyDescent="0.2">
      <c r="B256" s="47" t="s">
        <v>9</v>
      </c>
      <c r="C256" s="298" t="s">
        <v>156</v>
      </c>
      <c r="D256" s="295"/>
      <c r="E256" s="295"/>
      <c r="F256" s="295"/>
      <c r="G256" s="295"/>
      <c r="H256" s="295"/>
      <c r="I256" s="295"/>
      <c r="J256" s="296"/>
      <c r="K256" s="48"/>
      <c r="L256" s="88"/>
      <c r="M256" s="88"/>
      <c r="N256" s="88"/>
      <c r="O256" s="88"/>
      <c r="P256" s="64"/>
      <c r="Q256" s="51"/>
      <c r="S256" s="28" t="s">
        <v>353</v>
      </c>
      <c r="T256" s="28">
        <f>Q257/R257</f>
        <v>2.0901571546732836</v>
      </c>
      <c r="U256" s="25"/>
      <c r="V256" s="26"/>
      <c r="W256" s="26"/>
      <c r="X256" s="26"/>
    </row>
    <row r="257" spans="1:24" x14ac:dyDescent="0.2">
      <c r="B257" s="47"/>
      <c r="C257" s="67">
        <v>5</v>
      </c>
      <c r="D257" s="68">
        <v>5</v>
      </c>
      <c r="E257" s="68">
        <f>D257/C257</f>
        <v>1</v>
      </c>
      <c r="F257" s="68">
        <v>0</v>
      </c>
      <c r="G257" s="68"/>
      <c r="H257" s="69"/>
      <c r="I257" s="56">
        <v>4.5039999999999996</v>
      </c>
      <c r="J257" s="123">
        <v>3.6269999999999998</v>
      </c>
      <c r="K257" s="85">
        <f>I257/(0.2*J257)</f>
        <v>6.2089881444720145</v>
      </c>
      <c r="L257" s="89">
        <f>E257</f>
        <v>1</v>
      </c>
      <c r="M257" s="90">
        <f>F257</f>
        <v>0</v>
      </c>
      <c r="N257" s="90">
        <f>I257</f>
        <v>4.5039999999999996</v>
      </c>
      <c r="O257" s="90">
        <f>J257</f>
        <v>3.6269999999999998</v>
      </c>
      <c r="P257" s="83">
        <f>3*((D257*SQRT(1+F257))/(C257))*(1+2*N257/O257)</f>
        <v>10.450785773366418</v>
      </c>
      <c r="Q257" s="56">
        <f>P257</f>
        <v>10.450785773366418</v>
      </c>
      <c r="R257" s="22">
        <v>5</v>
      </c>
      <c r="S257" s="27" t="s">
        <v>26</v>
      </c>
      <c r="T257" s="27">
        <f>Q257/R257</f>
        <v>2.0901571546732836</v>
      </c>
      <c r="U257" s="27">
        <f>T257</f>
        <v>2.0901571546732836</v>
      </c>
      <c r="V257" s="26"/>
      <c r="W257" s="26"/>
      <c r="X257" s="26"/>
    </row>
    <row r="258" spans="1:24" x14ac:dyDescent="0.2">
      <c r="B258" s="47" t="s">
        <v>10</v>
      </c>
      <c r="C258" s="299" t="s">
        <v>127</v>
      </c>
      <c r="D258" s="300"/>
      <c r="E258" s="300"/>
      <c r="F258" s="300"/>
      <c r="G258" s="300"/>
      <c r="H258" s="300"/>
      <c r="I258" s="300"/>
      <c r="J258" s="301"/>
      <c r="K258" s="48"/>
      <c r="L258" s="88"/>
      <c r="M258" s="88"/>
      <c r="N258" s="88"/>
      <c r="O258" s="88"/>
      <c r="P258" s="64"/>
      <c r="Q258" s="51"/>
      <c r="S258" s="27" t="s">
        <v>24</v>
      </c>
      <c r="T258" s="27">
        <f>Q257/R257</f>
        <v>2.0901571546732836</v>
      </c>
      <c r="U258" s="27">
        <f>T258</f>
        <v>2.0901571546732836</v>
      </c>
      <c r="V258" s="26"/>
      <c r="W258" s="26"/>
      <c r="X258" s="26"/>
    </row>
    <row r="259" spans="1:24" x14ac:dyDescent="0.2">
      <c r="B259" s="98" t="s">
        <v>11</v>
      </c>
      <c r="C259" s="130"/>
      <c r="D259" s="131"/>
      <c r="E259" s="131"/>
      <c r="F259" s="131"/>
      <c r="G259" s="131"/>
      <c r="H259" s="131"/>
      <c r="I259" s="131"/>
      <c r="J259" s="131"/>
      <c r="K259" s="48"/>
      <c r="L259" s="88"/>
      <c r="M259" s="88"/>
      <c r="N259" s="88"/>
      <c r="O259" s="88"/>
      <c r="P259" s="64"/>
      <c r="Q259" s="51"/>
      <c r="S259" s="27" t="s">
        <v>218</v>
      </c>
      <c r="T259" s="27">
        <f>Q257/R257</f>
        <v>2.0901571546732836</v>
      </c>
      <c r="U259" s="27">
        <f>T259+T256</f>
        <v>4.1803143093465671</v>
      </c>
      <c r="V259" s="26"/>
      <c r="W259" s="26"/>
      <c r="X259" s="26"/>
    </row>
    <row r="260" spans="1:24" x14ac:dyDescent="0.2">
      <c r="B260" s="98"/>
      <c r="C260" s="139"/>
      <c r="D260" s="140"/>
      <c r="E260" s="140"/>
      <c r="F260" s="140"/>
      <c r="G260" s="140"/>
      <c r="H260" s="140"/>
      <c r="I260" s="140"/>
      <c r="J260" s="140"/>
      <c r="K260" s="48"/>
      <c r="L260" s="88"/>
      <c r="M260" s="88"/>
      <c r="N260" s="88"/>
      <c r="O260" s="88"/>
      <c r="P260" s="64"/>
      <c r="Q260" s="51"/>
      <c r="S260" s="25"/>
      <c r="T260" s="25"/>
      <c r="U260" s="25"/>
      <c r="V260" s="26"/>
      <c r="W260" s="26"/>
      <c r="X260" s="26"/>
    </row>
    <row r="261" spans="1:24" x14ac:dyDescent="0.2">
      <c r="B261" s="92"/>
      <c r="C261" s="100"/>
      <c r="D261" s="101"/>
      <c r="E261" s="101"/>
      <c r="F261" s="101"/>
      <c r="G261" s="101"/>
      <c r="H261" s="101"/>
      <c r="I261" s="101"/>
      <c r="J261" s="101"/>
      <c r="K261" s="48"/>
      <c r="L261" s="88"/>
      <c r="M261" s="88"/>
      <c r="N261" s="88"/>
      <c r="O261" s="88"/>
      <c r="P261" s="64"/>
      <c r="Q261" s="51"/>
      <c r="S261" s="25"/>
      <c r="T261" s="25"/>
      <c r="U261" s="25"/>
      <c r="V261" s="26"/>
      <c r="W261" s="26"/>
      <c r="X261" s="26"/>
    </row>
    <row r="262" spans="1:24" ht="48" customHeight="1" x14ac:dyDescent="0.2">
      <c r="A262" s="37">
        <v>38</v>
      </c>
      <c r="B262" s="98" t="s">
        <v>8</v>
      </c>
      <c r="C262" s="266" t="s">
        <v>80</v>
      </c>
      <c r="D262" s="267"/>
      <c r="E262" s="267"/>
      <c r="F262" s="267"/>
      <c r="G262" s="267"/>
      <c r="H262" s="267"/>
      <c r="I262" s="267"/>
      <c r="J262" s="268"/>
      <c r="K262" s="48"/>
      <c r="L262" s="88"/>
      <c r="M262" s="88"/>
      <c r="N262" s="88"/>
      <c r="O262" s="88"/>
      <c r="P262" s="64"/>
      <c r="Q262" s="51"/>
      <c r="S262" s="25"/>
      <c r="T262" s="25"/>
      <c r="U262" s="25"/>
      <c r="V262" s="26"/>
      <c r="W262" s="26"/>
      <c r="X262" s="26"/>
    </row>
    <row r="263" spans="1:24" ht="22.5" x14ac:dyDescent="0.2">
      <c r="B263" s="47" t="s">
        <v>9</v>
      </c>
      <c r="C263" s="298" t="s">
        <v>32</v>
      </c>
      <c r="D263" s="295"/>
      <c r="E263" s="295"/>
      <c r="F263" s="295"/>
      <c r="G263" s="295"/>
      <c r="H263" s="295"/>
      <c r="I263" s="295"/>
      <c r="J263" s="296"/>
      <c r="K263" s="48"/>
      <c r="L263" s="88"/>
      <c r="M263" s="88"/>
      <c r="N263" s="88"/>
      <c r="O263" s="88"/>
      <c r="P263" s="64"/>
      <c r="Q263" s="51"/>
      <c r="T263" s="25"/>
      <c r="U263" s="25"/>
      <c r="V263" s="26"/>
      <c r="W263" s="26"/>
      <c r="X263" s="26"/>
    </row>
    <row r="264" spans="1:24" x14ac:dyDescent="0.2">
      <c r="B264" s="47"/>
      <c r="C264" s="102">
        <v>1</v>
      </c>
      <c r="D264" s="103">
        <v>1</v>
      </c>
      <c r="E264" s="103">
        <f>D264/C264</f>
        <v>1</v>
      </c>
      <c r="F264" s="103">
        <v>0</v>
      </c>
      <c r="G264" s="103"/>
      <c r="H264" s="104"/>
      <c r="I264" s="105">
        <v>6.3639999999999999</v>
      </c>
      <c r="J264" s="124">
        <v>3.0310000000000001</v>
      </c>
      <c r="K264" s="85">
        <f>I264/(0.2*J264)</f>
        <v>10.498185417354007</v>
      </c>
      <c r="L264" s="89">
        <f>E264</f>
        <v>1</v>
      </c>
      <c r="M264" s="90">
        <f>F264</f>
        <v>0</v>
      </c>
      <c r="N264" s="90">
        <f>I264</f>
        <v>6.3639999999999999</v>
      </c>
      <c r="O264" s="90">
        <f>J264</f>
        <v>3.0310000000000001</v>
      </c>
      <c r="P264" s="83">
        <f>3*((D264*SQRT(1+F264))/(C264))*(1+2*N264/O264)</f>
        <v>15.597822500824812</v>
      </c>
      <c r="Q264" s="56">
        <f>P264</f>
        <v>15.597822500824812</v>
      </c>
      <c r="R264" s="22">
        <v>1</v>
      </c>
      <c r="S264" s="27" t="s">
        <v>32</v>
      </c>
      <c r="T264" s="27">
        <f>Q264/R264</f>
        <v>15.597822500824812</v>
      </c>
      <c r="U264" s="27">
        <f>T264</f>
        <v>15.597822500824812</v>
      </c>
      <c r="V264" s="26"/>
      <c r="W264" s="26"/>
      <c r="X264" s="26"/>
    </row>
    <row r="265" spans="1:24" x14ac:dyDescent="0.2">
      <c r="B265" s="98" t="s">
        <v>10</v>
      </c>
      <c r="C265" s="266" t="s">
        <v>157</v>
      </c>
      <c r="D265" s="267"/>
      <c r="E265" s="267"/>
      <c r="F265" s="267"/>
      <c r="G265" s="267"/>
      <c r="H265" s="267"/>
      <c r="I265" s="267"/>
      <c r="J265" s="268"/>
      <c r="K265" s="48"/>
      <c r="L265" s="88"/>
      <c r="M265" s="88"/>
      <c r="N265" s="88"/>
      <c r="O265" s="88"/>
      <c r="P265" s="64"/>
      <c r="Q265" s="51"/>
      <c r="S265" s="25"/>
      <c r="T265" s="25"/>
      <c r="U265" s="25"/>
      <c r="V265" s="26"/>
      <c r="W265" s="26"/>
      <c r="X265" s="26"/>
    </row>
    <row r="266" spans="1:24" x14ac:dyDescent="0.2">
      <c r="B266" s="47" t="s">
        <v>11</v>
      </c>
      <c r="C266" s="95"/>
      <c r="D266" s="95"/>
      <c r="E266" s="95"/>
      <c r="F266" s="95"/>
      <c r="G266" s="95"/>
      <c r="H266" s="95"/>
      <c r="I266" s="95"/>
      <c r="J266" s="95"/>
      <c r="K266" s="48"/>
      <c r="L266" s="88"/>
      <c r="M266" s="88"/>
      <c r="N266" s="88"/>
      <c r="O266" s="88"/>
      <c r="P266" s="64"/>
      <c r="Q266" s="51"/>
      <c r="S266" s="25"/>
      <c r="T266" s="25"/>
      <c r="U266" s="25"/>
      <c r="V266" s="26"/>
      <c r="W266" s="26"/>
      <c r="X266" s="26"/>
    </row>
    <row r="267" spans="1:24" x14ac:dyDescent="0.2">
      <c r="B267" s="98"/>
      <c r="C267" s="130"/>
      <c r="D267" s="131"/>
      <c r="E267" s="131"/>
      <c r="F267" s="131"/>
      <c r="G267" s="131"/>
      <c r="H267" s="131"/>
      <c r="I267" s="131"/>
      <c r="J267" s="131"/>
      <c r="K267" s="48"/>
      <c r="L267" s="88"/>
      <c r="M267" s="88"/>
      <c r="N267" s="88"/>
      <c r="O267" s="88"/>
      <c r="P267" s="64"/>
      <c r="Q267" s="51"/>
      <c r="S267" s="25"/>
      <c r="T267" s="25"/>
      <c r="U267" s="25"/>
      <c r="V267" s="26"/>
      <c r="W267" s="26"/>
      <c r="X267" s="26"/>
    </row>
    <row r="268" spans="1:24" x14ac:dyDescent="0.2">
      <c r="B268" s="92"/>
      <c r="C268" s="106"/>
      <c r="D268" s="107"/>
      <c r="E268" s="107"/>
      <c r="F268" s="107"/>
      <c r="G268" s="107"/>
      <c r="H268" s="107"/>
      <c r="I268" s="107"/>
      <c r="J268" s="107"/>
      <c r="K268" s="48"/>
      <c r="L268" s="88"/>
      <c r="M268" s="88"/>
      <c r="N268" s="88"/>
      <c r="O268" s="88"/>
      <c r="P268" s="64"/>
      <c r="Q268" s="51"/>
      <c r="S268" s="25"/>
      <c r="T268" s="25"/>
      <c r="U268" s="25"/>
      <c r="V268" s="26"/>
      <c r="W268" s="26"/>
      <c r="X268" s="26"/>
    </row>
    <row r="269" spans="1:24" ht="54" customHeight="1" x14ac:dyDescent="0.2">
      <c r="A269" s="37">
        <v>39</v>
      </c>
      <c r="B269" s="98" t="s">
        <v>8</v>
      </c>
      <c r="C269" s="266" t="s">
        <v>81</v>
      </c>
      <c r="D269" s="267"/>
      <c r="E269" s="267"/>
      <c r="F269" s="267"/>
      <c r="G269" s="267"/>
      <c r="H269" s="267"/>
      <c r="I269" s="267"/>
      <c r="J269" s="268"/>
      <c r="K269" s="48"/>
      <c r="L269" s="88"/>
      <c r="M269" s="88"/>
      <c r="N269" s="88"/>
      <c r="O269" s="88"/>
      <c r="P269" s="64"/>
      <c r="Q269" s="51"/>
      <c r="S269" s="25"/>
      <c r="T269" s="25"/>
      <c r="U269" s="25"/>
      <c r="V269" s="26"/>
      <c r="W269" s="26"/>
      <c r="X269" s="26"/>
    </row>
    <row r="270" spans="1:24" ht="22.5" x14ac:dyDescent="0.2">
      <c r="A270" s="46"/>
      <c r="B270" s="98" t="s">
        <v>9</v>
      </c>
      <c r="C270" s="294" t="s">
        <v>158</v>
      </c>
      <c r="D270" s="295"/>
      <c r="E270" s="295"/>
      <c r="F270" s="295"/>
      <c r="G270" s="295"/>
      <c r="H270" s="295"/>
      <c r="I270" s="295"/>
      <c r="J270" s="296"/>
      <c r="K270" s="48"/>
      <c r="L270" s="88"/>
      <c r="M270" s="88"/>
      <c r="N270" s="88"/>
      <c r="O270" s="88"/>
      <c r="P270" s="64"/>
      <c r="Q270" s="51"/>
      <c r="S270" s="28" t="s">
        <v>308</v>
      </c>
      <c r="T270" s="28">
        <f>Q271/R271</f>
        <v>1.9757824586457213</v>
      </c>
      <c r="U270" s="25"/>
      <c r="V270" s="26"/>
      <c r="W270" s="26"/>
      <c r="X270" s="26"/>
    </row>
    <row r="271" spans="1:24" x14ac:dyDescent="0.2">
      <c r="B271" s="98"/>
      <c r="C271" s="108">
        <v>3</v>
      </c>
      <c r="D271" s="68">
        <v>2.5</v>
      </c>
      <c r="E271" s="68">
        <f>D271/C271</f>
        <v>0.83333333333333337</v>
      </c>
      <c r="F271" s="68">
        <v>0</v>
      </c>
      <c r="G271" s="68"/>
      <c r="H271" s="69"/>
      <c r="I271" s="69">
        <v>3.84</v>
      </c>
      <c r="J271" s="125">
        <v>5.6020000000000003</v>
      </c>
      <c r="K271" s="85">
        <f>I271/(0.2*J271)</f>
        <v>3.4273473759371651</v>
      </c>
      <c r="L271" s="89">
        <f>E271</f>
        <v>0.83333333333333337</v>
      </c>
      <c r="M271" s="90">
        <f>F271</f>
        <v>0</v>
      </c>
      <c r="N271" s="90">
        <f>I271</f>
        <v>3.84</v>
      </c>
      <c r="O271" s="90">
        <f>J271</f>
        <v>5.6020000000000003</v>
      </c>
      <c r="P271" s="83">
        <f>3*((D271*SQRT(1+F271))/(C271))*(1+2*N271/O271)</f>
        <v>5.9273473759371642</v>
      </c>
      <c r="Q271" s="56">
        <f>P271</f>
        <v>5.9273473759371642</v>
      </c>
      <c r="R271" s="22">
        <v>3</v>
      </c>
      <c r="S271" s="27" t="s">
        <v>191</v>
      </c>
      <c r="T271" s="27">
        <f>Q271/R271</f>
        <v>1.9757824586457213</v>
      </c>
      <c r="U271" s="27">
        <f>T271</f>
        <v>1.9757824586457213</v>
      </c>
      <c r="V271" s="26"/>
      <c r="W271" s="26"/>
      <c r="X271" s="26"/>
    </row>
    <row r="272" spans="1:24" x14ac:dyDescent="0.2">
      <c r="B272" s="98" t="s">
        <v>10</v>
      </c>
      <c r="C272" s="302" t="s">
        <v>159</v>
      </c>
      <c r="D272" s="300"/>
      <c r="E272" s="300"/>
      <c r="F272" s="300"/>
      <c r="G272" s="300"/>
      <c r="H272" s="300"/>
      <c r="I272" s="300"/>
      <c r="J272" s="301"/>
      <c r="K272" s="48"/>
      <c r="L272" s="88"/>
      <c r="M272" s="88"/>
      <c r="N272" s="88"/>
      <c r="O272" s="88"/>
      <c r="P272" s="64"/>
      <c r="Q272" s="51"/>
      <c r="S272" s="27" t="s">
        <v>15</v>
      </c>
      <c r="T272" s="27">
        <f>Q271/R271</f>
        <v>1.9757824586457213</v>
      </c>
      <c r="U272" s="27">
        <f>T272+T270</f>
        <v>3.9515649172914427</v>
      </c>
      <c r="V272" s="26"/>
      <c r="W272" s="26"/>
      <c r="X272" s="26"/>
    </row>
    <row r="273" spans="1:24" x14ac:dyDescent="0.2">
      <c r="B273" s="98" t="s">
        <v>11</v>
      </c>
      <c r="C273" s="130"/>
      <c r="D273" s="131"/>
      <c r="E273" s="131"/>
      <c r="F273" s="131"/>
      <c r="G273" s="131"/>
      <c r="H273" s="131"/>
      <c r="I273" s="131"/>
      <c r="J273" s="131"/>
      <c r="K273" s="48"/>
      <c r="L273" s="88"/>
      <c r="M273" s="88"/>
      <c r="N273" s="88"/>
      <c r="O273" s="88"/>
      <c r="P273" s="64"/>
      <c r="Q273" s="51"/>
      <c r="S273" s="25"/>
      <c r="T273" s="25"/>
      <c r="U273" s="25"/>
      <c r="V273" s="26"/>
      <c r="W273" s="26"/>
      <c r="X273" s="26"/>
    </row>
    <row r="274" spans="1:24" x14ac:dyDescent="0.2">
      <c r="B274" s="98"/>
      <c r="C274" s="109"/>
      <c r="D274" s="95"/>
      <c r="E274" s="95"/>
      <c r="F274" s="95"/>
      <c r="G274" s="95"/>
      <c r="H274" s="95"/>
      <c r="I274" s="95"/>
      <c r="J274" s="95"/>
      <c r="K274" s="48"/>
      <c r="L274" s="88"/>
      <c r="M274" s="88"/>
      <c r="N274" s="88"/>
      <c r="O274" s="88"/>
      <c r="P274" s="64"/>
      <c r="Q274" s="51"/>
      <c r="S274" s="25"/>
      <c r="T274" s="25"/>
      <c r="U274" s="25"/>
      <c r="V274" s="26"/>
      <c r="W274" s="26"/>
      <c r="X274" s="26"/>
    </row>
    <row r="275" spans="1:24" x14ac:dyDescent="0.2">
      <c r="B275" s="92"/>
      <c r="C275" s="100"/>
      <c r="D275" s="101"/>
      <c r="E275" s="101"/>
      <c r="F275" s="101"/>
      <c r="G275" s="101"/>
      <c r="H275" s="101"/>
      <c r="I275" s="101"/>
      <c r="J275" s="101"/>
      <c r="K275" s="48"/>
      <c r="L275" s="88"/>
      <c r="M275" s="88"/>
      <c r="N275" s="88"/>
      <c r="O275" s="88"/>
      <c r="P275" s="64"/>
      <c r="Q275" s="51"/>
      <c r="S275" s="25"/>
      <c r="T275" s="25"/>
      <c r="U275" s="25"/>
      <c r="V275" s="26"/>
      <c r="W275" s="26"/>
      <c r="X275" s="26"/>
    </row>
    <row r="276" spans="1:24" ht="33.75" x14ac:dyDescent="0.2">
      <c r="A276" s="37">
        <v>40</v>
      </c>
      <c r="B276" s="98" t="s">
        <v>8</v>
      </c>
      <c r="C276" s="276" t="s">
        <v>82</v>
      </c>
      <c r="D276" s="277"/>
      <c r="E276" s="277"/>
      <c r="F276" s="277"/>
      <c r="G276" s="277"/>
      <c r="H276" s="277"/>
      <c r="I276" s="277"/>
      <c r="J276" s="278"/>
      <c r="K276" s="48"/>
      <c r="L276" s="88"/>
      <c r="M276" s="88"/>
      <c r="N276" s="88"/>
      <c r="O276" s="88"/>
      <c r="P276" s="64"/>
      <c r="Q276" s="51"/>
      <c r="S276" s="25"/>
      <c r="T276" s="25"/>
      <c r="U276" s="25"/>
      <c r="V276" s="26"/>
      <c r="W276" s="26"/>
      <c r="X276" s="26"/>
    </row>
    <row r="277" spans="1:24" ht="22.5" x14ac:dyDescent="0.2">
      <c r="A277" s="46"/>
      <c r="B277" s="98" t="s">
        <v>9</v>
      </c>
      <c r="C277" s="291" t="s">
        <v>160</v>
      </c>
      <c r="D277" s="292"/>
      <c r="E277" s="292"/>
      <c r="F277" s="292"/>
      <c r="G277" s="292"/>
      <c r="H277" s="292"/>
      <c r="I277" s="292"/>
      <c r="J277" s="293"/>
      <c r="K277" s="48"/>
      <c r="L277" s="88"/>
      <c r="M277" s="88"/>
      <c r="N277" s="88"/>
      <c r="O277" s="88"/>
      <c r="P277" s="64"/>
      <c r="Q277" s="51"/>
      <c r="S277" s="27" t="s">
        <v>191</v>
      </c>
      <c r="T277" s="27">
        <f>Q278/R278</f>
        <v>1.9098874706221112</v>
      </c>
      <c r="U277" s="27">
        <f>T277+T278</f>
        <v>3.8197749412442223</v>
      </c>
      <c r="V277" s="26"/>
      <c r="W277" s="26"/>
      <c r="X277" s="26"/>
    </row>
    <row r="278" spans="1:24" x14ac:dyDescent="0.2">
      <c r="B278" s="98"/>
      <c r="C278" s="108">
        <v>8</v>
      </c>
      <c r="D278" s="68">
        <v>2.5</v>
      </c>
      <c r="E278" s="68">
        <f>D278/C278</f>
        <v>0.3125</v>
      </c>
      <c r="F278" s="68">
        <v>2</v>
      </c>
      <c r="G278" s="68"/>
      <c r="H278" s="69"/>
      <c r="I278" s="69">
        <v>3.7410000000000001</v>
      </c>
      <c r="J278" s="125">
        <v>2.9590000000000001</v>
      </c>
      <c r="K278" s="85">
        <f>I278/(0.2*J278)</f>
        <v>6.3213923622845556</v>
      </c>
      <c r="L278" s="89">
        <f>E278</f>
        <v>0.3125</v>
      </c>
      <c r="M278" s="90">
        <f>F278</f>
        <v>2</v>
      </c>
      <c r="N278" s="90">
        <f>I278</f>
        <v>3.7410000000000001</v>
      </c>
      <c r="O278" s="90">
        <f>J278</f>
        <v>2.9590000000000001</v>
      </c>
      <c r="P278" s="83">
        <f>3*((D278*SQRT(1+F278))/(C278))*(1+2*N278/O278)</f>
        <v>5.7296624118663333</v>
      </c>
      <c r="Q278" s="56">
        <f>P278</f>
        <v>5.7296624118663333</v>
      </c>
      <c r="R278" s="22">
        <v>3</v>
      </c>
      <c r="S278" s="28" t="s">
        <v>324</v>
      </c>
      <c r="T278" s="28">
        <f>Q278/R278</f>
        <v>1.9098874706221112</v>
      </c>
      <c r="U278" s="25"/>
      <c r="V278" s="26"/>
      <c r="W278" s="26"/>
      <c r="X278" s="26"/>
    </row>
    <row r="279" spans="1:24" x14ac:dyDescent="0.2">
      <c r="B279" s="98" t="s">
        <v>10</v>
      </c>
      <c r="C279" s="288" t="s">
        <v>161</v>
      </c>
      <c r="D279" s="289"/>
      <c r="E279" s="289"/>
      <c r="F279" s="289"/>
      <c r="G279" s="289"/>
      <c r="H279" s="289"/>
      <c r="I279" s="289"/>
      <c r="J279" s="290"/>
      <c r="K279" s="48"/>
      <c r="L279" s="88"/>
      <c r="M279" s="88"/>
      <c r="N279" s="88"/>
      <c r="O279" s="88"/>
      <c r="P279" s="64"/>
      <c r="Q279" s="51"/>
      <c r="S279" s="27" t="s">
        <v>202</v>
      </c>
      <c r="T279" s="27">
        <f>Q278/R278</f>
        <v>1.9098874706221112</v>
      </c>
      <c r="U279" s="27">
        <f>T279</f>
        <v>1.9098874706221112</v>
      </c>
      <c r="V279" s="26"/>
      <c r="W279" s="26"/>
      <c r="X279" s="26"/>
    </row>
    <row r="280" spans="1:24" x14ac:dyDescent="0.2">
      <c r="B280" s="47" t="s">
        <v>11</v>
      </c>
      <c r="C280" s="109"/>
      <c r="D280" s="95"/>
      <c r="E280" s="95"/>
      <c r="F280" s="95"/>
      <c r="G280" s="95"/>
      <c r="H280" s="95"/>
      <c r="I280" s="95"/>
      <c r="J280" s="95"/>
      <c r="K280" s="48"/>
      <c r="L280" s="88"/>
      <c r="M280" s="88"/>
      <c r="N280" s="88"/>
      <c r="O280" s="88"/>
      <c r="P280" s="64"/>
      <c r="Q280" s="51"/>
      <c r="S280" s="25"/>
      <c r="T280" s="25"/>
      <c r="U280" s="25"/>
      <c r="V280" s="26"/>
      <c r="W280" s="26"/>
      <c r="X280" s="26"/>
    </row>
    <row r="281" spans="1:24" x14ac:dyDescent="0.2">
      <c r="B281" s="98"/>
      <c r="C281" s="130"/>
      <c r="D281" s="131"/>
      <c r="E281" s="131"/>
      <c r="F281" s="131"/>
      <c r="G281" s="131"/>
      <c r="H281" s="131"/>
      <c r="I281" s="131"/>
      <c r="J281" s="131"/>
      <c r="K281" s="48"/>
      <c r="L281" s="88"/>
      <c r="M281" s="88"/>
      <c r="N281" s="88"/>
      <c r="O281" s="88"/>
      <c r="P281" s="64"/>
      <c r="Q281" s="51"/>
      <c r="S281" s="25"/>
      <c r="T281" s="25"/>
      <c r="U281" s="25"/>
      <c r="V281" s="26"/>
      <c r="W281" s="26"/>
      <c r="X281" s="26"/>
    </row>
    <row r="282" spans="1:24" x14ac:dyDescent="0.2">
      <c r="B282" s="92"/>
      <c r="C282" s="110"/>
      <c r="D282" s="99"/>
      <c r="E282" s="99"/>
      <c r="F282" s="99"/>
      <c r="G282" s="99"/>
      <c r="H282" s="99"/>
      <c r="I282" s="99"/>
      <c r="J282" s="99"/>
      <c r="K282" s="48"/>
      <c r="L282" s="88"/>
      <c r="M282" s="88"/>
      <c r="N282" s="88"/>
      <c r="O282" s="88"/>
      <c r="P282" s="64"/>
      <c r="Q282" s="51"/>
      <c r="S282" s="25"/>
      <c r="T282" s="25"/>
      <c r="U282" s="25"/>
      <c r="V282" s="26"/>
      <c r="W282" s="26"/>
      <c r="X282" s="26"/>
    </row>
    <row r="283" spans="1:24" ht="47.25" customHeight="1" x14ac:dyDescent="0.2">
      <c r="A283" s="37">
        <v>41</v>
      </c>
      <c r="B283" s="98" t="s">
        <v>8</v>
      </c>
      <c r="C283" s="279" t="s">
        <v>83</v>
      </c>
      <c r="D283" s="280"/>
      <c r="E283" s="280"/>
      <c r="F283" s="280"/>
      <c r="G283" s="280"/>
      <c r="H283" s="280"/>
      <c r="I283" s="280"/>
      <c r="J283" s="281"/>
      <c r="K283" s="48"/>
      <c r="L283" s="88"/>
      <c r="M283" s="88"/>
      <c r="N283" s="88"/>
      <c r="O283" s="88"/>
      <c r="P283" s="64"/>
      <c r="Q283" s="51"/>
      <c r="S283" s="25"/>
      <c r="T283" s="25"/>
      <c r="U283" s="25"/>
      <c r="V283" s="26"/>
      <c r="W283" s="26"/>
      <c r="X283" s="26"/>
    </row>
    <row r="284" spans="1:24" ht="22.5" x14ac:dyDescent="0.2">
      <c r="B284" s="98" t="s">
        <v>9</v>
      </c>
      <c r="C284" s="294" t="s">
        <v>231</v>
      </c>
      <c r="D284" s="295"/>
      <c r="E284" s="295"/>
      <c r="F284" s="295"/>
      <c r="G284" s="295"/>
      <c r="H284" s="295"/>
      <c r="I284" s="295"/>
      <c r="J284" s="296"/>
      <c r="K284" s="48"/>
      <c r="L284" s="88"/>
      <c r="M284" s="88"/>
      <c r="N284" s="88"/>
      <c r="O284" s="88"/>
      <c r="P284" s="64"/>
      <c r="Q284" s="51"/>
      <c r="S284" s="25"/>
      <c r="T284" s="25"/>
      <c r="U284" s="25"/>
      <c r="V284" s="26"/>
      <c r="W284" s="26"/>
      <c r="X284" s="26"/>
    </row>
    <row r="285" spans="1:24" x14ac:dyDescent="0.2">
      <c r="B285" s="98"/>
      <c r="C285" s="108">
        <v>5</v>
      </c>
      <c r="D285" s="68">
        <v>0.5</v>
      </c>
      <c r="E285" s="68">
        <f>D285/C285</f>
        <v>0.1</v>
      </c>
      <c r="F285" s="68">
        <v>0</v>
      </c>
      <c r="G285" s="68"/>
      <c r="H285" s="69"/>
      <c r="I285" s="69">
        <v>12.113</v>
      </c>
      <c r="J285" s="125">
        <v>5.6020000000000003</v>
      </c>
      <c r="K285" s="85">
        <f>I285/(0.2*J285)</f>
        <v>10.811317386647625</v>
      </c>
      <c r="L285" s="89">
        <f>E285</f>
        <v>0.1</v>
      </c>
      <c r="M285" s="90">
        <f>F285</f>
        <v>0</v>
      </c>
      <c r="N285" s="90">
        <f>I285</f>
        <v>12.113</v>
      </c>
      <c r="O285" s="90">
        <f>J285</f>
        <v>5.6020000000000003</v>
      </c>
      <c r="P285" s="83">
        <f>3*((D285*SQRT(1+F285))/(C285))*(1+2*N285/O285)</f>
        <v>1.5973580863977153</v>
      </c>
      <c r="Q285" s="56">
        <f>P285</f>
        <v>1.5973580863977153</v>
      </c>
      <c r="R285" s="22">
        <v>1</v>
      </c>
      <c r="S285" s="27" t="s">
        <v>219</v>
      </c>
      <c r="T285" s="27">
        <f>Q285/R285</f>
        <v>1.5973580863977153</v>
      </c>
      <c r="U285" s="27">
        <f>T285</f>
        <v>1.5973580863977153</v>
      </c>
      <c r="V285" s="26"/>
      <c r="W285" s="26"/>
      <c r="X285" s="26"/>
    </row>
    <row r="286" spans="1:24" x14ac:dyDescent="0.2">
      <c r="B286" s="98" t="s">
        <v>10</v>
      </c>
      <c r="C286" s="288" t="s">
        <v>162</v>
      </c>
      <c r="D286" s="289"/>
      <c r="E286" s="289"/>
      <c r="F286" s="289"/>
      <c r="G286" s="289"/>
      <c r="H286" s="289"/>
      <c r="I286" s="289"/>
      <c r="J286" s="290"/>
      <c r="K286" s="48"/>
      <c r="L286" s="88"/>
      <c r="M286" s="88"/>
      <c r="N286" s="88"/>
      <c r="O286" s="88"/>
      <c r="P286" s="64"/>
      <c r="Q286" s="51"/>
      <c r="T286" s="25"/>
      <c r="U286" s="25"/>
      <c r="V286" s="26"/>
      <c r="W286" s="26"/>
      <c r="X286" s="26"/>
    </row>
    <row r="287" spans="1:24" x14ac:dyDescent="0.2">
      <c r="B287" s="47" t="s">
        <v>11</v>
      </c>
      <c r="C287" s="109"/>
      <c r="D287" s="95"/>
      <c r="E287" s="95"/>
      <c r="F287" s="95"/>
      <c r="G287" s="95"/>
      <c r="H287" s="95"/>
      <c r="I287" s="95"/>
      <c r="J287" s="95"/>
      <c r="K287" s="48"/>
      <c r="L287" s="88"/>
      <c r="M287" s="88"/>
      <c r="N287" s="88"/>
      <c r="O287" s="88"/>
      <c r="P287" s="64"/>
      <c r="Q287" s="51"/>
      <c r="S287" s="25"/>
      <c r="T287" s="25"/>
      <c r="U287" s="25"/>
      <c r="V287" s="26"/>
      <c r="W287" s="26"/>
      <c r="X287" s="26"/>
    </row>
    <row r="288" spans="1:24" x14ac:dyDescent="0.2">
      <c r="B288" s="111"/>
      <c r="C288" s="130"/>
      <c r="D288" s="131"/>
      <c r="E288" s="131"/>
      <c r="F288" s="131"/>
      <c r="G288" s="131"/>
      <c r="H288" s="131"/>
      <c r="I288" s="131"/>
      <c r="J288" s="131"/>
      <c r="K288" s="48"/>
      <c r="L288" s="88"/>
      <c r="M288" s="88"/>
      <c r="N288" s="88"/>
      <c r="O288" s="88"/>
      <c r="P288" s="64"/>
      <c r="Q288" s="51"/>
      <c r="S288" s="25"/>
      <c r="T288" s="25"/>
      <c r="U288" s="25"/>
      <c r="V288" s="26"/>
      <c r="W288" s="26"/>
      <c r="X288" s="26"/>
    </row>
    <row r="289" spans="1:24" x14ac:dyDescent="0.2">
      <c r="B289" s="100"/>
      <c r="C289" s="100"/>
      <c r="D289" s="101"/>
      <c r="E289" s="101"/>
      <c r="F289" s="101"/>
      <c r="G289" s="101"/>
      <c r="H289" s="101"/>
      <c r="I289" s="101"/>
      <c r="J289" s="101"/>
      <c r="K289" s="48"/>
      <c r="L289" s="88"/>
      <c r="M289" s="88"/>
      <c r="N289" s="88"/>
      <c r="O289" s="88"/>
      <c r="P289" s="64"/>
      <c r="Q289" s="51"/>
      <c r="S289" s="25"/>
      <c r="T289" s="25"/>
      <c r="U289" s="25"/>
      <c r="V289" s="26"/>
      <c r="W289" s="26"/>
      <c r="X289" s="26"/>
    </row>
    <row r="290" spans="1:24" ht="48.75" customHeight="1" x14ac:dyDescent="0.2">
      <c r="A290" s="37">
        <v>42</v>
      </c>
      <c r="B290" s="112" t="s">
        <v>8</v>
      </c>
      <c r="C290" s="282" t="s">
        <v>84</v>
      </c>
      <c r="D290" s="283"/>
      <c r="E290" s="283"/>
      <c r="F290" s="283"/>
      <c r="G290" s="283"/>
      <c r="H290" s="283"/>
      <c r="I290" s="283"/>
      <c r="J290" s="284"/>
      <c r="K290" s="48"/>
      <c r="L290" s="88"/>
      <c r="M290" s="88"/>
      <c r="N290" s="88"/>
      <c r="O290" s="88"/>
      <c r="P290" s="64"/>
      <c r="Q290" s="51"/>
      <c r="S290" s="25"/>
      <c r="T290" s="25"/>
      <c r="U290" s="25"/>
      <c r="V290" s="26"/>
      <c r="W290" s="26"/>
      <c r="X290" s="26"/>
    </row>
    <row r="291" spans="1:24" ht="22.5" x14ac:dyDescent="0.2">
      <c r="B291" s="98" t="s">
        <v>9</v>
      </c>
      <c r="C291" s="291" t="s">
        <v>163</v>
      </c>
      <c r="D291" s="292"/>
      <c r="E291" s="292"/>
      <c r="F291" s="292"/>
      <c r="G291" s="292"/>
      <c r="H291" s="292"/>
      <c r="I291" s="292"/>
      <c r="J291" s="293"/>
      <c r="K291" s="48"/>
      <c r="L291" s="88"/>
      <c r="M291" s="88"/>
      <c r="N291" s="88"/>
      <c r="O291" s="88"/>
      <c r="P291" s="64"/>
      <c r="Q291" s="51"/>
      <c r="S291" s="27" t="s">
        <v>220</v>
      </c>
      <c r="T291" s="27">
        <f>Q292/R292</f>
        <v>1.5851704531194355</v>
      </c>
      <c r="U291" s="27">
        <f>T291</f>
        <v>1.5851704531194355</v>
      </c>
      <c r="V291" s="26"/>
      <c r="W291" s="26"/>
      <c r="X291" s="26"/>
    </row>
    <row r="292" spans="1:24" x14ac:dyDescent="0.2">
      <c r="B292" s="98"/>
      <c r="C292" s="108">
        <v>5</v>
      </c>
      <c r="D292" s="68">
        <v>2</v>
      </c>
      <c r="E292" s="68">
        <f>D292/C292</f>
        <v>0.4</v>
      </c>
      <c r="F292" s="68">
        <v>2</v>
      </c>
      <c r="G292" s="68"/>
      <c r="H292" s="69"/>
      <c r="I292" s="55">
        <v>0.74399999999999999</v>
      </c>
      <c r="J292" s="123">
        <f>(2.634+3.031)/2</f>
        <v>2.8325</v>
      </c>
      <c r="K292" s="85">
        <f>I292/(0.2*J292)</f>
        <v>1.3133274492497793</v>
      </c>
      <c r="L292" s="89">
        <f>E292</f>
        <v>0.4</v>
      </c>
      <c r="M292" s="90">
        <f>F292</f>
        <v>2</v>
      </c>
      <c r="N292" s="90">
        <f>I292</f>
        <v>0.74399999999999999</v>
      </c>
      <c r="O292" s="90">
        <f>J292</f>
        <v>2.8325</v>
      </c>
      <c r="P292" s="83">
        <f>3*((D292*SQRT(1+F292))/(C292))*(1+2*N292/O292)</f>
        <v>3.170340906238871</v>
      </c>
      <c r="Q292" s="56">
        <f>P292</f>
        <v>3.170340906238871</v>
      </c>
      <c r="R292" s="22">
        <v>2</v>
      </c>
      <c r="S292" s="27" t="s">
        <v>21</v>
      </c>
      <c r="T292" s="27">
        <f>Q292/R292</f>
        <v>1.5851704531194355</v>
      </c>
      <c r="U292" s="27">
        <f>T292</f>
        <v>1.5851704531194355</v>
      </c>
      <c r="V292" s="26"/>
      <c r="W292" s="26"/>
      <c r="X292" s="26"/>
    </row>
    <row r="293" spans="1:24" x14ac:dyDescent="0.2">
      <c r="B293" s="98" t="s">
        <v>10</v>
      </c>
      <c r="C293" s="288" t="s">
        <v>164</v>
      </c>
      <c r="D293" s="289"/>
      <c r="E293" s="289"/>
      <c r="F293" s="289"/>
      <c r="G293" s="289"/>
      <c r="H293" s="289"/>
      <c r="I293" s="289"/>
      <c r="J293" s="290"/>
      <c r="K293" s="48"/>
      <c r="L293" s="88"/>
      <c r="M293" s="88"/>
      <c r="N293" s="88"/>
      <c r="O293" s="88"/>
      <c r="P293" s="64"/>
      <c r="Q293" s="51"/>
      <c r="S293" s="25"/>
      <c r="T293" s="25"/>
      <c r="U293" s="25"/>
      <c r="V293" s="26"/>
      <c r="W293" s="26"/>
      <c r="X293" s="26"/>
    </row>
    <row r="294" spans="1:24" x14ac:dyDescent="0.2">
      <c r="B294" s="47" t="s">
        <v>11</v>
      </c>
      <c r="C294" s="109"/>
      <c r="D294" s="95"/>
      <c r="E294" s="95"/>
      <c r="F294" s="95"/>
      <c r="G294" s="95"/>
      <c r="H294" s="95"/>
      <c r="I294" s="95"/>
      <c r="J294" s="95"/>
      <c r="K294" s="48"/>
      <c r="L294" s="88"/>
      <c r="M294" s="88"/>
      <c r="N294" s="88"/>
      <c r="O294" s="88"/>
      <c r="P294" s="64"/>
      <c r="Q294" s="51"/>
      <c r="S294" s="25"/>
      <c r="T294" s="25"/>
      <c r="U294" s="25"/>
      <c r="V294" s="26"/>
      <c r="W294" s="26"/>
      <c r="X294" s="26"/>
    </row>
    <row r="295" spans="1:24" x14ac:dyDescent="0.2">
      <c r="B295" s="98"/>
      <c r="C295" s="109"/>
      <c r="D295" s="95"/>
      <c r="E295" s="95"/>
      <c r="F295" s="95"/>
      <c r="G295" s="95"/>
      <c r="H295" s="95"/>
      <c r="I295" s="95"/>
      <c r="J295" s="95"/>
      <c r="K295" s="48"/>
      <c r="L295" s="88"/>
      <c r="M295" s="88"/>
      <c r="N295" s="88"/>
      <c r="O295" s="88"/>
      <c r="P295" s="64"/>
      <c r="Q295" s="51"/>
      <c r="S295" s="25"/>
      <c r="T295" s="25"/>
      <c r="U295" s="25"/>
      <c r="V295" s="26"/>
      <c r="W295" s="26"/>
      <c r="X295" s="26"/>
    </row>
    <row r="296" spans="1:24" x14ac:dyDescent="0.2">
      <c r="B296" s="92"/>
      <c r="C296" s="100"/>
      <c r="D296" s="101"/>
      <c r="E296" s="101"/>
      <c r="F296" s="101"/>
      <c r="G296" s="101"/>
      <c r="H296" s="101"/>
      <c r="I296" s="101"/>
      <c r="J296" s="101"/>
      <c r="K296" s="48"/>
      <c r="L296" s="88"/>
      <c r="M296" s="88"/>
      <c r="N296" s="88"/>
      <c r="O296" s="88"/>
      <c r="P296" s="64"/>
      <c r="Q296" s="51"/>
      <c r="S296" s="25"/>
      <c r="T296" s="25"/>
      <c r="U296" s="25"/>
      <c r="V296" s="26"/>
      <c r="W296" s="26"/>
      <c r="X296" s="26"/>
    </row>
    <row r="297" spans="1:24" ht="56.25" customHeight="1" x14ac:dyDescent="0.2">
      <c r="A297" s="37">
        <v>43</v>
      </c>
      <c r="B297" s="47" t="s">
        <v>8</v>
      </c>
      <c r="C297" s="303" t="s">
        <v>85</v>
      </c>
      <c r="D297" s="277"/>
      <c r="E297" s="277"/>
      <c r="F297" s="277"/>
      <c r="G297" s="277"/>
      <c r="H297" s="277"/>
      <c r="I297" s="277"/>
      <c r="J297" s="278"/>
      <c r="K297" s="48"/>
      <c r="L297" s="49"/>
      <c r="M297" s="49"/>
      <c r="N297" s="49"/>
      <c r="O297" s="49"/>
      <c r="P297" s="64"/>
      <c r="Q297" s="51"/>
      <c r="S297" s="196" t="s">
        <v>221</v>
      </c>
      <c r="T297" s="27">
        <f>Q299/R299</f>
        <v>2.1133899530177089</v>
      </c>
      <c r="U297" s="27">
        <f>T297</f>
        <v>2.1133899530177089</v>
      </c>
      <c r="V297" s="26"/>
      <c r="W297" s="26"/>
      <c r="X297" s="26"/>
    </row>
    <row r="298" spans="1:24" ht="22.5" x14ac:dyDescent="0.2">
      <c r="B298" s="47" t="s">
        <v>9</v>
      </c>
      <c r="C298" s="304" t="s">
        <v>165</v>
      </c>
      <c r="D298" s="292"/>
      <c r="E298" s="292"/>
      <c r="F298" s="292"/>
      <c r="G298" s="292"/>
      <c r="H298" s="292"/>
      <c r="I298" s="292"/>
      <c r="J298" s="293"/>
      <c r="K298" s="48"/>
      <c r="L298" s="49"/>
      <c r="M298" s="49"/>
      <c r="N298" s="49"/>
      <c r="O298" s="49"/>
      <c r="P298" s="64"/>
      <c r="Q298" s="51"/>
      <c r="S298" s="197" t="s">
        <v>336</v>
      </c>
      <c r="T298" s="28">
        <f>Q299/R299</f>
        <v>2.1133899530177089</v>
      </c>
      <c r="U298" s="25"/>
      <c r="V298" s="26"/>
      <c r="W298" s="26"/>
      <c r="X298" s="26"/>
    </row>
    <row r="299" spans="1:24" x14ac:dyDescent="0.2">
      <c r="B299" s="47"/>
      <c r="C299" s="67">
        <v>4</v>
      </c>
      <c r="D299" s="68">
        <v>4</v>
      </c>
      <c r="E299" s="68">
        <f>D299/C299</f>
        <v>1</v>
      </c>
      <c r="F299" s="68">
        <v>0</v>
      </c>
      <c r="G299" s="68"/>
      <c r="H299" s="69"/>
      <c r="I299" s="68">
        <v>2.5150000000000001</v>
      </c>
      <c r="J299" s="70">
        <f>(2.512+2.806+2.983)/3</f>
        <v>2.7669999999999999</v>
      </c>
      <c r="K299" s="85">
        <f>I299/(0.2*J299)</f>
        <v>4.5446331767256956</v>
      </c>
      <c r="L299" s="86">
        <f>E299</f>
        <v>1</v>
      </c>
      <c r="M299" s="60">
        <f>F299</f>
        <v>0</v>
      </c>
      <c r="N299" s="60">
        <f>I299</f>
        <v>2.5150000000000001</v>
      </c>
      <c r="O299" s="60">
        <f>J299</f>
        <v>2.7669999999999999</v>
      </c>
      <c r="P299" s="83">
        <f>3*((D299*SQRT(1+F299))/(C299))*(1+2*N299/O299)</f>
        <v>8.4535598120708357</v>
      </c>
      <c r="Q299" s="56">
        <f>P299</f>
        <v>8.4535598120708357</v>
      </c>
      <c r="R299" s="22">
        <v>4</v>
      </c>
      <c r="S299" s="197" t="s">
        <v>337</v>
      </c>
      <c r="T299" s="28">
        <f>Q299/R299</f>
        <v>2.1133899530177089</v>
      </c>
      <c r="U299" s="25"/>
      <c r="V299" s="26"/>
      <c r="W299" s="26"/>
      <c r="X299" s="26"/>
    </row>
    <row r="300" spans="1:24" x14ac:dyDescent="0.2">
      <c r="B300" s="47" t="s">
        <v>10</v>
      </c>
      <c r="C300" s="305" t="s">
        <v>166</v>
      </c>
      <c r="D300" s="289"/>
      <c r="E300" s="289"/>
      <c r="F300" s="289"/>
      <c r="G300" s="289"/>
      <c r="H300" s="289"/>
      <c r="I300" s="289"/>
      <c r="J300" s="290"/>
      <c r="K300" s="48"/>
      <c r="L300" s="49"/>
      <c r="M300" s="49"/>
      <c r="N300" s="49"/>
      <c r="O300" s="49"/>
      <c r="P300" s="64"/>
      <c r="Q300" s="51"/>
      <c r="S300" s="27" t="s">
        <v>39</v>
      </c>
      <c r="T300" s="27">
        <f>Q299/R299</f>
        <v>2.1133899530177089</v>
      </c>
      <c r="U300" s="27">
        <f>T300+T299+T298</f>
        <v>6.3401698590531268</v>
      </c>
      <c r="V300" s="26"/>
      <c r="W300" s="26"/>
      <c r="X300" s="26"/>
    </row>
    <row r="301" spans="1:24" x14ac:dyDescent="0.2">
      <c r="B301" s="47" t="s">
        <v>11</v>
      </c>
      <c r="C301" s="263"/>
      <c r="D301" s="264"/>
      <c r="E301" s="264"/>
      <c r="F301" s="264"/>
      <c r="G301" s="264"/>
      <c r="H301" s="264"/>
      <c r="I301" s="264"/>
      <c r="J301" s="265"/>
      <c r="K301" s="48"/>
      <c r="L301" s="49"/>
      <c r="M301" s="49"/>
      <c r="N301" s="49"/>
      <c r="O301" s="49"/>
      <c r="P301" s="64"/>
      <c r="Q301" s="51"/>
      <c r="S301" s="25"/>
      <c r="T301" s="25"/>
      <c r="U301" s="25"/>
      <c r="V301" s="26"/>
      <c r="W301" s="26"/>
      <c r="X301" s="26"/>
    </row>
    <row r="302" spans="1:24" x14ac:dyDescent="0.2">
      <c r="B302" s="47"/>
      <c r="C302" s="232"/>
      <c r="D302" s="233"/>
      <c r="E302" s="233"/>
      <c r="F302" s="233"/>
      <c r="G302" s="233"/>
      <c r="H302" s="233"/>
      <c r="I302" s="233"/>
      <c r="J302" s="234"/>
      <c r="K302" s="48"/>
      <c r="L302" s="49"/>
      <c r="M302" s="49"/>
      <c r="N302" s="49"/>
      <c r="O302" s="49"/>
      <c r="P302" s="64"/>
      <c r="Q302" s="51"/>
      <c r="S302" s="25"/>
      <c r="T302" s="25"/>
      <c r="U302" s="25"/>
      <c r="V302" s="26"/>
      <c r="W302" s="26"/>
      <c r="X302" s="26"/>
    </row>
    <row r="303" spans="1:24" x14ac:dyDescent="0.2">
      <c r="B303" s="65"/>
      <c r="C303" s="244"/>
      <c r="D303" s="245"/>
      <c r="E303" s="245"/>
      <c r="F303" s="245"/>
      <c r="G303" s="245"/>
      <c r="H303" s="245"/>
      <c r="I303" s="245"/>
      <c r="J303" s="246"/>
      <c r="K303" s="48"/>
      <c r="L303" s="49"/>
      <c r="M303" s="49"/>
      <c r="N303" s="49"/>
      <c r="O303" s="49"/>
      <c r="P303" s="64"/>
      <c r="Q303" s="51"/>
      <c r="S303" s="25"/>
      <c r="T303" s="25"/>
      <c r="U303" s="25"/>
      <c r="V303" s="26"/>
      <c r="W303" s="26"/>
      <c r="X303" s="26"/>
    </row>
    <row r="304" spans="1:24" ht="52.5" customHeight="1" x14ac:dyDescent="0.2">
      <c r="A304" s="37">
        <v>44</v>
      </c>
      <c r="B304" s="47" t="s">
        <v>8</v>
      </c>
      <c r="C304" s="263" t="s">
        <v>86</v>
      </c>
      <c r="D304" s="264"/>
      <c r="E304" s="264"/>
      <c r="F304" s="264"/>
      <c r="G304" s="264"/>
      <c r="H304" s="264"/>
      <c r="I304" s="264"/>
      <c r="J304" s="265"/>
      <c r="K304" s="48"/>
      <c r="L304" s="88"/>
      <c r="M304" s="88"/>
      <c r="N304" s="88"/>
      <c r="O304" s="88"/>
      <c r="P304" s="64"/>
      <c r="Q304" s="51"/>
      <c r="S304" s="34"/>
      <c r="T304" s="34"/>
      <c r="U304" s="34"/>
      <c r="V304" s="26"/>
      <c r="W304" s="26"/>
      <c r="X304" s="26"/>
    </row>
    <row r="305" spans="1:24" ht="22.5" x14ac:dyDescent="0.2">
      <c r="B305" s="47" t="s">
        <v>9</v>
      </c>
      <c r="C305" s="304" t="s">
        <v>167</v>
      </c>
      <c r="D305" s="292"/>
      <c r="E305" s="292"/>
      <c r="F305" s="292"/>
      <c r="G305" s="292"/>
      <c r="H305" s="292"/>
      <c r="I305" s="292"/>
      <c r="J305" s="293"/>
      <c r="K305" s="48"/>
      <c r="L305" s="88"/>
      <c r="M305" s="88"/>
      <c r="N305" s="88"/>
      <c r="O305" s="88"/>
      <c r="P305" s="64"/>
      <c r="Q305" s="51"/>
      <c r="S305" s="195" t="s">
        <v>335</v>
      </c>
      <c r="T305" s="195">
        <f>Q306/R306</f>
        <v>3.156347167770718</v>
      </c>
      <c r="U305" s="76"/>
      <c r="V305" s="26"/>
      <c r="W305" s="26"/>
      <c r="X305" s="26"/>
    </row>
    <row r="306" spans="1:24" x14ac:dyDescent="0.2">
      <c r="B306" s="47"/>
      <c r="C306" s="67">
        <v>2</v>
      </c>
      <c r="D306" s="68">
        <v>2</v>
      </c>
      <c r="E306" s="68">
        <f>D306/C306</f>
        <v>1</v>
      </c>
      <c r="F306" s="68">
        <v>0</v>
      </c>
      <c r="G306" s="68"/>
      <c r="H306" s="69"/>
      <c r="I306" s="68">
        <v>2.0419999999999998</v>
      </c>
      <c r="J306" s="70">
        <f>(2.959+4.438)/2</f>
        <v>3.6985000000000001</v>
      </c>
      <c r="K306" s="85">
        <f>I306/(0.2*J306)</f>
        <v>2.7605786129511962</v>
      </c>
      <c r="L306" s="89">
        <f>E306</f>
        <v>1</v>
      </c>
      <c r="M306" s="90">
        <f>F306</f>
        <v>0</v>
      </c>
      <c r="N306" s="90">
        <f>I306</f>
        <v>2.0419999999999998</v>
      </c>
      <c r="O306" s="90">
        <f>J306</f>
        <v>3.6985000000000001</v>
      </c>
      <c r="P306" s="83">
        <f>3*((D306*SQRT(1+F306))/(C306))*(1+2*N306/O306)</f>
        <v>6.312694335541436</v>
      </c>
      <c r="Q306" s="56">
        <f>P306</f>
        <v>6.312694335541436</v>
      </c>
      <c r="R306" s="22">
        <v>2</v>
      </c>
      <c r="S306" s="27" t="s">
        <v>194</v>
      </c>
      <c r="T306" s="27">
        <f>Q306/R306</f>
        <v>3.156347167770718</v>
      </c>
      <c r="U306" s="27">
        <f>T306+T305</f>
        <v>6.312694335541436</v>
      </c>
      <c r="V306" s="26"/>
      <c r="W306" s="26"/>
      <c r="X306" s="26"/>
    </row>
    <row r="307" spans="1:24" x14ac:dyDescent="0.2">
      <c r="B307" s="47" t="s">
        <v>10</v>
      </c>
      <c r="C307" s="305" t="s">
        <v>104</v>
      </c>
      <c r="D307" s="289"/>
      <c r="E307" s="289"/>
      <c r="F307" s="289"/>
      <c r="G307" s="289"/>
      <c r="H307" s="289"/>
      <c r="I307" s="289"/>
      <c r="J307" s="290"/>
      <c r="K307" s="48"/>
      <c r="L307" s="88"/>
      <c r="M307" s="88"/>
      <c r="N307" s="88"/>
      <c r="O307" s="88"/>
      <c r="P307" s="64"/>
      <c r="Q307" s="51"/>
      <c r="S307" s="25"/>
      <c r="T307" s="25"/>
      <c r="U307" s="25"/>
      <c r="V307" s="26"/>
      <c r="W307" s="26"/>
      <c r="X307" s="26"/>
    </row>
    <row r="308" spans="1:24" x14ac:dyDescent="0.2">
      <c r="B308" s="47" t="s">
        <v>11</v>
      </c>
      <c r="C308" s="263"/>
      <c r="D308" s="264"/>
      <c r="E308" s="264"/>
      <c r="F308" s="264"/>
      <c r="G308" s="264"/>
      <c r="H308" s="264"/>
      <c r="I308" s="264"/>
      <c r="J308" s="265"/>
      <c r="K308" s="48"/>
      <c r="L308" s="88"/>
      <c r="M308" s="88"/>
      <c r="N308" s="88"/>
      <c r="O308" s="88"/>
      <c r="P308" s="64"/>
      <c r="Q308" s="51"/>
      <c r="S308" s="25"/>
      <c r="T308" s="25"/>
      <c r="U308" s="25"/>
      <c r="V308" s="26"/>
      <c r="W308" s="26"/>
      <c r="X308" s="26"/>
    </row>
    <row r="309" spans="1:24" x14ac:dyDescent="0.2">
      <c r="B309" s="47"/>
      <c r="C309" s="125"/>
      <c r="D309" s="126"/>
      <c r="E309" s="126"/>
      <c r="F309" s="126"/>
      <c r="G309" s="126"/>
      <c r="H309" s="126"/>
      <c r="I309" s="126"/>
      <c r="J309" s="126"/>
      <c r="K309" s="48"/>
      <c r="L309" s="88"/>
      <c r="M309" s="88"/>
      <c r="N309" s="88"/>
      <c r="O309" s="88"/>
      <c r="P309" s="64"/>
      <c r="Q309" s="51"/>
      <c r="S309" s="25"/>
      <c r="T309" s="25"/>
      <c r="U309" s="25"/>
      <c r="V309" s="26"/>
      <c r="W309" s="26"/>
      <c r="X309" s="26"/>
    </row>
    <row r="310" spans="1:24" x14ac:dyDescent="0.2">
      <c r="B310" s="91"/>
      <c r="C310" s="92"/>
      <c r="D310" s="93"/>
      <c r="E310" s="93"/>
      <c r="F310" s="93"/>
      <c r="G310" s="93"/>
      <c r="H310" s="93"/>
      <c r="I310" s="93"/>
      <c r="J310" s="93"/>
      <c r="K310" s="48"/>
      <c r="L310" s="88"/>
      <c r="M310" s="88"/>
      <c r="N310" s="88"/>
      <c r="O310" s="88"/>
      <c r="P310" s="64"/>
      <c r="Q310" s="51"/>
      <c r="S310" s="25"/>
      <c r="T310" s="25"/>
      <c r="U310" s="25"/>
      <c r="V310" s="26"/>
      <c r="W310" s="26"/>
      <c r="X310" s="26"/>
    </row>
    <row r="311" spans="1:24" ht="48.75" customHeight="1" x14ac:dyDescent="0.2">
      <c r="A311" s="37">
        <v>45</v>
      </c>
      <c r="B311" s="98" t="s">
        <v>8</v>
      </c>
      <c r="C311" s="285" t="s">
        <v>87</v>
      </c>
      <c r="D311" s="286"/>
      <c r="E311" s="286"/>
      <c r="F311" s="286"/>
      <c r="G311" s="286"/>
      <c r="H311" s="286"/>
      <c r="I311" s="286"/>
      <c r="J311" s="287"/>
      <c r="K311" s="48"/>
      <c r="L311" s="88"/>
      <c r="M311" s="88"/>
      <c r="N311" s="88"/>
      <c r="O311" s="88"/>
      <c r="P311" s="64"/>
      <c r="Q311" s="51"/>
      <c r="S311" s="25"/>
      <c r="T311" s="25"/>
      <c r="U311" s="25"/>
      <c r="V311" s="26"/>
      <c r="W311" s="26"/>
      <c r="X311" s="26"/>
    </row>
    <row r="312" spans="1:24" ht="22.5" x14ac:dyDescent="0.2">
      <c r="B312" s="98" t="s">
        <v>9</v>
      </c>
      <c r="C312" s="294" t="s">
        <v>168</v>
      </c>
      <c r="D312" s="295"/>
      <c r="E312" s="295"/>
      <c r="F312" s="295"/>
      <c r="G312" s="295"/>
      <c r="H312" s="295"/>
      <c r="I312" s="295"/>
      <c r="J312" s="296"/>
      <c r="K312" s="48"/>
      <c r="L312" s="88"/>
      <c r="M312" s="88"/>
      <c r="N312" s="88"/>
      <c r="O312" s="88"/>
      <c r="P312" s="64"/>
      <c r="Q312" s="51"/>
      <c r="S312" s="28" t="s">
        <v>359</v>
      </c>
      <c r="T312" s="28">
        <f>Q313/R313</f>
        <v>2.0316508644729501</v>
      </c>
      <c r="U312" s="25"/>
      <c r="V312" s="26"/>
      <c r="W312" s="26"/>
      <c r="X312" s="26"/>
    </row>
    <row r="313" spans="1:24" x14ac:dyDescent="0.2">
      <c r="B313" s="98"/>
      <c r="C313" s="108">
        <v>4</v>
      </c>
      <c r="D313" s="68">
        <v>4</v>
      </c>
      <c r="E313" s="68">
        <f>D313/C313</f>
        <v>1</v>
      </c>
      <c r="F313" s="68">
        <v>0</v>
      </c>
      <c r="G313" s="68"/>
      <c r="H313" s="69"/>
      <c r="I313" s="56">
        <v>1.532</v>
      </c>
      <c r="J313" s="123">
        <v>1.7929999999999999</v>
      </c>
      <c r="K313" s="85">
        <f>I313/(0.2*J313)</f>
        <v>4.2721695482431672</v>
      </c>
      <c r="L313" s="89">
        <f>E313</f>
        <v>1</v>
      </c>
      <c r="M313" s="90">
        <f>F313</f>
        <v>0</v>
      </c>
      <c r="N313" s="90">
        <f>I313</f>
        <v>1.532</v>
      </c>
      <c r="O313" s="90">
        <f>J313</f>
        <v>1.7929999999999999</v>
      </c>
      <c r="P313" s="83">
        <f>3*((D313*SQRT(1+F313))/(C313))*(1+2*N313/O313)</f>
        <v>8.1266034578918003</v>
      </c>
      <c r="Q313" s="56">
        <f>P313</f>
        <v>8.1266034578918003</v>
      </c>
      <c r="R313" s="22">
        <v>4</v>
      </c>
      <c r="S313" s="27" t="s">
        <v>222</v>
      </c>
      <c r="T313" s="27">
        <f>Q313/R313</f>
        <v>2.0316508644729501</v>
      </c>
      <c r="U313" s="27">
        <f>T313</f>
        <v>2.0316508644729501</v>
      </c>
      <c r="V313" s="26"/>
      <c r="W313" s="26"/>
      <c r="X313" s="26"/>
    </row>
    <row r="314" spans="1:24" x14ac:dyDescent="0.2">
      <c r="B314" s="98" t="s">
        <v>10</v>
      </c>
      <c r="C314" s="288" t="s">
        <v>169</v>
      </c>
      <c r="D314" s="289"/>
      <c r="E314" s="289"/>
      <c r="F314" s="289"/>
      <c r="G314" s="289"/>
      <c r="H314" s="289"/>
      <c r="I314" s="289"/>
      <c r="J314" s="290"/>
      <c r="K314" s="48"/>
      <c r="L314" s="88"/>
      <c r="M314" s="88"/>
      <c r="N314" s="88"/>
      <c r="O314" s="88"/>
      <c r="P314" s="64"/>
      <c r="Q314" s="51"/>
      <c r="S314" s="27" t="s">
        <v>29</v>
      </c>
      <c r="T314" s="27">
        <f>Q313/R313</f>
        <v>2.0316508644729501</v>
      </c>
      <c r="U314" s="27">
        <f>T314</f>
        <v>2.0316508644729501</v>
      </c>
      <c r="V314" s="26"/>
      <c r="W314" s="26"/>
      <c r="X314" s="26"/>
    </row>
    <row r="315" spans="1:24" x14ac:dyDescent="0.2">
      <c r="B315" s="47" t="s">
        <v>11</v>
      </c>
      <c r="C315" s="138"/>
      <c r="D315" s="128"/>
      <c r="E315" s="128"/>
      <c r="F315" s="128"/>
      <c r="G315" s="128"/>
      <c r="H315" s="128"/>
      <c r="I315" s="128"/>
      <c r="J315" s="128"/>
      <c r="K315" s="48"/>
      <c r="L315" s="88"/>
      <c r="M315" s="88"/>
      <c r="N315" s="88"/>
      <c r="O315" s="88"/>
      <c r="P315" s="64"/>
      <c r="Q315" s="51"/>
      <c r="S315" s="27" t="s">
        <v>20</v>
      </c>
      <c r="T315" s="27">
        <f>Q313/R313</f>
        <v>2.0316508644729501</v>
      </c>
      <c r="U315" s="27">
        <f>T315+T312</f>
        <v>4.0633017289459001</v>
      </c>
      <c r="V315" s="26"/>
      <c r="W315" s="26"/>
      <c r="X315" s="26"/>
    </row>
    <row r="316" spans="1:24" x14ac:dyDescent="0.2">
      <c r="B316" s="98"/>
      <c r="C316" s="138"/>
      <c r="D316" s="128"/>
      <c r="E316" s="128"/>
      <c r="F316" s="128"/>
      <c r="G316" s="128"/>
      <c r="H316" s="128"/>
      <c r="I316" s="128"/>
      <c r="J316" s="128"/>
      <c r="K316" s="48"/>
      <c r="L316" s="88"/>
      <c r="M316" s="88"/>
      <c r="N316" s="88"/>
      <c r="O316" s="88"/>
      <c r="P316" s="64"/>
      <c r="Q316" s="51"/>
      <c r="S316" s="25"/>
      <c r="T316" s="25"/>
      <c r="U316" s="25"/>
      <c r="V316" s="26"/>
      <c r="W316" s="26"/>
      <c r="X316" s="26"/>
    </row>
    <row r="317" spans="1:24" x14ac:dyDescent="0.2">
      <c r="B317" s="92"/>
      <c r="C317" s="113"/>
      <c r="D317" s="114"/>
      <c r="E317" s="114"/>
      <c r="F317" s="114"/>
      <c r="G317" s="114"/>
      <c r="H317" s="114"/>
      <c r="I317" s="114"/>
      <c r="J317" s="114"/>
      <c r="K317" s="48"/>
      <c r="L317" s="88"/>
      <c r="M317" s="88"/>
      <c r="N317" s="88"/>
      <c r="O317" s="88"/>
      <c r="P317" s="64"/>
      <c r="Q317" s="51"/>
      <c r="S317" s="25"/>
      <c r="T317" s="25"/>
      <c r="U317" s="25"/>
      <c r="V317" s="26"/>
      <c r="W317" s="26"/>
      <c r="X317" s="26"/>
    </row>
    <row r="318" spans="1:24" ht="46.9" customHeight="1" x14ac:dyDescent="0.2">
      <c r="A318" s="37">
        <v>46</v>
      </c>
      <c r="B318" s="98" t="s">
        <v>8</v>
      </c>
      <c r="C318" s="269" t="s">
        <v>88</v>
      </c>
      <c r="D318" s="270"/>
      <c r="E318" s="270"/>
      <c r="F318" s="270"/>
      <c r="G318" s="270"/>
      <c r="H318" s="270"/>
      <c r="I318" s="270"/>
      <c r="J318" s="271"/>
      <c r="K318" s="48"/>
      <c r="L318" s="88"/>
      <c r="M318" s="88"/>
      <c r="N318" s="88"/>
      <c r="O318" s="88"/>
      <c r="P318" s="64"/>
      <c r="Q318" s="51"/>
      <c r="S318" s="25"/>
      <c r="T318" s="25"/>
      <c r="U318" s="25"/>
      <c r="V318" s="26"/>
      <c r="W318" s="26"/>
      <c r="X318" s="26"/>
    </row>
    <row r="319" spans="1:24" ht="22.5" x14ac:dyDescent="0.2">
      <c r="B319" s="98" t="s">
        <v>9</v>
      </c>
      <c r="C319" s="291" t="s">
        <v>232</v>
      </c>
      <c r="D319" s="292"/>
      <c r="E319" s="292"/>
      <c r="F319" s="292"/>
      <c r="G319" s="292"/>
      <c r="H319" s="292"/>
      <c r="I319" s="292"/>
      <c r="J319" s="293"/>
      <c r="K319" s="48"/>
      <c r="L319" s="88"/>
      <c r="M319" s="88"/>
      <c r="N319" s="88"/>
      <c r="O319" s="88"/>
      <c r="P319" s="64"/>
      <c r="Q319" s="51"/>
      <c r="S319" s="25"/>
      <c r="T319" s="25"/>
      <c r="U319" s="25"/>
      <c r="V319" s="26"/>
      <c r="W319" s="26"/>
      <c r="X319" s="26"/>
    </row>
    <row r="320" spans="1:24" x14ac:dyDescent="0.2">
      <c r="B320" s="98"/>
      <c r="C320" s="108">
        <v>5</v>
      </c>
      <c r="D320" s="68">
        <v>2</v>
      </c>
      <c r="E320" s="154">
        <f>D320/C320</f>
        <v>0.4</v>
      </c>
      <c r="F320" s="118">
        <v>0</v>
      </c>
      <c r="G320" s="155"/>
      <c r="H320" s="69"/>
      <c r="I320" s="69">
        <v>1.784</v>
      </c>
      <c r="J320" s="125">
        <v>2.306</v>
      </c>
      <c r="K320" s="85">
        <f>I320/(0.2*J320)</f>
        <v>3.8681699913269729</v>
      </c>
      <c r="L320" s="89">
        <f>E320</f>
        <v>0.4</v>
      </c>
      <c r="M320" s="90">
        <f>F320</f>
        <v>0</v>
      </c>
      <c r="N320" s="90">
        <f>I320</f>
        <v>1.784</v>
      </c>
      <c r="O320" s="90">
        <f>J320</f>
        <v>2.306</v>
      </c>
      <c r="P320" s="83">
        <f>3*((D320*SQRT(1+F320))/(C320))*(1+2*N320/O320)</f>
        <v>3.0567215958369474</v>
      </c>
      <c r="Q320" s="56">
        <f>P320</f>
        <v>3.0567215958369474</v>
      </c>
      <c r="R320" s="22">
        <v>2</v>
      </c>
      <c r="S320" s="28" t="s">
        <v>334</v>
      </c>
      <c r="T320" s="28">
        <f>Q320/R320</f>
        <v>1.5283607979184737</v>
      </c>
      <c r="U320" s="25"/>
      <c r="V320" s="26"/>
      <c r="W320" s="26"/>
      <c r="X320" s="26"/>
    </row>
    <row r="321" spans="1:24" x14ac:dyDescent="0.2">
      <c r="B321" s="98" t="s">
        <v>10</v>
      </c>
      <c r="C321" s="288" t="s">
        <v>170</v>
      </c>
      <c r="D321" s="289"/>
      <c r="E321" s="289"/>
      <c r="F321" s="289"/>
      <c r="G321" s="289"/>
      <c r="H321" s="289"/>
      <c r="I321" s="289"/>
      <c r="J321" s="290"/>
      <c r="K321" s="48"/>
      <c r="L321" s="88"/>
      <c r="M321" s="88"/>
      <c r="N321" s="88"/>
      <c r="O321" s="88"/>
      <c r="P321" s="64"/>
      <c r="Q321" s="51"/>
      <c r="S321" s="27" t="s">
        <v>20</v>
      </c>
      <c r="T321" s="27">
        <f>Q320/R320</f>
        <v>1.5283607979184737</v>
      </c>
      <c r="U321" s="27">
        <f>T321+T320</f>
        <v>3.0567215958369474</v>
      </c>
      <c r="V321" s="26"/>
      <c r="W321" s="26"/>
      <c r="X321" s="26"/>
    </row>
    <row r="322" spans="1:24" x14ac:dyDescent="0.2">
      <c r="B322" s="98" t="s">
        <v>11</v>
      </c>
      <c r="C322" s="133"/>
      <c r="D322" s="126"/>
      <c r="E322" s="126"/>
      <c r="F322" s="126"/>
      <c r="G322" s="126"/>
      <c r="H322" s="126"/>
      <c r="I322" s="126"/>
      <c r="J322" s="126"/>
      <c r="K322" s="48"/>
      <c r="L322" s="88"/>
      <c r="M322" s="88"/>
      <c r="N322" s="88"/>
      <c r="O322" s="88"/>
      <c r="P322" s="64"/>
      <c r="Q322" s="51"/>
      <c r="S322" s="25"/>
      <c r="T322" s="25"/>
      <c r="U322" s="25"/>
      <c r="V322" s="26"/>
      <c r="W322" s="26"/>
      <c r="X322" s="26"/>
    </row>
    <row r="323" spans="1:24" x14ac:dyDescent="0.2">
      <c r="B323" s="98"/>
      <c r="C323" s="133"/>
      <c r="D323" s="126"/>
      <c r="E323" s="126"/>
      <c r="F323" s="126"/>
      <c r="G323" s="126"/>
      <c r="H323" s="126"/>
      <c r="I323" s="126"/>
      <c r="J323" s="126"/>
      <c r="K323" s="48"/>
      <c r="L323" s="88"/>
      <c r="M323" s="88"/>
      <c r="N323" s="88"/>
      <c r="O323" s="88"/>
      <c r="P323" s="64"/>
      <c r="Q323" s="51"/>
      <c r="T323" s="25"/>
      <c r="U323" s="25"/>
      <c r="V323" s="26"/>
      <c r="W323" s="26"/>
      <c r="X323" s="26"/>
    </row>
    <row r="324" spans="1:24" x14ac:dyDescent="0.2">
      <c r="B324" s="92"/>
      <c r="C324" s="115"/>
      <c r="D324" s="93"/>
      <c r="E324" s="93"/>
      <c r="F324" s="93"/>
      <c r="G324" s="93"/>
      <c r="H324" s="93"/>
      <c r="I324" s="93"/>
      <c r="J324" s="93"/>
      <c r="K324" s="48"/>
      <c r="L324" s="88"/>
      <c r="M324" s="88"/>
      <c r="N324" s="88"/>
      <c r="O324" s="88"/>
      <c r="P324" s="64"/>
      <c r="Q324" s="51"/>
      <c r="S324" s="25"/>
      <c r="T324" s="25"/>
      <c r="U324" s="25"/>
      <c r="V324" s="26"/>
      <c r="W324" s="26"/>
      <c r="X324" s="26"/>
    </row>
    <row r="325" spans="1:24" ht="36" customHeight="1" x14ac:dyDescent="0.2">
      <c r="A325" s="37">
        <v>47</v>
      </c>
      <c r="B325" s="98" t="s">
        <v>8</v>
      </c>
      <c r="C325" s="272" t="s">
        <v>89</v>
      </c>
      <c r="D325" s="264"/>
      <c r="E325" s="264"/>
      <c r="F325" s="264"/>
      <c r="G325" s="264"/>
      <c r="H325" s="264"/>
      <c r="I325" s="264"/>
      <c r="J325" s="265"/>
      <c r="K325" s="48"/>
      <c r="L325" s="88"/>
      <c r="M325" s="88"/>
      <c r="N325" s="88"/>
      <c r="O325" s="88"/>
      <c r="P325" s="64"/>
      <c r="Q325" s="51"/>
      <c r="S325" s="25"/>
      <c r="T325" s="25"/>
      <c r="U325" s="25"/>
      <c r="V325" s="26"/>
      <c r="W325" s="26"/>
      <c r="X325" s="26"/>
    </row>
    <row r="326" spans="1:24" ht="22.5" x14ac:dyDescent="0.2">
      <c r="B326" s="98" t="s">
        <v>9</v>
      </c>
      <c r="C326" s="273" t="s">
        <v>20</v>
      </c>
      <c r="D326" s="274"/>
      <c r="E326" s="274"/>
      <c r="F326" s="274"/>
      <c r="G326" s="274"/>
      <c r="H326" s="274"/>
      <c r="I326" s="274"/>
      <c r="J326" s="275"/>
      <c r="K326" s="48"/>
      <c r="L326" s="88"/>
      <c r="M326" s="88"/>
      <c r="N326" s="88"/>
      <c r="O326" s="88"/>
      <c r="P326" s="64"/>
      <c r="Q326" s="51"/>
      <c r="S326" s="25"/>
      <c r="T326" s="25"/>
      <c r="U326" s="25"/>
      <c r="V326" s="26"/>
      <c r="W326" s="26"/>
      <c r="X326" s="26"/>
    </row>
    <row r="327" spans="1:24" x14ac:dyDescent="0.2">
      <c r="B327" s="98"/>
      <c r="C327" s="116">
        <v>3</v>
      </c>
      <c r="D327" s="116">
        <v>1</v>
      </c>
      <c r="E327" s="116">
        <f>D327/C327</f>
        <v>0.33333333333333331</v>
      </c>
      <c r="F327" s="116">
        <v>0</v>
      </c>
      <c r="G327" s="116"/>
      <c r="H327" s="116"/>
      <c r="I327" s="116">
        <v>4.7720000000000002</v>
      </c>
      <c r="J327" s="130">
        <f>(4.438+5.31+3.673)/3</f>
        <v>4.4736666666666665</v>
      </c>
      <c r="K327" s="85">
        <f>I327/(0.2*J327)</f>
        <v>5.3334326801281575</v>
      </c>
      <c r="L327" s="117">
        <f>E327</f>
        <v>0.33333333333333331</v>
      </c>
      <c r="M327" s="117">
        <f>F327</f>
        <v>0</v>
      </c>
      <c r="N327" s="117">
        <f>I327</f>
        <v>4.7720000000000002</v>
      </c>
      <c r="O327" s="117">
        <f>J327</f>
        <v>4.4736666666666665</v>
      </c>
      <c r="P327" s="83">
        <f>3*((D327*SQRT(1+F327))/(C327))*(1+2*N327/O327)</f>
        <v>3.1333730720512634</v>
      </c>
      <c r="Q327" s="118">
        <f>P327</f>
        <v>3.1333730720512634</v>
      </c>
      <c r="R327" s="25">
        <v>1</v>
      </c>
      <c r="S327" s="27" t="s">
        <v>223</v>
      </c>
      <c r="T327" s="27">
        <f>Q327/R327</f>
        <v>3.1333730720512634</v>
      </c>
      <c r="U327" s="27">
        <f>T327</f>
        <v>3.1333730720512634</v>
      </c>
      <c r="V327" s="26"/>
      <c r="W327" s="26"/>
      <c r="X327" s="26"/>
    </row>
    <row r="328" spans="1:24" x14ac:dyDescent="0.2">
      <c r="B328" s="98" t="s">
        <v>10</v>
      </c>
      <c r="C328" s="132" t="s">
        <v>171</v>
      </c>
      <c r="D328" s="129"/>
      <c r="E328" s="129"/>
      <c r="F328" s="129"/>
      <c r="G328" s="129"/>
      <c r="H328" s="129"/>
      <c r="I328" s="129"/>
      <c r="J328" s="129"/>
      <c r="K328" s="48"/>
      <c r="L328" s="88"/>
      <c r="M328" s="88"/>
      <c r="N328" s="88"/>
      <c r="O328" s="88"/>
      <c r="P328" s="64"/>
      <c r="Q328" s="51"/>
      <c r="S328" s="25"/>
      <c r="T328" s="25"/>
      <c r="U328" s="25"/>
      <c r="V328" s="26"/>
      <c r="W328" s="26"/>
      <c r="X328" s="26"/>
    </row>
    <row r="329" spans="1:24" x14ac:dyDescent="0.2">
      <c r="B329" s="98" t="s">
        <v>11</v>
      </c>
      <c r="C329" s="133"/>
      <c r="D329" s="126"/>
      <c r="E329" s="126"/>
      <c r="F329" s="126"/>
      <c r="G329" s="126"/>
      <c r="H329" s="126"/>
      <c r="I329" s="126"/>
      <c r="J329" s="126"/>
      <c r="K329" s="48"/>
      <c r="L329" s="88"/>
      <c r="M329" s="88"/>
      <c r="N329" s="88"/>
      <c r="O329" s="88"/>
      <c r="P329" s="64"/>
      <c r="Q329" s="51"/>
      <c r="S329" s="25"/>
      <c r="T329" s="25"/>
      <c r="U329" s="25"/>
      <c r="V329" s="26"/>
      <c r="W329" s="26"/>
      <c r="X329" s="26"/>
    </row>
    <row r="330" spans="1:24" x14ac:dyDescent="0.2">
      <c r="B330" s="98"/>
      <c r="C330" s="138"/>
      <c r="D330" s="128"/>
      <c r="E330" s="128"/>
      <c r="F330" s="128"/>
      <c r="G330" s="128"/>
      <c r="H330" s="128"/>
      <c r="I330" s="128"/>
      <c r="J330" s="128"/>
      <c r="K330" s="48"/>
      <c r="L330" s="88"/>
      <c r="M330" s="88"/>
      <c r="N330" s="88"/>
      <c r="O330" s="88"/>
      <c r="P330" s="64"/>
      <c r="Q330" s="51"/>
      <c r="S330" s="25"/>
      <c r="T330" s="25"/>
      <c r="U330" s="25"/>
      <c r="V330" s="26"/>
      <c r="W330" s="26"/>
      <c r="X330" s="26"/>
    </row>
    <row r="331" spans="1:24" x14ac:dyDescent="0.2">
      <c r="B331" s="92"/>
      <c r="C331" s="100"/>
      <c r="D331" s="101"/>
      <c r="E331" s="101"/>
      <c r="F331" s="101"/>
      <c r="G331" s="101"/>
      <c r="H331" s="101"/>
      <c r="I331" s="101"/>
      <c r="J331" s="101"/>
      <c r="K331" s="48"/>
      <c r="L331" s="88"/>
      <c r="M331" s="88"/>
      <c r="N331" s="88"/>
      <c r="O331" s="88"/>
      <c r="P331" s="64"/>
      <c r="Q331" s="51"/>
      <c r="S331" s="25"/>
      <c r="T331" s="25"/>
      <c r="U331" s="25"/>
      <c r="V331" s="26"/>
      <c r="W331" s="26"/>
      <c r="X331" s="26"/>
    </row>
    <row r="332" spans="1:24" ht="33.75" x14ac:dyDescent="0.2">
      <c r="A332" s="37">
        <v>48</v>
      </c>
      <c r="B332" s="98" t="s">
        <v>8</v>
      </c>
      <c r="C332" s="266" t="s">
        <v>90</v>
      </c>
      <c r="D332" s="267"/>
      <c r="E332" s="267"/>
      <c r="F332" s="267"/>
      <c r="G332" s="267"/>
      <c r="H332" s="267"/>
      <c r="I332" s="267"/>
      <c r="J332" s="268"/>
      <c r="K332" s="48"/>
      <c r="L332" s="88"/>
      <c r="M332" s="88"/>
      <c r="N332" s="88"/>
      <c r="O332" s="88"/>
      <c r="P332" s="64"/>
      <c r="Q332" s="51"/>
      <c r="S332" s="25"/>
      <c r="T332" s="25"/>
      <c r="U332" s="25"/>
      <c r="V332" s="26"/>
      <c r="W332" s="26"/>
      <c r="X332" s="26"/>
    </row>
    <row r="333" spans="1:24" ht="22.5" x14ac:dyDescent="0.2">
      <c r="A333" s="46"/>
      <c r="B333" s="98" t="s">
        <v>9</v>
      </c>
      <c r="C333" s="266" t="s">
        <v>172</v>
      </c>
      <c r="D333" s="267"/>
      <c r="E333" s="267"/>
      <c r="F333" s="267"/>
      <c r="G333" s="267"/>
      <c r="H333" s="267"/>
      <c r="I333" s="267"/>
      <c r="J333" s="268"/>
      <c r="K333" s="48"/>
      <c r="L333" s="88"/>
      <c r="M333" s="88"/>
      <c r="N333" s="88"/>
      <c r="O333" s="88"/>
      <c r="P333" s="64"/>
      <c r="Q333" s="51"/>
      <c r="S333" s="28" t="s">
        <v>309</v>
      </c>
      <c r="T333" s="28">
        <f>Q334/R334</f>
        <v>0.67205948625506984</v>
      </c>
      <c r="U333" s="25"/>
      <c r="V333" s="26"/>
      <c r="W333" s="26"/>
      <c r="X333" s="26"/>
    </row>
    <row r="334" spans="1:24" x14ac:dyDescent="0.2">
      <c r="B334" s="98"/>
      <c r="C334" s="116">
        <v>8</v>
      </c>
      <c r="D334" s="116">
        <v>4</v>
      </c>
      <c r="E334" s="116">
        <f>D334/C334</f>
        <v>0.5</v>
      </c>
      <c r="F334" s="116">
        <v>0</v>
      </c>
      <c r="G334" s="116"/>
      <c r="H334" s="116"/>
      <c r="I334" s="116">
        <v>2.7519999999999998</v>
      </c>
      <c r="J334" s="130">
        <v>4.4379999999999997</v>
      </c>
      <c r="K334" s="85">
        <f>I334/(0.2*J334)</f>
        <v>3.1004957187922488</v>
      </c>
      <c r="L334" s="117">
        <f>E334</f>
        <v>0.5</v>
      </c>
      <c r="M334" s="117">
        <f>F334</f>
        <v>0</v>
      </c>
      <c r="N334" s="117">
        <f>I334</f>
        <v>2.7519999999999998</v>
      </c>
      <c r="O334" s="117">
        <f>J334</f>
        <v>4.4379999999999997</v>
      </c>
      <c r="P334" s="83">
        <f>3*((D334*SQRT(1+F334))/(C334))*(1+2*N334/O334)</f>
        <v>3.3602974312753493</v>
      </c>
      <c r="Q334" s="118">
        <f>P334</f>
        <v>3.3602974312753493</v>
      </c>
      <c r="R334" s="25">
        <v>5</v>
      </c>
      <c r="S334" s="28" t="s">
        <v>305</v>
      </c>
      <c r="T334" s="28">
        <f>Q334/R334</f>
        <v>0.67205948625506984</v>
      </c>
      <c r="U334" s="25"/>
      <c r="V334" s="26"/>
      <c r="W334" s="26"/>
      <c r="X334" s="26"/>
    </row>
    <row r="335" spans="1:24" x14ac:dyDescent="0.2">
      <c r="B335" s="98" t="s">
        <v>10</v>
      </c>
      <c r="C335" s="132" t="s">
        <v>116</v>
      </c>
      <c r="D335" s="129"/>
      <c r="E335" s="129"/>
      <c r="F335" s="129"/>
      <c r="G335" s="129"/>
      <c r="H335" s="129"/>
      <c r="I335" s="129"/>
      <c r="J335" s="129"/>
      <c r="K335" s="48"/>
      <c r="L335" s="88"/>
      <c r="M335" s="88"/>
      <c r="N335" s="88"/>
      <c r="O335" s="88"/>
      <c r="P335" s="64"/>
      <c r="Q335" s="51"/>
      <c r="S335" s="27" t="s">
        <v>186</v>
      </c>
      <c r="T335" s="27">
        <f>Q334/R334</f>
        <v>0.67205948625506984</v>
      </c>
      <c r="U335" s="27">
        <f>T335</f>
        <v>0.67205948625506984</v>
      </c>
      <c r="V335" s="26"/>
      <c r="W335" s="26"/>
      <c r="X335" s="26"/>
    </row>
    <row r="336" spans="1:24" x14ac:dyDescent="0.2">
      <c r="B336" s="98" t="s">
        <v>11</v>
      </c>
      <c r="C336" s="133"/>
      <c r="D336" s="126"/>
      <c r="E336" s="126"/>
      <c r="F336" s="126"/>
      <c r="G336" s="126"/>
      <c r="H336" s="126"/>
      <c r="I336" s="126"/>
      <c r="J336" s="126"/>
      <c r="K336" s="48"/>
      <c r="L336" s="88"/>
      <c r="M336" s="88"/>
      <c r="N336" s="88"/>
      <c r="O336" s="88"/>
      <c r="P336" s="64"/>
      <c r="Q336" s="51"/>
      <c r="S336" s="27" t="s">
        <v>191</v>
      </c>
      <c r="T336" s="27">
        <f>Q334/R334</f>
        <v>0.67205948625506984</v>
      </c>
      <c r="U336" s="27">
        <f>T336</f>
        <v>0.67205948625506984</v>
      </c>
      <c r="V336" s="26"/>
      <c r="W336" s="26"/>
      <c r="X336" s="26"/>
    </row>
    <row r="337" spans="1:28" x14ac:dyDescent="0.2">
      <c r="B337" s="98"/>
      <c r="C337" s="134"/>
      <c r="D337" s="135"/>
      <c r="E337" s="135"/>
      <c r="F337" s="135"/>
      <c r="G337" s="135"/>
      <c r="H337" s="135"/>
      <c r="I337" s="135"/>
      <c r="J337" s="135"/>
      <c r="K337" s="48"/>
      <c r="L337" s="88"/>
      <c r="M337" s="88"/>
      <c r="N337" s="88"/>
      <c r="O337" s="88"/>
      <c r="P337" s="64"/>
      <c r="Q337" s="51"/>
      <c r="S337" s="27" t="s">
        <v>15</v>
      </c>
      <c r="T337" s="27">
        <f>Q334/R334</f>
        <v>0.67205948625506984</v>
      </c>
      <c r="U337" s="27">
        <f>T337+T334+T333</f>
        <v>2.0161784587652094</v>
      </c>
      <c r="V337" s="26"/>
      <c r="W337" s="26"/>
      <c r="X337" s="26"/>
    </row>
    <row r="338" spans="1:28" x14ac:dyDescent="0.2">
      <c r="B338" s="92"/>
      <c r="C338" s="100"/>
      <c r="D338" s="101"/>
      <c r="E338" s="101"/>
      <c r="F338" s="101"/>
      <c r="G338" s="101"/>
      <c r="H338" s="101"/>
      <c r="I338" s="101"/>
      <c r="J338" s="119"/>
      <c r="K338" s="48"/>
      <c r="L338" s="88"/>
      <c r="M338" s="88"/>
      <c r="N338" s="88"/>
      <c r="O338" s="88"/>
      <c r="P338" s="64"/>
      <c r="Q338" s="51"/>
      <c r="S338" s="25"/>
      <c r="T338" s="25"/>
      <c r="U338" s="25"/>
      <c r="V338" s="26"/>
      <c r="W338" s="26"/>
      <c r="X338" s="26"/>
    </row>
    <row r="339" spans="1:28" s="26" customFormat="1" ht="33.75" x14ac:dyDescent="0.2">
      <c r="A339" s="46">
        <v>49</v>
      </c>
      <c r="B339" s="98" t="s">
        <v>8</v>
      </c>
      <c r="C339" s="297" t="s">
        <v>91</v>
      </c>
      <c r="D339" s="297"/>
      <c r="E339" s="297"/>
      <c r="F339" s="297"/>
      <c r="G339" s="297"/>
      <c r="H339" s="297"/>
      <c r="I339" s="297"/>
      <c r="J339" s="297"/>
      <c r="K339" s="95"/>
      <c r="L339" s="88"/>
      <c r="M339" s="88"/>
      <c r="N339" s="88"/>
      <c r="O339" s="88"/>
      <c r="P339" s="64"/>
      <c r="Q339" s="76"/>
      <c r="R339" s="25"/>
      <c r="S339" s="25"/>
      <c r="T339" s="25"/>
      <c r="U339" s="25"/>
    </row>
    <row r="340" spans="1:28" s="26" customFormat="1" ht="22.5" x14ac:dyDescent="0.2">
      <c r="A340" s="46"/>
      <c r="B340" s="98" t="s">
        <v>9</v>
      </c>
      <c r="C340" s="266" t="s">
        <v>173</v>
      </c>
      <c r="D340" s="267"/>
      <c r="E340" s="267"/>
      <c r="F340" s="267"/>
      <c r="G340" s="267"/>
      <c r="H340" s="267"/>
      <c r="I340" s="267"/>
      <c r="J340" s="268"/>
      <c r="K340" s="120"/>
      <c r="L340" s="88"/>
      <c r="M340" s="88"/>
      <c r="N340" s="88"/>
      <c r="O340" s="88"/>
      <c r="P340" s="64"/>
      <c r="Q340" s="76"/>
      <c r="R340" s="25"/>
      <c r="S340" s="28" t="s">
        <v>332</v>
      </c>
      <c r="T340" s="28">
        <f>Q341/R341</f>
        <v>2.8499493071983779</v>
      </c>
      <c r="U340" s="25"/>
    </row>
    <row r="341" spans="1:28" s="26" customFormat="1" x14ac:dyDescent="0.2">
      <c r="A341" s="46"/>
      <c r="B341" s="98"/>
      <c r="C341" s="116">
        <v>3</v>
      </c>
      <c r="D341" s="116">
        <v>3</v>
      </c>
      <c r="E341" s="116">
        <f>D341/C341</f>
        <v>1</v>
      </c>
      <c r="F341" s="116">
        <v>0</v>
      </c>
      <c r="G341" s="116"/>
      <c r="H341" s="116"/>
      <c r="I341" s="116">
        <v>2.7370000000000001</v>
      </c>
      <c r="J341" s="130">
        <v>2.9590000000000001</v>
      </c>
      <c r="K341" s="121">
        <f>I341/(0.2*J341)</f>
        <v>4.6248732679959446</v>
      </c>
      <c r="L341" s="117">
        <f>E341</f>
        <v>1</v>
      </c>
      <c r="M341" s="117">
        <f>F341</f>
        <v>0</v>
      </c>
      <c r="N341" s="117">
        <f>I341</f>
        <v>2.7370000000000001</v>
      </c>
      <c r="O341" s="117">
        <f>J341</f>
        <v>2.9590000000000001</v>
      </c>
      <c r="P341" s="83">
        <f>3*((D341*SQRT(1+F341))/(C341))*(1+2*N341/O341)</f>
        <v>8.5498479215951342</v>
      </c>
      <c r="Q341" s="122">
        <f>P341</f>
        <v>8.5498479215951342</v>
      </c>
      <c r="R341" s="25">
        <v>3</v>
      </c>
      <c r="S341" s="28" t="s">
        <v>333</v>
      </c>
      <c r="T341" s="28">
        <f>Q341/R341</f>
        <v>2.8499493071983779</v>
      </c>
      <c r="U341" s="25"/>
    </row>
    <row r="342" spans="1:28" s="26" customFormat="1" x14ac:dyDescent="0.2">
      <c r="A342" s="46"/>
      <c r="B342" s="98" t="s">
        <v>10</v>
      </c>
      <c r="C342" s="132" t="s">
        <v>174</v>
      </c>
      <c r="D342" s="129"/>
      <c r="E342" s="129"/>
      <c r="F342" s="129"/>
      <c r="G342" s="129"/>
      <c r="H342" s="129"/>
      <c r="I342" s="129"/>
      <c r="J342" s="137"/>
      <c r="K342" s="120"/>
      <c r="L342" s="88"/>
      <c r="M342" s="88"/>
      <c r="N342" s="88"/>
      <c r="O342" s="88"/>
      <c r="P342" s="64"/>
      <c r="Q342" s="76"/>
      <c r="R342" s="25"/>
      <c r="S342" s="27" t="s">
        <v>18</v>
      </c>
      <c r="T342" s="27">
        <f>Q341/R341</f>
        <v>2.8499493071983779</v>
      </c>
      <c r="U342" s="27">
        <f>T342+T341+T340</f>
        <v>8.5498479215951342</v>
      </c>
    </row>
    <row r="343" spans="1:28" s="26" customFormat="1" x14ac:dyDescent="0.2">
      <c r="A343" s="46"/>
      <c r="B343" s="98" t="s">
        <v>11</v>
      </c>
      <c r="C343" s="133"/>
      <c r="D343" s="126"/>
      <c r="E343" s="126"/>
      <c r="F343" s="126"/>
      <c r="G343" s="126"/>
      <c r="H343" s="126"/>
      <c r="I343" s="126"/>
      <c r="J343" s="127"/>
      <c r="K343" s="120"/>
      <c r="L343" s="88"/>
      <c r="M343" s="88"/>
      <c r="N343" s="88"/>
      <c r="O343" s="88"/>
      <c r="P343" s="64"/>
      <c r="Q343" s="76"/>
      <c r="R343" s="25"/>
      <c r="S343" s="25"/>
      <c r="T343" s="25"/>
      <c r="U343" s="25"/>
    </row>
    <row r="344" spans="1:28" s="26" customFormat="1" x14ac:dyDescent="0.2">
      <c r="A344" s="46"/>
      <c r="B344" s="98"/>
      <c r="C344" s="134"/>
      <c r="D344" s="135"/>
      <c r="E344" s="135"/>
      <c r="F344" s="135"/>
      <c r="G344" s="135"/>
      <c r="H344" s="135"/>
      <c r="I344" s="135"/>
      <c r="J344" s="136"/>
      <c r="K344" s="76"/>
      <c r="L344" s="88"/>
      <c r="M344" s="88"/>
      <c r="N344" s="88"/>
      <c r="O344" s="88"/>
      <c r="P344" s="64"/>
      <c r="Q344" s="76"/>
      <c r="R344" s="25"/>
      <c r="S344" s="25"/>
      <c r="T344" s="25"/>
      <c r="U344" s="25"/>
    </row>
    <row r="345" spans="1:28" s="26" customFormat="1" x14ac:dyDescent="0.2">
      <c r="A345" s="46"/>
      <c r="B345" s="92"/>
      <c r="C345" s="100"/>
      <c r="D345" s="101"/>
      <c r="E345" s="101"/>
      <c r="F345" s="101"/>
      <c r="G345" s="101"/>
      <c r="H345" s="101"/>
      <c r="I345" s="101"/>
      <c r="J345" s="119"/>
      <c r="K345" s="76"/>
      <c r="L345" s="88"/>
      <c r="M345" s="88"/>
      <c r="N345" s="88"/>
      <c r="O345" s="88"/>
      <c r="P345" s="64"/>
      <c r="Q345" s="76"/>
      <c r="R345" s="25"/>
      <c r="S345" s="36"/>
      <c r="T345" s="36"/>
      <c r="U345" s="36"/>
    </row>
    <row r="346" spans="1:28" ht="33.75" x14ac:dyDescent="0.2">
      <c r="A346" s="37">
        <v>50</v>
      </c>
      <c r="B346" s="98" t="s">
        <v>8</v>
      </c>
      <c r="C346" s="266" t="s">
        <v>235</v>
      </c>
      <c r="D346" s="267"/>
      <c r="E346" s="267"/>
      <c r="F346" s="267"/>
      <c r="G346" s="267"/>
      <c r="H346" s="267"/>
      <c r="I346" s="267"/>
      <c r="J346" s="268"/>
      <c r="K346" s="48"/>
      <c r="L346" s="88"/>
      <c r="M346" s="88"/>
      <c r="N346" s="88"/>
      <c r="O346" s="88"/>
      <c r="P346" s="64"/>
      <c r="Q346" s="51"/>
      <c r="S346" s="36"/>
      <c r="T346" s="25"/>
      <c r="U346" s="25"/>
      <c r="V346" s="26"/>
      <c r="W346" s="26"/>
      <c r="X346" s="26"/>
    </row>
    <row r="347" spans="1:28" ht="22.5" x14ac:dyDescent="0.2">
      <c r="A347" s="46"/>
      <c r="B347" s="98" t="s">
        <v>9</v>
      </c>
      <c r="C347" s="266" t="s">
        <v>233</v>
      </c>
      <c r="D347" s="267"/>
      <c r="E347" s="267"/>
      <c r="F347" s="267"/>
      <c r="G347" s="267"/>
      <c r="H347" s="267"/>
      <c r="I347" s="267"/>
      <c r="J347" s="268"/>
      <c r="K347" s="48"/>
      <c r="L347" s="88"/>
      <c r="M347" s="88"/>
      <c r="N347" s="88"/>
      <c r="O347" s="88"/>
      <c r="P347" s="64"/>
      <c r="Q347" s="51"/>
      <c r="S347" s="27" t="s">
        <v>204</v>
      </c>
      <c r="T347" s="27">
        <f>Q348/R348</f>
        <v>2.0889153813675088</v>
      </c>
      <c r="U347" s="27">
        <f>T347</f>
        <v>2.0889153813675088</v>
      </c>
      <c r="V347" s="26"/>
      <c r="W347" s="26"/>
      <c r="X347" s="26"/>
      <c r="Y347" s="26"/>
      <c r="Z347" s="26"/>
      <c r="AA347" s="26"/>
      <c r="AB347" s="26"/>
    </row>
    <row r="348" spans="1:28" x14ac:dyDescent="0.2">
      <c r="B348" s="98"/>
      <c r="C348" s="116">
        <v>9</v>
      </c>
      <c r="D348" s="116">
        <v>2</v>
      </c>
      <c r="E348" s="116">
        <f>D348/C348</f>
        <v>0.22222222222222221</v>
      </c>
      <c r="F348" s="116">
        <v>3</v>
      </c>
      <c r="G348" s="116"/>
      <c r="H348" s="116"/>
      <c r="I348" s="116">
        <v>4.7720000000000002</v>
      </c>
      <c r="J348" s="165">
        <f>(4.438+5.31+3.673)/3</f>
        <v>4.4736666666666665</v>
      </c>
      <c r="K348" s="85">
        <f>I348/(0.2*J348)</f>
        <v>5.3334326801281575</v>
      </c>
      <c r="L348" s="117">
        <f>E348</f>
        <v>0.22222222222222221</v>
      </c>
      <c r="M348" s="117">
        <f>F348</f>
        <v>3</v>
      </c>
      <c r="N348" s="117">
        <f>I348</f>
        <v>4.7720000000000002</v>
      </c>
      <c r="O348" s="117">
        <f>J348</f>
        <v>4.4736666666666665</v>
      </c>
      <c r="P348" s="83">
        <f>3*((D348*SQRT(1+F348))/(C348))*(1+2*N348/O348)</f>
        <v>4.1778307627350175</v>
      </c>
      <c r="Q348" s="118">
        <f>P348</f>
        <v>4.1778307627350175</v>
      </c>
      <c r="R348" s="25">
        <v>2</v>
      </c>
      <c r="S348" s="27" t="s">
        <v>193</v>
      </c>
      <c r="T348" s="27">
        <f>Q348/R348</f>
        <v>2.0889153813675088</v>
      </c>
      <c r="U348" s="198">
        <f>T348</f>
        <v>2.0889153813675088</v>
      </c>
      <c r="V348" s="26"/>
      <c r="W348" s="26"/>
      <c r="X348" s="26"/>
      <c r="Y348" s="26"/>
      <c r="Z348" s="26"/>
      <c r="AA348" s="26"/>
      <c r="AB348" s="26"/>
    </row>
    <row r="349" spans="1:28" x14ac:dyDescent="0.2">
      <c r="B349" s="98" t="s">
        <v>10</v>
      </c>
      <c r="C349" s="132" t="s">
        <v>171</v>
      </c>
      <c r="D349" s="129"/>
      <c r="E349" s="129"/>
      <c r="F349" s="129"/>
      <c r="G349" s="129"/>
      <c r="H349" s="129"/>
      <c r="I349" s="129"/>
      <c r="J349" s="129"/>
      <c r="K349" s="48"/>
      <c r="L349" s="88"/>
      <c r="M349" s="88"/>
      <c r="N349" s="88"/>
      <c r="O349" s="88"/>
      <c r="P349" s="64"/>
      <c r="Q349" s="51"/>
      <c r="S349" s="153"/>
      <c r="T349" s="25"/>
      <c r="U349" s="36"/>
      <c r="V349" s="26"/>
      <c r="W349" s="26"/>
      <c r="X349" s="26"/>
      <c r="Y349" s="26"/>
      <c r="Z349" s="26"/>
      <c r="AA349" s="26"/>
      <c r="AB349" s="26"/>
    </row>
    <row r="350" spans="1:28" x14ac:dyDescent="0.2">
      <c r="B350" s="98" t="s">
        <v>11</v>
      </c>
      <c r="C350" s="133"/>
      <c r="D350" s="126"/>
      <c r="E350" s="126"/>
      <c r="F350" s="126"/>
      <c r="G350" s="126"/>
      <c r="H350" s="126"/>
      <c r="I350" s="126"/>
      <c r="J350" s="126"/>
      <c r="K350" s="48"/>
      <c r="L350" s="88"/>
      <c r="M350" s="88"/>
      <c r="N350" s="88"/>
      <c r="O350" s="88"/>
      <c r="P350" s="64"/>
      <c r="Q350" s="51"/>
      <c r="S350" s="25"/>
      <c r="T350" s="25"/>
      <c r="U350" s="25"/>
      <c r="V350" s="26"/>
      <c r="W350" s="26"/>
      <c r="X350" s="26"/>
      <c r="Y350" s="26"/>
      <c r="Z350" s="26"/>
      <c r="AA350" s="26"/>
      <c r="AB350" s="26"/>
    </row>
    <row r="351" spans="1:28" x14ac:dyDescent="0.2">
      <c r="B351" s="98"/>
      <c r="C351" s="134"/>
      <c r="D351" s="135"/>
      <c r="E351" s="135"/>
      <c r="F351" s="135"/>
      <c r="G351" s="135"/>
      <c r="H351" s="135"/>
      <c r="I351" s="135"/>
      <c r="J351" s="135"/>
      <c r="K351" s="48"/>
      <c r="L351" s="88"/>
      <c r="M351" s="88"/>
      <c r="N351" s="88"/>
      <c r="O351" s="88"/>
      <c r="P351" s="64"/>
      <c r="Q351" s="51"/>
      <c r="S351" s="25"/>
      <c r="T351" s="25"/>
      <c r="U351" s="25"/>
      <c r="V351" s="26"/>
      <c r="W351" s="26"/>
      <c r="X351" s="26"/>
      <c r="Y351" s="26"/>
      <c r="Z351" s="26"/>
      <c r="AA351" s="26"/>
      <c r="AB351" s="26"/>
    </row>
    <row r="352" spans="1:28" x14ac:dyDescent="0.2">
      <c r="B352" s="92"/>
      <c r="C352" s="100"/>
      <c r="D352" s="101"/>
      <c r="E352" s="101"/>
      <c r="F352" s="101"/>
      <c r="G352" s="101"/>
      <c r="H352" s="101"/>
      <c r="I352" s="101"/>
      <c r="J352" s="119"/>
      <c r="K352" s="48"/>
      <c r="L352" s="88"/>
      <c r="M352" s="88"/>
      <c r="N352" s="88"/>
      <c r="O352" s="88"/>
      <c r="P352" s="64"/>
      <c r="Q352" s="51"/>
      <c r="S352" s="25"/>
      <c r="T352" s="25"/>
      <c r="U352" s="25"/>
      <c r="V352" s="26"/>
      <c r="W352" s="26"/>
      <c r="X352" s="26"/>
      <c r="Y352" s="26"/>
      <c r="Z352" s="26"/>
      <c r="AA352" s="26"/>
      <c r="AB352" s="26"/>
    </row>
    <row r="353" spans="1:28" ht="33.75" x14ac:dyDescent="0.2">
      <c r="A353" s="46">
        <v>51</v>
      </c>
      <c r="B353" s="98" t="s">
        <v>8</v>
      </c>
      <c r="C353" s="266" t="s">
        <v>175</v>
      </c>
      <c r="D353" s="267"/>
      <c r="E353" s="267"/>
      <c r="F353" s="267"/>
      <c r="G353" s="267"/>
      <c r="H353" s="267"/>
      <c r="I353" s="267"/>
      <c r="J353" s="268"/>
      <c r="K353" s="95"/>
      <c r="L353" s="88"/>
      <c r="M353" s="88"/>
      <c r="N353" s="88"/>
      <c r="O353" s="88"/>
      <c r="P353" s="64"/>
      <c r="Q353" s="76"/>
      <c r="S353" s="189" t="s">
        <v>15</v>
      </c>
      <c r="T353" s="27">
        <f>Q355/R355</f>
        <v>1.271273435346016</v>
      </c>
      <c r="U353" s="27">
        <f>T353+T354+T355</f>
        <v>3.813820306038048</v>
      </c>
      <c r="V353" s="26"/>
      <c r="W353" s="26"/>
      <c r="X353" s="26"/>
      <c r="Y353" s="26"/>
      <c r="Z353" s="26"/>
      <c r="AA353" s="26"/>
      <c r="AB353" s="26"/>
    </row>
    <row r="354" spans="1:28" ht="22.5" x14ac:dyDescent="0.2">
      <c r="A354" s="46"/>
      <c r="B354" s="98" t="s">
        <v>9</v>
      </c>
      <c r="C354" s="266" t="s">
        <v>234</v>
      </c>
      <c r="D354" s="267"/>
      <c r="E354" s="267"/>
      <c r="F354" s="267"/>
      <c r="G354" s="267"/>
      <c r="H354" s="267"/>
      <c r="I354" s="267"/>
      <c r="J354" s="268"/>
      <c r="K354" s="120"/>
      <c r="L354" s="88"/>
      <c r="M354" s="88"/>
      <c r="N354" s="88"/>
      <c r="O354" s="88"/>
      <c r="P354" s="64"/>
      <c r="Q354" s="76"/>
      <c r="S354" s="28" t="s">
        <v>310</v>
      </c>
      <c r="T354" s="28">
        <f>Q355/R355</f>
        <v>1.271273435346016</v>
      </c>
      <c r="U354" s="25"/>
      <c r="V354" s="26"/>
      <c r="W354" s="26"/>
      <c r="X354" s="26"/>
      <c r="Y354" s="26"/>
      <c r="Z354" s="26"/>
      <c r="AA354" s="26"/>
      <c r="AB354" s="26"/>
    </row>
    <row r="355" spans="1:28" x14ac:dyDescent="0.2">
      <c r="A355" s="46"/>
      <c r="B355" s="98"/>
      <c r="C355" s="116">
        <v>8</v>
      </c>
      <c r="D355" s="116">
        <v>4.33</v>
      </c>
      <c r="E355" s="116">
        <f>D355/C355</f>
        <v>0.54125000000000001</v>
      </c>
      <c r="F355" s="116">
        <v>3</v>
      </c>
      <c r="G355" s="116"/>
      <c r="H355" s="116"/>
      <c r="I355" s="116">
        <v>2.4460000000000002</v>
      </c>
      <c r="J355" s="116">
        <v>3.6269999999999998</v>
      </c>
      <c r="K355" s="120">
        <f>I355/(0.2*J355)</f>
        <v>3.3719327267714365</v>
      </c>
      <c r="L355" s="117">
        <f>E355</f>
        <v>0.54125000000000001</v>
      </c>
      <c r="M355" s="117">
        <f>F355</f>
        <v>3</v>
      </c>
      <c r="N355" s="117">
        <f>I355</f>
        <v>2.4460000000000002</v>
      </c>
      <c r="O355" s="117">
        <f>J355</f>
        <v>3.6269999999999998</v>
      </c>
      <c r="P355" s="83">
        <f>3*((D355*SQRT(1+F355))/(C355))*(1+2*N355/O355)</f>
        <v>7.627640612076096</v>
      </c>
      <c r="Q355" s="122">
        <f>P355</f>
        <v>7.627640612076096</v>
      </c>
      <c r="R355" s="25">
        <v>6</v>
      </c>
      <c r="S355" s="28" t="s">
        <v>304</v>
      </c>
      <c r="T355" s="28">
        <f>Q355/R355</f>
        <v>1.271273435346016</v>
      </c>
      <c r="U355" s="25"/>
      <c r="V355" s="26"/>
      <c r="W355" s="26"/>
      <c r="X355" s="26"/>
      <c r="Y355" s="26"/>
      <c r="Z355" s="26"/>
      <c r="AA355" s="26"/>
      <c r="AB355" s="26"/>
    </row>
    <row r="356" spans="1:28" x14ac:dyDescent="0.2">
      <c r="A356" s="46"/>
      <c r="B356" s="98" t="s">
        <v>10</v>
      </c>
      <c r="C356" s="146" t="s">
        <v>176</v>
      </c>
      <c r="D356" s="147"/>
      <c r="E356" s="147"/>
      <c r="F356" s="147"/>
      <c r="G356" s="147"/>
      <c r="H356" s="147"/>
      <c r="I356" s="147"/>
      <c r="J356" s="148"/>
      <c r="K356" s="120"/>
      <c r="L356" s="88"/>
      <c r="M356" s="88"/>
      <c r="N356" s="88"/>
      <c r="O356" s="88"/>
      <c r="P356" s="64"/>
      <c r="Q356" s="76"/>
      <c r="S356" s="27" t="s">
        <v>186</v>
      </c>
      <c r="T356" s="27">
        <f>Q355/R355</f>
        <v>1.271273435346016</v>
      </c>
      <c r="U356" s="27">
        <f>T356</f>
        <v>1.271273435346016</v>
      </c>
      <c r="V356" s="26"/>
      <c r="W356" s="26"/>
      <c r="X356" s="26"/>
      <c r="Y356" s="26"/>
      <c r="Z356" s="26"/>
      <c r="AA356" s="26"/>
      <c r="AB356" s="26"/>
    </row>
    <row r="357" spans="1:28" x14ac:dyDescent="0.2">
      <c r="A357" s="46"/>
      <c r="B357" s="98" t="s">
        <v>11</v>
      </c>
      <c r="C357" s="149"/>
      <c r="D357" s="144"/>
      <c r="E357" s="144"/>
      <c r="F357" s="144"/>
      <c r="G357" s="144"/>
      <c r="H357" s="144"/>
      <c r="I357" s="144"/>
      <c r="J357" s="145"/>
      <c r="K357" s="120"/>
      <c r="L357" s="88"/>
      <c r="M357" s="88"/>
      <c r="N357" s="88"/>
      <c r="O357" s="88"/>
      <c r="P357" s="64"/>
      <c r="Q357" s="76"/>
      <c r="S357" s="28" t="s">
        <v>326</v>
      </c>
      <c r="T357" s="28">
        <f>Q355/R355</f>
        <v>1.271273435346016</v>
      </c>
      <c r="U357" s="25"/>
      <c r="V357" s="26"/>
      <c r="W357" s="26"/>
      <c r="X357" s="26"/>
      <c r="Y357" s="26"/>
      <c r="Z357" s="26"/>
      <c r="AA357" s="26"/>
      <c r="AB357" s="26"/>
    </row>
    <row r="358" spans="1:28" x14ac:dyDescent="0.2">
      <c r="A358" s="46"/>
      <c r="B358" s="98"/>
      <c r="C358" s="150"/>
      <c r="D358" s="151"/>
      <c r="E358" s="151"/>
      <c r="F358" s="151"/>
      <c r="G358" s="151"/>
      <c r="H358" s="151"/>
      <c r="I358" s="151"/>
      <c r="J358" s="152"/>
      <c r="K358" s="120"/>
      <c r="L358" s="88"/>
      <c r="M358" s="88"/>
      <c r="N358" s="88"/>
      <c r="O358" s="88"/>
      <c r="P358" s="64"/>
      <c r="Q358" s="76"/>
      <c r="S358" s="27" t="s">
        <v>191</v>
      </c>
      <c r="T358" s="27">
        <f>Q355/R355</f>
        <v>1.271273435346016</v>
      </c>
      <c r="U358" s="27">
        <f>T358+T357</f>
        <v>2.542546870692032</v>
      </c>
      <c r="V358" s="26"/>
      <c r="W358" s="26"/>
      <c r="X358" s="26"/>
      <c r="Y358" s="26"/>
      <c r="Z358" s="26"/>
      <c r="AA358" s="26"/>
      <c r="AB358" s="26"/>
    </row>
    <row r="359" spans="1:28" x14ac:dyDescent="0.2">
      <c r="A359" s="46"/>
      <c r="B359" s="92"/>
      <c r="C359" s="100"/>
      <c r="D359" s="101"/>
      <c r="E359" s="101"/>
      <c r="F359" s="101"/>
      <c r="G359" s="101"/>
      <c r="H359" s="101"/>
      <c r="I359" s="101"/>
      <c r="J359" s="119"/>
      <c r="K359" s="120"/>
      <c r="L359" s="88"/>
      <c r="M359" s="88"/>
      <c r="N359" s="88"/>
      <c r="O359" s="88"/>
      <c r="P359" s="64"/>
      <c r="Q359" s="76"/>
      <c r="S359" s="25"/>
      <c r="T359" s="25"/>
      <c r="U359" s="25"/>
      <c r="V359" s="26"/>
      <c r="W359" s="26"/>
      <c r="X359" s="26"/>
    </row>
    <row r="360" spans="1:28" ht="33.75" x14ac:dyDescent="0.2">
      <c r="A360" s="37">
        <v>52</v>
      </c>
      <c r="B360" s="98" t="s">
        <v>8</v>
      </c>
      <c r="C360" s="266" t="s">
        <v>92</v>
      </c>
      <c r="D360" s="267"/>
      <c r="E360" s="267"/>
      <c r="F360" s="267"/>
      <c r="G360" s="267"/>
      <c r="H360" s="267"/>
      <c r="I360" s="267"/>
      <c r="J360" s="268"/>
      <c r="K360" s="48"/>
      <c r="L360" s="88"/>
      <c r="M360" s="88"/>
      <c r="N360" s="88"/>
      <c r="O360" s="88"/>
      <c r="P360" s="64"/>
      <c r="Q360" s="51"/>
      <c r="S360" s="36"/>
      <c r="T360" s="25"/>
      <c r="U360" s="36"/>
      <c r="V360" s="26"/>
      <c r="W360" s="26"/>
      <c r="X360" s="26"/>
    </row>
    <row r="361" spans="1:28" ht="22.5" x14ac:dyDescent="0.2">
      <c r="A361" s="46"/>
      <c r="B361" s="98" t="s">
        <v>9</v>
      </c>
      <c r="C361" s="266" t="s">
        <v>179</v>
      </c>
      <c r="D361" s="267"/>
      <c r="E361" s="267"/>
      <c r="F361" s="267"/>
      <c r="G361" s="267"/>
      <c r="H361" s="267"/>
      <c r="I361" s="267"/>
      <c r="J361" s="268"/>
      <c r="K361" s="48"/>
      <c r="L361" s="88"/>
      <c r="M361" s="88"/>
      <c r="N361" s="88"/>
      <c r="O361" s="88"/>
      <c r="P361" s="64"/>
      <c r="Q361" s="51"/>
      <c r="S361" s="194" t="s">
        <v>331</v>
      </c>
      <c r="T361" s="28">
        <f>Q362/R362</f>
        <v>3.8960716061660867</v>
      </c>
      <c r="U361" s="25"/>
      <c r="V361" s="26"/>
      <c r="W361" s="26"/>
      <c r="X361" s="26"/>
    </row>
    <row r="362" spans="1:28" x14ac:dyDescent="0.2">
      <c r="B362" s="98"/>
      <c r="C362" s="116">
        <v>3</v>
      </c>
      <c r="D362" s="116">
        <v>3</v>
      </c>
      <c r="E362" s="116">
        <f>D362/C362</f>
        <v>1</v>
      </c>
      <c r="F362" s="116">
        <v>0</v>
      </c>
      <c r="G362" s="116"/>
      <c r="H362" s="116"/>
      <c r="I362" s="116">
        <v>2.9119999999999999</v>
      </c>
      <c r="J362" s="130">
        <f>(1.444+2.512+2.077)/3</f>
        <v>2.0109999999999997</v>
      </c>
      <c r="K362" s="85">
        <f>I362/(0.2*J362)</f>
        <v>7.240179015415217</v>
      </c>
      <c r="L362" s="117">
        <f>E362</f>
        <v>1</v>
      </c>
      <c r="M362" s="117">
        <f>F362</f>
        <v>0</v>
      </c>
      <c r="N362" s="117">
        <f>I362</f>
        <v>2.9119999999999999</v>
      </c>
      <c r="O362" s="117">
        <f>J362</f>
        <v>2.0109999999999997</v>
      </c>
      <c r="P362" s="83">
        <f>3*((D362*SQRT(1+F362))/(C362))*(1+2*N362/O362)</f>
        <v>11.68821481849826</v>
      </c>
      <c r="Q362" s="118">
        <f>P362</f>
        <v>11.68821481849826</v>
      </c>
      <c r="R362" s="25">
        <v>3</v>
      </c>
      <c r="S362" s="190" t="s">
        <v>224</v>
      </c>
      <c r="T362" s="27">
        <f>Q362/R362</f>
        <v>3.8960716061660867</v>
      </c>
      <c r="U362" s="27">
        <f>T362</f>
        <v>3.8960716061660867</v>
      </c>
      <c r="V362" s="26"/>
      <c r="W362" s="26"/>
      <c r="X362" s="26"/>
    </row>
    <row r="363" spans="1:28" x14ac:dyDescent="0.2">
      <c r="B363" s="98" t="s">
        <v>10</v>
      </c>
      <c r="C363" s="132" t="s">
        <v>181</v>
      </c>
      <c r="D363" s="129"/>
      <c r="E363" s="129"/>
      <c r="F363" s="129"/>
      <c r="G363" s="129"/>
      <c r="H363" s="129"/>
      <c r="I363" s="129"/>
      <c r="J363" s="129"/>
      <c r="K363" s="48"/>
      <c r="L363" s="88"/>
      <c r="M363" s="88"/>
      <c r="N363" s="88"/>
      <c r="O363" s="88"/>
      <c r="P363" s="64"/>
      <c r="Q363" s="51"/>
      <c r="S363" s="190" t="s">
        <v>19</v>
      </c>
      <c r="T363" s="27">
        <f>Q362/R362</f>
        <v>3.8960716061660867</v>
      </c>
      <c r="U363" s="198">
        <f>T363+T361</f>
        <v>7.7921432123321734</v>
      </c>
      <c r="V363" s="26"/>
      <c r="W363" s="26"/>
      <c r="X363" s="26"/>
    </row>
    <row r="364" spans="1:28" x14ac:dyDescent="0.2">
      <c r="B364" s="98" t="s">
        <v>11</v>
      </c>
      <c r="C364" s="133"/>
      <c r="D364" s="126"/>
      <c r="E364" s="126"/>
      <c r="F364" s="126"/>
      <c r="G364" s="126"/>
      <c r="H364" s="126"/>
      <c r="I364" s="126"/>
      <c r="J364" s="126"/>
      <c r="K364" s="48"/>
      <c r="L364" s="88"/>
      <c r="M364" s="88"/>
      <c r="N364" s="88"/>
      <c r="O364" s="88"/>
      <c r="P364" s="64"/>
      <c r="Q364" s="51"/>
      <c r="S364" s="153"/>
      <c r="T364" s="25"/>
      <c r="U364" s="25"/>
      <c r="V364" s="26"/>
      <c r="W364" s="26"/>
      <c r="X364" s="26"/>
    </row>
    <row r="365" spans="1:28" x14ac:dyDescent="0.2">
      <c r="B365" s="98"/>
      <c r="C365" s="134"/>
      <c r="D365" s="135"/>
      <c r="E365" s="135"/>
      <c r="F365" s="135"/>
      <c r="G365" s="135"/>
      <c r="H365" s="135"/>
      <c r="I365" s="135"/>
      <c r="J365" s="135"/>
      <c r="K365" s="48"/>
      <c r="L365" s="88"/>
      <c r="M365" s="88"/>
      <c r="N365" s="88"/>
      <c r="O365" s="88"/>
      <c r="P365" s="64"/>
      <c r="Q365" s="51"/>
      <c r="S365" s="25"/>
      <c r="T365" s="25"/>
      <c r="U365" s="25"/>
      <c r="V365" s="26"/>
      <c r="W365" s="26"/>
      <c r="X365" s="26"/>
    </row>
    <row r="366" spans="1:28" x14ac:dyDescent="0.2">
      <c r="B366" s="92"/>
      <c r="C366" s="100"/>
      <c r="D366" s="101"/>
      <c r="E366" s="101"/>
      <c r="F366" s="101"/>
      <c r="G366" s="101"/>
      <c r="H366" s="101"/>
      <c r="I366" s="101"/>
      <c r="J366" s="119"/>
      <c r="K366" s="48"/>
      <c r="L366" s="88"/>
      <c r="M366" s="88"/>
      <c r="N366" s="88"/>
      <c r="O366" s="88"/>
      <c r="P366" s="64"/>
      <c r="Q366" s="51"/>
      <c r="S366" s="36"/>
      <c r="T366" s="25"/>
      <c r="U366" s="36"/>
      <c r="V366" s="26"/>
      <c r="W366" s="26"/>
      <c r="X366" s="26"/>
    </row>
    <row r="367" spans="1:28" ht="33.75" x14ac:dyDescent="0.2">
      <c r="A367" s="46">
        <v>53</v>
      </c>
      <c r="B367" s="98" t="s">
        <v>8</v>
      </c>
      <c r="C367" s="266" t="s">
        <v>248</v>
      </c>
      <c r="D367" s="267"/>
      <c r="E367" s="267"/>
      <c r="F367" s="267"/>
      <c r="G367" s="267"/>
      <c r="H367" s="267"/>
      <c r="I367" s="267"/>
      <c r="J367" s="268"/>
      <c r="K367" s="48"/>
      <c r="L367" s="88"/>
      <c r="M367" s="88"/>
      <c r="N367" s="88"/>
      <c r="O367" s="88"/>
      <c r="P367" s="64"/>
      <c r="Q367" s="51"/>
      <c r="S367" s="27" t="s">
        <v>193</v>
      </c>
      <c r="T367" s="27">
        <f>Q369/R369</f>
        <v>2.9695671979778497</v>
      </c>
      <c r="U367" s="27">
        <f>T367+T368+T369</f>
        <v>8.9087015939335501</v>
      </c>
      <c r="V367" s="26"/>
      <c r="W367" s="26"/>
      <c r="X367" s="26"/>
    </row>
    <row r="368" spans="1:28" ht="22.5" x14ac:dyDescent="0.2">
      <c r="A368" s="46"/>
      <c r="B368" s="98" t="s">
        <v>9</v>
      </c>
      <c r="C368" s="266" t="s">
        <v>182</v>
      </c>
      <c r="D368" s="267"/>
      <c r="E368" s="267"/>
      <c r="F368" s="267"/>
      <c r="G368" s="267"/>
      <c r="H368" s="267"/>
      <c r="I368" s="267"/>
      <c r="J368" s="268"/>
      <c r="K368" s="48"/>
      <c r="L368" s="88"/>
      <c r="M368" s="88"/>
      <c r="N368" s="88"/>
      <c r="O368" s="88"/>
      <c r="P368" s="64"/>
      <c r="Q368" s="51"/>
      <c r="S368" s="28" t="s">
        <v>311</v>
      </c>
      <c r="T368" s="28">
        <f>Q369/R369</f>
        <v>2.9695671979778497</v>
      </c>
      <c r="U368" s="25"/>
      <c r="V368" s="26"/>
      <c r="W368" s="26"/>
      <c r="X368" s="26"/>
    </row>
    <row r="369" spans="1:24" x14ac:dyDescent="0.2">
      <c r="A369" s="46"/>
      <c r="B369" s="98"/>
      <c r="C369" s="116">
        <v>4</v>
      </c>
      <c r="D369" s="116">
        <v>3.5</v>
      </c>
      <c r="E369" s="116">
        <f>D369/C369</f>
        <v>0.875</v>
      </c>
      <c r="F369" s="116">
        <v>1</v>
      </c>
      <c r="G369" s="116"/>
      <c r="H369" s="116"/>
      <c r="I369" s="116">
        <v>3.266</v>
      </c>
      <c r="J369" s="130">
        <f>(3.627+2.312)/2</f>
        <v>2.9695</v>
      </c>
      <c r="K369" s="85">
        <f>I369/(0.2*J369)</f>
        <v>5.4992422966829437</v>
      </c>
      <c r="L369" s="117">
        <f>E369</f>
        <v>0.875</v>
      </c>
      <c r="M369" s="117">
        <f>F369</f>
        <v>1</v>
      </c>
      <c r="N369" s="117">
        <f>I369</f>
        <v>3.266</v>
      </c>
      <c r="O369" s="117">
        <f>J369</f>
        <v>2.9695</v>
      </c>
      <c r="P369" s="83">
        <f>3*((D369*SQRT(1+F369))/(C369))*(1+2*N369/O369)</f>
        <v>11.878268791911399</v>
      </c>
      <c r="Q369" s="118">
        <f>P369</f>
        <v>11.878268791911399</v>
      </c>
      <c r="R369" s="25">
        <v>4</v>
      </c>
      <c r="S369" s="194" t="s">
        <v>304</v>
      </c>
      <c r="T369" s="28">
        <f>Q369/R369</f>
        <v>2.9695671979778497</v>
      </c>
      <c r="U369" s="36"/>
      <c r="V369" s="26"/>
      <c r="W369" s="26"/>
      <c r="X369" s="26"/>
    </row>
    <row r="370" spans="1:24" x14ac:dyDescent="0.2">
      <c r="A370" s="46"/>
      <c r="B370" s="98" t="s">
        <v>10</v>
      </c>
      <c r="C370" s="132" t="s">
        <v>101</v>
      </c>
      <c r="D370" s="129"/>
      <c r="E370" s="129"/>
      <c r="F370" s="129"/>
      <c r="G370" s="129"/>
      <c r="H370" s="129"/>
      <c r="I370" s="129"/>
      <c r="J370" s="129"/>
      <c r="K370" s="48"/>
      <c r="L370" s="88"/>
      <c r="M370" s="88"/>
      <c r="N370" s="88"/>
      <c r="O370" s="88"/>
      <c r="P370" s="64"/>
      <c r="Q370" s="51"/>
      <c r="S370" s="27" t="s">
        <v>16</v>
      </c>
      <c r="T370" s="27">
        <f>Q369/R369</f>
        <v>2.9695671979778497</v>
      </c>
      <c r="U370" s="27">
        <f>T370</f>
        <v>2.9695671979778497</v>
      </c>
      <c r="V370" s="26"/>
      <c r="W370" s="26"/>
      <c r="X370" s="26"/>
    </row>
    <row r="371" spans="1:24" x14ac:dyDescent="0.2">
      <c r="A371" s="46"/>
      <c r="B371" s="98" t="s">
        <v>11</v>
      </c>
      <c r="C371" s="133"/>
      <c r="D371" s="126"/>
      <c r="E371" s="126"/>
      <c r="F371" s="126"/>
      <c r="G371" s="126"/>
      <c r="H371" s="126"/>
      <c r="I371" s="126"/>
      <c r="J371" s="126"/>
      <c r="K371" s="48"/>
      <c r="L371" s="88"/>
      <c r="M371" s="88"/>
      <c r="N371" s="88"/>
      <c r="O371" s="88"/>
      <c r="P371" s="64"/>
      <c r="Q371" s="51"/>
      <c r="S371" s="25"/>
      <c r="T371" s="25"/>
      <c r="U371" s="25"/>
      <c r="V371" s="26"/>
      <c r="W371" s="26"/>
      <c r="X371" s="26"/>
    </row>
    <row r="372" spans="1:24" x14ac:dyDescent="0.2">
      <c r="A372" s="46"/>
      <c r="B372" s="98"/>
      <c r="C372" s="134"/>
      <c r="D372" s="135"/>
      <c r="E372" s="135"/>
      <c r="F372" s="135"/>
      <c r="G372" s="135"/>
      <c r="H372" s="135"/>
      <c r="I372" s="135"/>
      <c r="J372" s="135"/>
      <c r="K372" s="48"/>
      <c r="L372" s="88"/>
      <c r="M372" s="88"/>
      <c r="N372" s="88"/>
      <c r="O372" s="88"/>
      <c r="P372" s="64"/>
      <c r="Q372" s="51"/>
      <c r="S372" s="36"/>
      <c r="T372" s="25"/>
      <c r="U372" s="36"/>
      <c r="V372" s="26"/>
      <c r="W372" s="26"/>
      <c r="X372" s="26"/>
    </row>
    <row r="373" spans="1:24" x14ac:dyDescent="0.2">
      <c r="A373" s="46"/>
      <c r="B373" s="92"/>
      <c r="C373" s="100"/>
      <c r="D373" s="101"/>
      <c r="E373" s="101"/>
      <c r="F373" s="101"/>
      <c r="G373" s="101"/>
      <c r="H373" s="101"/>
      <c r="I373" s="101"/>
      <c r="J373" s="119"/>
      <c r="K373" s="48"/>
      <c r="L373" s="88"/>
      <c r="M373" s="88"/>
      <c r="N373" s="88"/>
      <c r="O373" s="88"/>
      <c r="P373" s="64"/>
      <c r="Q373" s="51"/>
      <c r="S373" s="25"/>
      <c r="T373" s="25"/>
      <c r="U373" s="36"/>
      <c r="V373" s="26"/>
      <c r="W373" s="26"/>
      <c r="X373" s="26"/>
    </row>
    <row r="374" spans="1:24" ht="33.75" x14ac:dyDescent="0.2">
      <c r="A374" s="37">
        <v>54</v>
      </c>
      <c r="B374" s="98" t="s">
        <v>8</v>
      </c>
      <c r="C374" s="266" t="s">
        <v>93</v>
      </c>
      <c r="D374" s="267"/>
      <c r="E374" s="267"/>
      <c r="F374" s="267"/>
      <c r="G374" s="267"/>
      <c r="H374" s="267"/>
      <c r="I374" s="267"/>
      <c r="J374" s="268"/>
      <c r="K374" s="48"/>
      <c r="L374" s="88"/>
      <c r="M374" s="88"/>
      <c r="N374" s="88"/>
      <c r="O374" s="88"/>
      <c r="P374" s="64"/>
      <c r="Q374" s="51"/>
      <c r="S374" s="25"/>
      <c r="T374" s="26"/>
      <c r="U374" s="26"/>
      <c r="V374" s="26"/>
      <c r="W374" s="26"/>
      <c r="X374" s="26"/>
    </row>
    <row r="375" spans="1:24" ht="22.5" x14ac:dyDescent="0.2">
      <c r="A375" s="46"/>
      <c r="B375" s="98" t="s">
        <v>9</v>
      </c>
      <c r="C375" s="266" t="s">
        <v>180</v>
      </c>
      <c r="D375" s="267"/>
      <c r="E375" s="267"/>
      <c r="F375" s="267"/>
      <c r="G375" s="267"/>
      <c r="H375" s="267"/>
      <c r="I375" s="267"/>
      <c r="J375" s="268"/>
      <c r="K375" s="48"/>
      <c r="L375" s="88"/>
      <c r="M375" s="88"/>
      <c r="N375" s="88"/>
      <c r="O375" s="88"/>
      <c r="P375" s="64"/>
      <c r="Q375" s="51"/>
      <c r="S375" s="28" t="s">
        <v>328</v>
      </c>
      <c r="T375" s="200">
        <f>Q376/R376</f>
        <v>1.8999662047989185</v>
      </c>
      <c r="U375" s="26"/>
      <c r="V375" s="26"/>
      <c r="W375" s="26"/>
      <c r="X375" s="26"/>
    </row>
    <row r="376" spans="1:24" x14ac:dyDescent="0.2">
      <c r="B376" s="98"/>
      <c r="C376" s="116">
        <v>3</v>
      </c>
      <c r="D376" s="116">
        <v>2</v>
      </c>
      <c r="E376" s="116">
        <f>D376/C376</f>
        <v>0.66666666666666663</v>
      </c>
      <c r="F376" s="116">
        <v>0</v>
      </c>
      <c r="G376" s="116"/>
      <c r="H376" s="116"/>
      <c r="I376" s="116">
        <v>2.7370000000000001</v>
      </c>
      <c r="J376" s="165">
        <v>2.9590000000000001</v>
      </c>
      <c r="K376" s="85">
        <f>I376/(0.2*J376)</f>
        <v>4.6248732679959446</v>
      </c>
      <c r="L376" s="117">
        <f>E376</f>
        <v>0.66666666666666663</v>
      </c>
      <c r="M376" s="117">
        <f>F376</f>
        <v>0</v>
      </c>
      <c r="N376" s="117">
        <f>I376</f>
        <v>2.7370000000000001</v>
      </c>
      <c r="O376" s="117">
        <f>J376</f>
        <v>2.9590000000000001</v>
      </c>
      <c r="P376" s="83">
        <f>3*((D376*SQRT(1+F376))/(C376))*(1+2*N376/O376)</f>
        <v>5.6998986143967558</v>
      </c>
      <c r="Q376" s="118">
        <f>P376</f>
        <v>5.6998986143967558</v>
      </c>
      <c r="R376" s="25">
        <v>3</v>
      </c>
      <c r="S376" s="27" t="s">
        <v>225</v>
      </c>
      <c r="T376" s="199">
        <f>Q376/R376</f>
        <v>1.8999662047989185</v>
      </c>
      <c r="U376" s="199">
        <f>T376</f>
        <v>1.8999662047989185</v>
      </c>
      <c r="V376" s="26"/>
      <c r="W376" s="26"/>
      <c r="X376" s="26"/>
    </row>
    <row r="377" spans="1:24" x14ac:dyDescent="0.2">
      <c r="B377" s="98" t="s">
        <v>10</v>
      </c>
      <c r="C377" s="132" t="s">
        <v>174</v>
      </c>
      <c r="D377" s="129"/>
      <c r="E377" s="129"/>
      <c r="F377" s="129"/>
      <c r="G377" s="129"/>
      <c r="H377" s="129"/>
      <c r="I377" s="129"/>
      <c r="J377" s="129"/>
      <c r="K377" s="48"/>
      <c r="L377" s="88"/>
      <c r="M377" s="88"/>
      <c r="N377" s="88"/>
      <c r="O377" s="88"/>
      <c r="P377" s="64"/>
      <c r="Q377" s="51"/>
      <c r="S377" s="27" t="s">
        <v>16</v>
      </c>
      <c r="T377" s="199">
        <f>Q376/R376</f>
        <v>1.8999662047989185</v>
      </c>
      <c r="U377" s="199">
        <f>T377+T375</f>
        <v>3.7999324095978371</v>
      </c>
      <c r="V377" s="26"/>
      <c r="W377" s="26"/>
      <c r="X377" s="26"/>
    </row>
    <row r="378" spans="1:24" x14ac:dyDescent="0.2">
      <c r="B378" s="98" t="s">
        <v>11</v>
      </c>
      <c r="C378" s="133"/>
      <c r="D378" s="126"/>
      <c r="E378" s="126"/>
      <c r="F378" s="126"/>
      <c r="G378" s="126"/>
      <c r="H378" s="126"/>
      <c r="I378" s="126"/>
      <c r="J378" s="126"/>
      <c r="K378" s="48"/>
      <c r="L378" s="88"/>
      <c r="M378" s="88"/>
      <c r="N378" s="88"/>
      <c r="O378" s="88"/>
      <c r="P378" s="64"/>
      <c r="Q378" s="51"/>
      <c r="S378" s="25"/>
      <c r="T378" s="26"/>
      <c r="U378" s="26"/>
      <c r="V378" s="26"/>
      <c r="W378" s="26"/>
      <c r="X378" s="26"/>
    </row>
    <row r="379" spans="1:24" x14ac:dyDescent="0.2">
      <c r="B379" s="98"/>
      <c r="C379" s="134"/>
      <c r="D379" s="135"/>
      <c r="E379" s="135"/>
      <c r="F379" s="135"/>
      <c r="G379" s="135"/>
      <c r="H379" s="135"/>
      <c r="I379" s="135"/>
      <c r="J379" s="135"/>
      <c r="K379" s="48"/>
      <c r="L379" s="88"/>
      <c r="M379" s="88"/>
      <c r="N379" s="88"/>
      <c r="O379" s="88"/>
      <c r="P379" s="64"/>
      <c r="Q379" s="51"/>
      <c r="S379" s="25"/>
      <c r="T379" s="26"/>
      <c r="U379" s="26"/>
      <c r="V379" s="26"/>
      <c r="W379" s="26"/>
      <c r="X379" s="26"/>
    </row>
    <row r="380" spans="1:24" x14ac:dyDescent="0.2">
      <c r="B380" s="92"/>
      <c r="C380" s="100"/>
      <c r="D380" s="101"/>
      <c r="E380" s="101"/>
      <c r="F380" s="101"/>
      <c r="G380" s="101"/>
      <c r="H380" s="101"/>
      <c r="I380" s="101"/>
      <c r="J380" s="119"/>
      <c r="K380" s="48"/>
      <c r="L380" s="88"/>
      <c r="M380" s="88"/>
      <c r="N380" s="88"/>
      <c r="O380" s="88"/>
      <c r="P380" s="64"/>
      <c r="Q380" s="51"/>
      <c r="S380" s="25"/>
      <c r="T380" s="26"/>
      <c r="U380" s="26"/>
      <c r="V380" s="26"/>
      <c r="W380" s="26"/>
      <c r="X380" s="26"/>
    </row>
    <row r="381" spans="1:24" ht="33.75" x14ac:dyDescent="0.2">
      <c r="A381" s="46">
        <v>55</v>
      </c>
      <c r="B381" s="47" t="s">
        <v>8</v>
      </c>
      <c r="C381" s="263" t="s">
        <v>177</v>
      </c>
      <c r="D381" s="264"/>
      <c r="E381" s="264"/>
      <c r="F381" s="264"/>
      <c r="G381" s="264"/>
      <c r="H381" s="264"/>
      <c r="I381" s="264"/>
      <c r="J381" s="265"/>
      <c r="K381" s="48"/>
      <c r="L381" s="49"/>
      <c r="M381" s="49"/>
      <c r="N381" s="49"/>
      <c r="O381" s="49"/>
      <c r="P381" s="64"/>
      <c r="Q381" s="51"/>
      <c r="R381" s="23"/>
      <c r="S381" s="26"/>
      <c r="T381" s="26"/>
      <c r="U381" s="26"/>
      <c r="V381" s="26"/>
      <c r="W381" s="26"/>
      <c r="X381" s="26"/>
    </row>
    <row r="382" spans="1:24" ht="22.5" x14ac:dyDescent="0.2">
      <c r="A382" s="46"/>
      <c r="B382" s="47" t="s">
        <v>9</v>
      </c>
      <c r="C382" s="235" t="s">
        <v>183</v>
      </c>
      <c r="D382" s="236"/>
      <c r="E382" s="236"/>
      <c r="F382" s="236"/>
      <c r="G382" s="236"/>
      <c r="H382" s="236"/>
      <c r="I382" s="236"/>
      <c r="J382" s="237"/>
      <c r="K382" s="52"/>
      <c r="L382" s="49"/>
      <c r="M382" s="49"/>
      <c r="N382" s="49"/>
      <c r="O382" s="49"/>
      <c r="P382" s="64"/>
      <c r="Q382" s="51"/>
      <c r="R382" s="23"/>
      <c r="S382" s="201" t="s">
        <v>330</v>
      </c>
      <c r="T382" s="200">
        <f>Q383/R383</f>
        <v>1.4097657538766084</v>
      </c>
      <c r="U382" s="26"/>
      <c r="V382" s="26"/>
      <c r="W382" s="26"/>
      <c r="X382" s="26"/>
    </row>
    <row r="383" spans="1:24" x14ac:dyDescent="0.2">
      <c r="A383" s="46"/>
      <c r="B383" s="47"/>
      <c r="C383" s="54">
        <v>3</v>
      </c>
      <c r="D383" s="55">
        <v>2</v>
      </c>
      <c r="E383" s="55">
        <f>D383/C383</f>
        <v>0.66666666666666663</v>
      </c>
      <c r="F383" s="55">
        <v>0</v>
      </c>
      <c r="G383" s="55"/>
      <c r="H383" s="56"/>
      <c r="I383" s="69">
        <v>0.621</v>
      </c>
      <c r="J383" s="70">
        <v>3.0310000000000001</v>
      </c>
      <c r="K383" s="59">
        <f>I383/(0.2*J383)</f>
        <v>1.0244143846915208</v>
      </c>
      <c r="L383" s="60">
        <f>E383</f>
        <v>0.66666666666666663</v>
      </c>
      <c r="M383" s="60">
        <f>F383</f>
        <v>0</v>
      </c>
      <c r="N383" s="60">
        <f>I383</f>
        <v>0.621</v>
      </c>
      <c r="O383" s="71">
        <f>J383</f>
        <v>3.0310000000000001</v>
      </c>
      <c r="P383" s="72">
        <f>3*((D383*SQRT(1+F383))/(C383))*(1+2*N383/O383)</f>
        <v>2.8195315077532168</v>
      </c>
      <c r="Q383" s="73">
        <f>P383</f>
        <v>2.8195315077532168</v>
      </c>
      <c r="R383" s="23">
        <v>2</v>
      </c>
      <c r="S383" s="199" t="s">
        <v>31</v>
      </c>
      <c r="T383" s="199">
        <f>Q383/R383</f>
        <v>1.4097657538766084</v>
      </c>
      <c r="U383" s="199">
        <f>T383+T382</f>
        <v>2.8195315077532168</v>
      </c>
      <c r="V383" s="26"/>
      <c r="W383" s="26"/>
      <c r="X383" s="26"/>
    </row>
    <row r="384" spans="1:24" x14ac:dyDescent="0.2">
      <c r="A384" s="46"/>
      <c r="B384" s="47" t="s">
        <v>10</v>
      </c>
      <c r="C384" s="238" t="s">
        <v>184</v>
      </c>
      <c r="D384" s="239"/>
      <c r="E384" s="239"/>
      <c r="F384" s="239"/>
      <c r="G384" s="239"/>
      <c r="H384" s="239"/>
      <c r="I384" s="239"/>
      <c r="J384" s="240"/>
      <c r="K384" s="62"/>
      <c r="L384" s="49"/>
      <c r="M384" s="49"/>
      <c r="N384" s="49"/>
      <c r="O384" s="49"/>
      <c r="P384" s="64"/>
      <c r="Q384" s="51"/>
      <c r="R384" s="23"/>
      <c r="S384" s="26"/>
      <c r="T384" s="26"/>
      <c r="U384" s="26"/>
      <c r="V384" s="26"/>
      <c r="W384" s="26"/>
      <c r="X384" s="26"/>
    </row>
    <row r="385" spans="1:24" x14ac:dyDescent="0.2">
      <c r="A385" s="46"/>
      <c r="B385" s="47" t="s">
        <v>11</v>
      </c>
      <c r="C385" s="241" t="s">
        <v>249</v>
      </c>
      <c r="D385" s="264"/>
      <c r="E385" s="264"/>
      <c r="F385" s="264"/>
      <c r="G385" s="264"/>
      <c r="H385" s="264"/>
      <c r="I385" s="264"/>
      <c r="J385" s="265"/>
      <c r="K385" s="48"/>
      <c r="L385" s="49"/>
      <c r="M385" s="49"/>
      <c r="N385" s="49"/>
      <c r="O385" s="49"/>
      <c r="P385" s="64"/>
      <c r="Q385" s="51"/>
      <c r="R385" s="23"/>
      <c r="S385" s="26"/>
      <c r="T385" s="26"/>
      <c r="U385" s="26"/>
      <c r="V385" s="26"/>
      <c r="W385" s="26"/>
      <c r="X385" s="26"/>
    </row>
    <row r="386" spans="1:24" x14ac:dyDescent="0.2">
      <c r="A386" s="46"/>
      <c r="B386" s="47"/>
      <c r="C386" s="232"/>
      <c r="D386" s="233"/>
      <c r="E386" s="233"/>
      <c r="F386" s="233"/>
      <c r="G386" s="233"/>
      <c r="H386" s="233"/>
      <c r="I386" s="233"/>
      <c r="J386" s="234"/>
      <c r="K386" s="48"/>
      <c r="L386" s="49"/>
      <c r="M386" s="49"/>
      <c r="N386" s="49"/>
      <c r="O386" s="49"/>
      <c r="P386" s="64"/>
      <c r="Q386" s="51"/>
      <c r="R386" s="23"/>
      <c r="S386" s="26"/>
      <c r="T386" s="26"/>
      <c r="U386" s="26"/>
      <c r="V386" s="26"/>
      <c r="W386" s="26"/>
      <c r="X386" s="26"/>
    </row>
    <row r="387" spans="1:24" x14ac:dyDescent="0.2">
      <c r="A387" s="46"/>
      <c r="B387" s="65"/>
      <c r="C387" s="244"/>
      <c r="D387" s="245"/>
      <c r="E387" s="245"/>
      <c r="F387" s="245"/>
      <c r="G387" s="245"/>
      <c r="H387" s="245"/>
      <c r="I387" s="245"/>
      <c r="J387" s="246"/>
      <c r="K387" s="48"/>
      <c r="L387" s="49"/>
      <c r="M387" s="49"/>
      <c r="N387" s="49"/>
      <c r="O387" s="49"/>
      <c r="P387" s="64"/>
      <c r="Q387" s="51"/>
      <c r="R387" s="23"/>
      <c r="S387" s="26"/>
      <c r="T387" s="26"/>
      <c r="U387" s="26"/>
      <c r="V387" s="26"/>
      <c r="W387" s="26"/>
      <c r="X387" s="26"/>
    </row>
    <row r="388" spans="1:24" ht="33.75" x14ac:dyDescent="0.2">
      <c r="A388" s="37">
        <v>56</v>
      </c>
      <c r="B388" s="47" t="s">
        <v>8</v>
      </c>
      <c r="C388" s="263" t="s">
        <v>178</v>
      </c>
      <c r="D388" s="264"/>
      <c r="E388" s="264"/>
      <c r="F388" s="264"/>
      <c r="G388" s="264"/>
      <c r="H388" s="264"/>
      <c r="I388" s="264"/>
      <c r="J388" s="265"/>
      <c r="K388" s="48"/>
      <c r="L388" s="49"/>
      <c r="M388" s="49"/>
      <c r="N388" s="49"/>
      <c r="O388" s="49"/>
      <c r="P388" s="64"/>
      <c r="Q388" s="51"/>
      <c r="R388" s="23"/>
      <c r="S388" s="46"/>
      <c r="T388" s="26"/>
      <c r="U388" s="26"/>
      <c r="V388" s="26"/>
      <c r="W388" s="26"/>
      <c r="X388" s="26"/>
    </row>
    <row r="389" spans="1:24" ht="22.5" x14ac:dyDescent="0.2">
      <c r="A389" s="46"/>
      <c r="B389" s="47" t="s">
        <v>9</v>
      </c>
      <c r="C389" s="235" t="s">
        <v>231</v>
      </c>
      <c r="D389" s="236"/>
      <c r="E389" s="236"/>
      <c r="F389" s="236"/>
      <c r="G389" s="236"/>
      <c r="H389" s="236"/>
      <c r="I389" s="236"/>
      <c r="J389" s="237"/>
      <c r="K389" s="52"/>
      <c r="L389" s="49"/>
      <c r="M389" s="49"/>
      <c r="N389" s="49"/>
      <c r="O389" s="49"/>
      <c r="P389" s="64"/>
      <c r="Q389" s="51"/>
      <c r="R389" s="23"/>
      <c r="T389" s="26"/>
      <c r="U389" s="26"/>
      <c r="V389" s="26"/>
      <c r="W389" s="26"/>
      <c r="X389" s="26"/>
    </row>
    <row r="390" spans="1:24" x14ac:dyDescent="0.2">
      <c r="B390" s="47"/>
      <c r="C390" s="54">
        <v>5</v>
      </c>
      <c r="D390" s="55">
        <v>1</v>
      </c>
      <c r="E390" s="55">
        <f>D390/C390</f>
        <v>0.2</v>
      </c>
      <c r="F390" s="55">
        <v>0</v>
      </c>
      <c r="G390" s="55"/>
      <c r="H390" s="56"/>
      <c r="I390" s="56">
        <v>2.8980000000000001</v>
      </c>
      <c r="J390" s="78">
        <f>(3.496+3.267)/2</f>
        <v>3.3815</v>
      </c>
      <c r="K390" s="59">
        <f>I390/(0.2*J390)</f>
        <v>4.285080585538962</v>
      </c>
      <c r="L390" s="60">
        <f>E390</f>
        <v>0.2</v>
      </c>
      <c r="M390" s="60">
        <f>F390</f>
        <v>0</v>
      </c>
      <c r="N390" s="60">
        <f>I390</f>
        <v>2.8980000000000001</v>
      </c>
      <c r="O390" s="71">
        <f>J390</f>
        <v>3.3815</v>
      </c>
      <c r="P390" s="83">
        <f>3*((D390*SQRT(1+F390))/(C390))*(1+2*N390/O390)</f>
        <v>1.6284193405293512</v>
      </c>
      <c r="Q390" s="73">
        <f>P390</f>
        <v>1.6284193405293512</v>
      </c>
      <c r="R390" s="23">
        <v>1</v>
      </c>
      <c r="S390" s="202" t="s">
        <v>219</v>
      </c>
      <c r="T390" s="199">
        <f>Q390/R390</f>
        <v>1.6284193405293512</v>
      </c>
      <c r="U390" s="199">
        <f>T390</f>
        <v>1.6284193405293512</v>
      </c>
      <c r="V390" s="26"/>
      <c r="W390" s="26"/>
      <c r="X390" s="26"/>
    </row>
    <row r="391" spans="1:24" x14ac:dyDescent="0.2">
      <c r="B391" s="47" t="s">
        <v>10</v>
      </c>
      <c r="C391" s="238" t="s">
        <v>185</v>
      </c>
      <c r="D391" s="239"/>
      <c r="E391" s="239"/>
      <c r="F391" s="239"/>
      <c r="G391" s="239"/>
      <c r="H391" s="239"/>
      <c r="I391" s="239"/>
      <c r="J391" s="240"/>
      <c r="K391" s="62"/>
      <c r="L391" s="49"/>
      <c r="M391" s="49"/>
      <c r="N391" s="49"/>
      <c r="O391" s="49"/>
      <c r="P391" s="64"/>
      <c r="Q391" s="51"/>
      <c r="R391" s="23"/>
      <c r="S391" s="37"/>
      <c r="T391" s="23"/>
      <c r="U391" s="23"/>
    </row>
    <row r="392" spans="1:24" x14ac:dyDescent="0.2">
      <c r="B392" s="47" t="s">
        <v>11</v>
      </c>
      <c r="C392" s="241" t="s">
        <v>249</v>
      </c>
      <c r="D392" s="242"/>
      <c r="E392" s="242"/>
      <c r="F392" s="242"/>
      <c r="G392" s="242"/>
      <c r="H392" s="242"/>
      <c r="I392" s="242"/>
      <c r="J392" s="243"/>
      <c r="K392" s="48"/>
      <c r="L392" s="49"/>
      <c r="M392" s="49"/>
      <c r="N392" s="49"/>
      <c r="O392" s="49"/>
      <c r="P392" s="64"/>
      <c r="Q392" s="51"/>
      <c r="R392" s="23"/>
      <c r="S392" s="37"/>
      <c r="T392" s="23"/>
      <c r="U392" s="23"/>
    </row>
    <row r="393" spans="1:24" x14ac:dyDescent="0.2">
      <c r="B393" s="47"/>
      <c r="C393" s="232"/>
      <c r="D393" s="233"/>
      <c r="E393" s="233"/>
      <c r="F393" s="233"/>
      <c r="G393" s="233"/>
      <c r="H393" s="233"/>
      <c r="I393" s="233"/>
      <c r="J393" s="234"/>
      <c r="K393" s="48"/>
      <c r="L393" s="49"/>
      <c r="M393" s="49"/>
      <c r="N393" s="49"/>
      <c r="O393" s="49"/>
      <c r="P393" s="64"/>
      <c r="Q393" s="51"/>
      <c r="R393" s="23"/>
      <c r="S393" s="23"/>
      <c r="T393" s="23"/>
      <c r="U393" s="23"/>
    </row>
    <row r="394" spans="1:24" x14ac:dyDescent="0.2">
      <c r="B394" s="65"/>
      <c r="C394" s="244"/>
      <c r="D394" s="245"/>
      <c r="E394" s="245"/>
      <c r="F394" s="245"/>
      <c r="G394" s="245"/>
      <c r="H394" s="245"/>
      <c r="I394" s="245"/>
      <c r="J394" s="246"/>
      <c r="K394" s="48"/>
      <c r="L394" s="49"/>
      <c r="M394" s="49"/>
      <c r="N394" s="49"/>
      <c r="O394" s="49"/>
      <c r="P394" s="64"/>
      <c r="Q394" s="51"/>
      <c r="R394" s="23"/>
      <c r="S394" s="23"/>
      <c r="T394" s="23"/>
      <c r="U394" s="23"/>
    </row>
    <row r="395" spans="1:24" ht="33.75" x14ac:dyDescent="0.2">
      <c r="A395" s="46">
        <v>57</v>
      </c>
      <c r="B395" s="47" t="s">
        <v>8</v>
      </c>
      <c r="C395" s="263" t="s">
        <v>226</v>
      </c>
      <c r="D395" s="264"/>
      <c r="E395" s="264"/>
      <c r="F395" s="264"/>
      <c r="G395" s="264"/>
      <c r="H395" s="264"/>
      <c r="I395" s="264"/>
      <c r="J395" s="265"/>
      <c r="K395" s="48"/>
      <c r="L395" s="49"/>
      <c r="M395" s="49"/>
      <c r="N395" s="49"/>
      <c r="O395" s="49"/>
      <c r="P395" s="64"/>
      <c r="Q395" s="51"/>
      <c r="R395" s="23"/>
      <c r="S395" s="46"/>
      <c r="T395" s="26"/>
      <c r="U395" s="26"/>
      <c r="V395" s="26"/>
      <c r="W395" s="26"/>
      <c r="X395" s="26"/>
    </row>
    <row r="396" spans="1:24" ht="22.5" x14ac:dyDescent="0.2">
      <c r="A396" s="46"/>
      <c r="B396" s="47" t="s">
        <v>9</v>
      </c>
      <c r="C396" s="235" t="s">
        <v>231</v>
      </c>
      <c r="D396" s="236"/>
      <c r="E396" s="236"/>
      <c r="F396" s="236"/>
      <c r="G396" s="236"/>
      <c r="H396" s="236"/>
      <c r="I396" s="236"/>
      <c r="J396" s="237"/>
      <c r="K396" s="52"/>
      <c r="L396" s="49"/>
      <c r="M396" s="49"/>
      <c r="N396" s="49"/>
      <c r="O396" s="49"/>
      <c r="P396" s="64"/>
      <c r="Q396" s="51"/>
      <c r="R396" s="23"/>
      <c r="S396" s="46"/>
      <c r="T396" s="26"/>
      <c r="U396" s="26"/>
      <c r="V396" s="26"/>
      <c r="W396" s="26"/>
      <c r="X396" s="26"/>
    </row>
    <row r="397" spans="1:24" x14ac:dyDescent="0.2">
      <c r="A397" s="46"/>
      <c r="B397" s="47"/>
      <c r="C397" s="54">
        <v>5</v>
      </c>
      <c r="D397" s="55">
        <v>1</v>
      </c>
      <c r="E397" s="55">
        <f>D397/C397</f>
        <v>0.2</v>
      </c>
      <c r="F397" s="55">
        <v>0</v>
      </c>
      <c r="G397" s="55"/>
      <c r="H397" s="56"/>
      <c r="I397" s="56">
        <v>4.0010000000000003</v>
      </c>
      <c r="J397" s="78">
        <v>4.149</v>
      </c>
      <c r="K397" s="59">
        <f>I397/(0.2*J397)</f>
        <v>4.8216437695830319</v>
      </c>
      <c r="L397" s="60">
        <f>E397</f>
        <v>0.2</v>
      </c>
      <c r="M397" s="60">
        <f>F397</f>
        <v>0</v>
      </c>
      <c r="N397" s="60">
        <f>I397</f>
        <v>4.0010000000000003</v>
      </c>
      <c r="O397" s="71">
        <f>J397</f>
        <v>4.149</v>
      </c>
      <c r="P397" s="83">
        <f>3*((D397*SQRT(1+F397))/(C397))*(1+2*N397/O397)</f>
        <v>1.7571945046999282</v>
      </c>
      <c r="Q397" s="73">
        <f>P397</f>
        <v>1.7571945046999282</v>
      </c>
      <c r="R397" s="23">
        <v>1</v>
      </c>
      <c r="S397" s="202" t="s">
        <v>231</v>
      </c>
      <c r="T397" s="199">
        <f>Q397/R397</f>
        <v>1.7571945046999282</v>
      </c>
      <c r="U397" s="199">
        <f>T397</f>
        <v>1.7571945046999282</v>
      </c>
      <c r="V397" s="26"/>
      <c r="W397" s="26"/>
      <c r="X397" s="26"/>
    </row>
    <row r="398" spans="1:24" x14ac:dyDescent="0.2">
      <c r="A398" s="46"/>
      <c r="B398" s="47" t="s">
        <v>10</v>
      </c>
      <c r="C398" s="238" t="s">
        <v>268</v>
      </c>
      <c r="D398" s="239"/>
      <c r="E398" s="239"/>
      <c r="F398" s="239"/>
      <c r="G398" s="239"/>
      <c r="H398" s="239"/>
      <c r="I398" s="239"/>
      <c r="J398" s="240"/>
      <c r="K398" s="62"/>
      <c r="L398" s="49"/>
      <c r="M398" s="49"/>
      <c r="N398" s="49"/>
      <c r="O398" s="49"/>
      <c r="P398" s="64"/>
      <c r="Q398" s="51"/>
      <c r="R398" s="23"/>
      <c r="S398" s="37"/>
      <c r="T398" s="23"/>
      <c r="U398" s="23"/>
    </row>
    <row r="399" spans="1:24" x14ac:dyDescent="0.2">
      <c r="A399" s="46"/>
      <c r="B399" s="47" t="s">
        <v>11</v>
      </c>
      <c r="C399" s="241" t="s">
        <v>249</v>
      </c>
      <c r="D399" s="242"/>
      <c r="E399" s="242"/>
      <c r="F399" s="242"/>
      <c r="G399" s="242"/>
      <c r="H399" s="242"/>
      <c r="I399" s="242"/>
      <c r="J399" s="243"/>
      <c r="K399" s="48"/>
      <c r="L399" s="49"/>
      <c r="M399" s="49"/>
      <c r="N399" s="49"/>
      <c r="O399" s="49"/>
      <c r="P399" s="64"/>
      <c r="Q399" s="51"/>
      <c r="R399" s="23"/>
      <c r="S399" s="37"/>
      <c r="T399" s="23"/>
      <c r="U399" s="23"/>
    </row>
    <row r="400" spans="1:24" x14ac:dyDescent="0.2">
      <c r="A400" s="46"/>
      <c r="B400" s="47"/>
      <c r="C400" s="232"/>
      <c r="D400" s="233"/>
      <c r="E400" s="233"/>
      <c r="F400" s="233"/>
      <c r="G400" s="233"/>
      <c r="H400" s="233"/>
      <c r="I400" s="233"/>
      <c r="J400" s="234"/>
      <c r="K400" s="48"/>
      <c r="L400" s="49"/>
      <c r="M400" s="49"/>
      <c r="N400" s="49"/>
      <c r="O400" s="49"/>
      <c r="P400" s="64"/>
      <c r="Q400" s="51"/>
      <c r="R400" s="23"/>
      <c r="S400" s="23"/>
      <c r="T400" s="23"/>
      <c r="U400" s="23"/>
    </row>
    <row r="401" spans="1:24" x14ac:dyDescent="0.2">
      <c r="A401" s="46"/>
      <c r="B401" s="65"/>
      <c r="C401" s="244"/>
      <c r="D401" s="245"/>
      <c r="E401" s="245"/>
      <c r="F401" s="245"/>
      <c r="G401" s="245"/>
      <c r="H401" s="245"/>
      <c r="I401" s="245"/>
      <c r="J401" s="246"/>
      <c r="K401" s="48"/>
      <c r="L401" s="49"/>
      <c r="M401" s="49"/>
      <c r="N401" s="49"/>
      <c r="O401" s="49"/>
      <c r="P401" s="64"/>
      <c r="Q401" s="51"/>
      <c r="R401" s="23"/>
      <c r="S401" s="23"/>
      <c r="T401" s="23"/>
      <c r="U401" s="23"/>
    </row>
    <row r="402" spans="1:24" ht="33.75" x14ac:dyDescent="0.2">
      <c r="A402" s="37">
        <v>58</v>
      </c>
      <c r="B402" s="47" t="s">
        <v>8</v>
      </c>
      <c r="C402" s="263" t="s">
        <v>244</v>
      </c>
      <c r="D402" s="264"/>
      <c r="E402" s="264"/>
      <c r="F402" s="264"/>
      <c r="G402" s="264"/>
      <c r="H402" s="264"/>
      <c r="I402" s="264"/>
      <c r="J402" s="265"/>
      <c r="K402" s="48"/>
      <c r="L402" s="49"/>
      <c r="M402" s="49"/>
      <c r="N402" s="49"/>
      <c r="O402" s="49"/>
      <c r="P402" s="64"/>
      <c r="Q402" s="51"/>
      <c r="R402" s="23"/>
      <c r="S402" s="46"/>
      <c r="T402" s="26"/>
      <c r="U402" s="26"/>
      <c r="V402" s="26"/>
      <c r="W402" s="26"/>
      <c r="X402" s="26"/>
    </row>
    <row r="403" spans="1:24" ht="22.5" x14ac:dyDescent="0.2">
      <c r="A403" s="46"/>
      <c r="B403" s="47" t="s">
        <v>9</v>
      </c>
      <c r="C403" s="235" t="s">
        <v>239</v>
      </c>
      <c r="D403" s="236"/>
      <c r="E403" s="236"/>
      <c r="F403" s="236"/>
      <c r="G403" s="236"/>
      <c r="H403" s="236"/>
      <c r="I403" s="236"/>
      <c r="J403" s="237"/>
      <c r="K403" s="52"/>
      <c r="L403" s="49"/>
      <c r="M403" s="49"/>
      <c r="N403" s="49"/>
      <c r="O403" s="49"/>
      <c r="P403" s="64"/>
      <c r="Q403" s="51"/>
      <c r="R403" s="23"/>
      <c r="S403" s="202" t="s">
        <v>240</v>
      </c>
      <c r="T403" s="199">
        <f>Q404/R404</f>
        <v>0.66239934859314209</v>
      </c>
      <c r="U403" s="199">
        <f>T403</f>
        <v>0.66239934859314209</v>
      </c>
      <c r="V403" s="26"/>
      <c r="W403" s="26"/>
      <c r="X403" s="26"/>
    </row>
    <row r="404" spans="1:24" x14ac:dyDescent="0.2">
      <c r="B404" s="47"/>
      <c r="C404" s="54">
        <v>7</v>
      </c>
      <c r="D404" s="55">
        <v>1</v>
      </c>
      <c r="E404" s="55">
        <f>D404/C404</f>
        <v>0.14285714285714285</v>
      </c>
      <c r="F404" s="55">
        <v>0</v>
      </c>
      <c r="G404" s="55"/>
      <c r="H404" s="56"/>
      <c r="I404" s="56">
        <v>3.302</v>
      </c>
      <c r="J404" s="78">
        <v>3.1579999999999999</v>
      </c>
      <c r="K404" s="59">
        <f>I404/(0.2*J404)</f>
        <v>5.2279924002533242</v>
      </c>
      <c r="L404" s="60">
        <f>E404</f>
        <v>0.14285714285714285</v>
      </c>
      <c r="M404" s="60">
        <f>F404</f>
        <v>0</v>
      </c>
      <c r="N404" s="60">
        <f>I404</f>
        <v>3.302</v>
      </c>
      <c r="O404" s="71">
        <f>J404</f>
        <v>3.1579999999999999</v>
      </c>
      <c r="P404" s="83">
        <f>3*((D404*SQRT(1+F404))/(C404))*(1+2*N404/O404)</f>
        <v>1.3247986971862842</v>
      </c>
      <c r="Q404" s="73">
        <f>P404</f>
        <v>1.3247986971862842</v>
      </c>
      <c r="R404" s="23">
        <v>2</v>
      </c>
      <c r="S404" s="202" t="s">
        <v>241</v>
      </c>
      <c r="T404" s="199">
        <f>Q404/R404</f>
        <v>0.66239934859314209</v>
      </c>
      <c r="U404" s="199">
        <f>T404</f>
        <v>0.66239934859314209</v>
      </c>
      <c r="V404" s="26"/>
      <c r="W404" s="26"/>
      <c r="X404" s="26"/>
    </row>
    <row r="405" spans="1:24" x14ac:dyDescent="0.2">
      <c r="B405" s="47" t="s">
        <v>10</v>
      </c>
      <c r="C405" s="238" t="s">
        <v>269</v>
      </c>
      <c r="D405" s="239"/>
      <c r="E405" s="239"/>
      <c r="F405" s="239"/>
      <c r="G405" s="239"/>
      <c r="H405" s="239"/>
      <c r="I405" s="239"/>
      <c r="J405" s="240"/>
      <c r="K405" s="62"/>
      <c r="L405" s="49"/>
      <c r="M405" s="49"/>
      <c r="N405" s="49"/>
      <c r="O405" s="49"/>
      <c r="P405" s="64"/>
      <c r="Q405" s="51"/>
      <c r="R405" s="23"/>
      <c r="S405" s="37"/>
      <c r="T405" s="23"/>
      <c r="U405" s="23"/>
    </row>
    <row r="406" spans="1:24" x14ac:dyDescent="0.2">
      <c r="B406" s="47" t="s">
        <v>11</v>
      </c>
      <c r="C406" s="263"/>
      <c r="D406" s="264"/>
      <c r="E406" s="264"/>
      <c r="F406" s="264"/>
      <c r="G406" s="264"/>
      <c r="H406" s="264"/>
      <c r="I406" s="264"/>
      <c r="J406" s="265"/>
      <c r="K406" s="48"/>
      <c r="L406" s="49"/>
      <c r="M406" s="49"/>
      <c r="N406" s="49"/>
      <c r="O406" s="49"/>
      <c r="P406" s="64"/>
      <c r="Q406" s="51"/>
      <c r="R406" s="23"/>
      <c r="S406" s="37"/>
      <c r="T406" s="23"/>
      <c r="U406" s="23"/>
    </row>
    <row r="407" spans="1:24" x14ac:dyDescent="0.2">
      <c r="B407" s="47"/>
      <c r="C407" s="232"/>
      <c r="D407" s="233"/>
      <c r="E407" s="233"/>
      <c r="F407" s="233"/>
      <c r="G407" s="233"/>
      <c r="H407" s="233"/>
      <c r="I407" s="233"/>
      <c r="J407" s="234"/>
      <c r="K407" s="48"/>
      <c r="L407" s="49"/>
      <c r="M407" s="49"/>
      <c r="N407" s="49"/>
      <c r="O407" s="49"/>
      <c r="P407" s="64"/>
      <c r="Q407" s="51"/>
      <c r="R407" s="23"/>
      <c r="S407" s="23"/>
      <c r="T407" s="23"/>
      <c r="U407" s="23"/>
    </row>
    <row r="408" spans="1:24" x14ac:dyDescent="0.2">
      <c r="B408" s="65"/>
      <c r="C408" s="244"/>
      <c r="D408" s="245"/>
      <c r="E408" s="245"/>
      <c r="F408" s="245"/>
      <c r="G408" s="245"/>
      <c r="H408" s="245"/>
      <c r="I408" s="245"/>
      <c r="J408" s="246"/>
      <c r="K408" s="48"/>
      <c r="L408" s="49"/>
      <c r="M408" s="49"/>
      <c r="N408" s="49"/>
      <c r="O408" s="49"/>
      <c r="P408" s="64"/>
      <c r="Q408" s="51"/>
      <c r="R408" s="23"/>
      <c r="S408" s="23"/>
      <c r="T408" s="23"/>
      <c r="U408" s="23"/>
    </row>
    <row r="409" spans="1:24" ht="33.75" x14ac:dyDescent="0.2">
      <c r="A409" s="46">
        <v>59</v>
      </c>
      <c r="B409" s="47" t="s">
        <v>8</v>
      </c>
      <c r="C409" s="263" t="s">
        <v>243</v>
      </c>
      <c r="D409" s="264"/>
      <c r="E409" s="264"/>
      <c r="F409" s="264"/>
      <c r="G409" s="264"/>
      <c r="H409" s="264"/>
      <c r="I409" s="264"/>
      <c r="J409" s="265"/>
      <c r="K409" s="48"/>
      <c r="L409" s="49"/>
      <c r="M409" s="49"/>
      <c r="N409" s="49"/>
      <c r="O409" s="49"/>
      <c r="P409" s="64"/>
      <c r="Q409" s="51"/>
      <c r="R409" s="23"/>
      <c r="S409" s="46"/>
      <c r="T409" s="26"/>
      <c r="U409" s="26"/>
      <c r="V409" s="26"/>
      <c r="W409" s="26"/>
      <c r="X409" s="26"/>
    </row>
    <row r="410" spans="1:24" ht="22.5" x14ac:dyDescent="0.2">
      <c r="A410" s="46"/>
      <c r="B410" s="47" t="s">
        <v>9</v>
      </c>
      <c r="C410" s="235" t="s">
        <v>242</v>
      </c>
      <c r="D410" s="236"/>
      <c r="E410" s="236"/>
      <c r="F410" s="236"/>
      <c r="G410" s="236"/>
      <c r="H410" s="236"/>
      <c r="I410" s="236"/>
      <c r="J410" s="237"/>
      <c r="K410" s="52"/>
      <c r="L410" s="49"/>
      <c r="M410" s="49"/>
      <c r="N410" s="49"/>
      <c r="O410" s="49"/>
      <c r="P410" s="64"/>
      <c r="Q410" s="51"/>
      <c r="R410" s="23"/>
      <c r="S410" s="201" t="s">
        <v>312</v>
      </c>
      <c r="T410" s="200">
        <f>Q411/R411</f>
        <v>1.2547743966421827</v>
      </c>
      <c r="U410" s="26"/>
      <c r="V410" s="26"/>
      <c r="W410" s="26"/>
      <c r="X410" s="26"/>
    </row>
    <row r="411" spans="1:24" x14ac:dyDescent="0.2">
      <c r="A411" s="46"/>
      <c r="B411" s="47"/>
      <c r="C411" s="54">
        <v>10</v>
      </c>
      <c r="D411" s="55">
        <v>2</v>
      </c>
      <c r="E411" s="55">
        <f>D411/C411</f>
        <v>0.2</v>
      </c>
      <c r="F411" s="55">
        <v>3</v>
      </c>
      <c r="G411" s="55"/>
      <c r="H411" s="56"/>
      <c r="I411" s="56">
        <v>2.08</v>
      </c>
      <c r="J411" s="78">
        <f>(3.627+3.997)/2</f>
        <v>3.8119999999999998</v>
      </c>
      <c r="K411" s="59">
        <f>I411/(0.2*J411)</f>
        <v>2.7282266526757608</v>
      </c>
      <c r="L411" s="60">
        <f>E411</f>
        <v>0.2</v>
      </c>
      <c r="M411" s="60">
        <f>F411</f>
        <v>3</v>
      </c>
      <c r="N411" s="60">
        <f>I411</f>
        <v>2.08</v>
      </c>
      <c r="O411" s="71">
        <f>J411</f>
        <v>3.8119999999999998</v>
      </c>
      <c r="P411" s="83">
        <f>3*((D411*SQRT(1+F411))/(C411))*(1+2*N411/O411)</f>
        <v>2.5095487932843654</v>
      </c>
      <c r="Q411" s="73">
        <f>P411</f>
        <v>2.5095487932843654</v>
      </c>
      <c r="R411" s="23">
        <v>2</v>
      </c>
      <c r="S411" s="202" t="s">
        <v>241</v>
      </c>
      <c r="T411" s="199">
        <f>Q411/R411</f>
        <v>1.2547743966421827</v>
      </c>
      <c r="U411" s="199">
        <f>T411+T410</f>
        <v>2.5095487932843654</v>
      </c>
      <c r="V411" s="26"/>
      <c r="W411" s="26"/>
      <c r="X411" s="26"/>
    </row>
    <row r="412" spans="1:24" x14ac:dyDescent="0.2">
      <c r="A412" s="46"/>
      <c r="B412" s="47" t="s">
        <v>10</v>
      </c>
      <c r="C412" s="238" t="s">
        <v>270</v>
      </c>
      <c r="D412" s="239"/>
      <c r="E412" s="239"/>
      <c r="F412" s="239"/>
      <c r="G412" s="239"/>
      <c r="H412" s="239"/>
      <c r="I412" s="239"/>
      <c r="J412" s="240"/>
      <c r="K412" s="62"/>
      <c r="L412" s="49"/>
      <c r="M412" s="49"/>
      <c r="N412" s="49"/>
      <c r="O412" s="49"/>
      <c r="P412" s="64"/>
      <c r="Q412" s="51"/>
      <c r="R412" s="23"/>
      <c r="S412" s="37"/>
      <c r="T412" s="23"/>
      <c r="U412" s="23"/>
    </row>
    <row r="413" spans="1:24" x14ac:dyDescent="0.2">
      <c r="A413" s="46"/>
      <c r="B413" s="47" t="s">
        <v>11</v>
      </c>
      <c r="C413" s="263"/>
      <c r="D413" s="264"/>
      <c r="E413" s="264"/>
      <c r="F413" s="264"/>
      <c r="G413" s="264"/>
      <c r="H413" s="264"/>
      <c r="I413" s="264"/>
      <c r="J413" s="265"/>
      <c r="K413" s="48"/>
      <c r="L413" s="49"/>
      <c r="M413" s="49"/>
      <c r="N413" s="49"/>
      <c r="O413" s="49"/>
      <c r="P413" s="64"/>
      <c r="Q413" s="51"/>
      <c r="R413" s="23"/>
      <c r="S413" s="37"/>
      <c r="T413" s="23"/>
      <c r="U413" s="23"/>
    </row>
    <row r="414" spans="1:24" x14ac:dyDescent="0.2">
      <c r="A414" s="46"/>
      <c r="B414" s="47"/>
      <c r="C414" s="232"/>
      <c r="D414" s="233"/>
      <c r="E414" s="233"/>
      <c r="F414" s="233"/>
      <c r="G414" s="233"/>
      <c r="H414" s="233"/>
      <c r="I414" s="233"/>
      <c r="J414" s="234"/>
      <c r="K414" s="48"/>
      <c r="L414" s="49"/>
      <c r="M414" s="49"/>
      <c r="N414" s="49"/>
      <c r="O414" s="49"/>
      <c r="P414" s="64"/>
      <c r="Q414" s="51"/>
      <c r="R414" s="23"/>
      <c r="S414" s="23"/>
      <c r="T414" s="23"/>
      <c r="U414" s="23"/>
    </row>
    <row r="415" spans="1:24" x14ac:dyDescent="0.2">
      <c r="A415" s="46"/>
      <c r="B415" s="65"/>
      <c r="C415" s="244"/>
      <c r="D415" s="245"/>
      <c r="E415" s="245"/>
      <c r="F415" s="245"/>
      <c r="G415" s="245"/>
      <c r="H415" s="245"/>
      <c r="I415" s="245"/>
      <c r="J415" s="246"/>
      <c r="K415" s="48"/>
      <c r="L415" s="49"/>
      <c r="M415" s="49"/>
      <c r="N415" s="49"/>
      <c r="O415" s="49"/>
      <c r="P415" s="64"/>
      <c r="Q415" s="51"/>
      <c r="R415" s="23"/>
      <c r="S415" s="23"/>
      <c r="T415" s="23"/>
      <c r="U415" s="23"/>
    </row>
    <row r="416" spans="1:24" ht="33.75" x14ac:dyDescent="0.2">
      <c r="A416" s="37">
        <v>60</v>
      </c>
      <c r="B416" s="47" t="s">
        <v>8</v>
      </c>
      <c r="C416" s="263" t="s">
        <v>246</v>
      </c>
      <c r="D416" s="264"/>
      <c r="E416" s="264"/>
      <c r="F416" s="264"/>
      <c r="G416" s="264"/>
      <c r="H416" s="264"/>
      <c r="I416" s="264"/>
      <c r="J416" s="265"/>
      <c r="K416" s="48"/>
      <c r="L416" s="49"/>
      <c r="M416" s="49"/>
      <c r="N416" s="49"/>
      <c r="O416" s="49"/>
      <c r="P416" s="64"/>
      <c r="Q416" s="51"/>
      <c r="R416" s="23"/>
      <c r="S416" s="201" t="s">
        <v>313</v>
      </c>
      <c r="T416" s="200">
        <f>Q418/R418</f>
        <v>1.9904060124223604</v>
      </c>
      <c r="U416" s="26"/>
      <c r="V416" s="26"/>
      <c r="W416" s="26"/>
      <c r="X416" s="26"/>
    </row>
    <row r="417" spans="1:24" ht="22.5" x14ac:dyDescent="0.2">
      <c r="A417" s="46"/>
      <c r="B417" s="47" t="s">
        <v>9</v>
      </c>
      <c r="C417" s="235" t="s">
        <v>245</v>
      </c>
      <c r="D417" s="236"/>
      <c r="E417" s="236"/>
      <c r="F417" s="236"/>
      <c r="G417" s="236"/>
      <c r="H417" s="236"/>
      <c r="I417" s="236"/>
      <c r="J417" s="237"/>
      <c r="K417" s="52"/>
      <c r="L417" s="49"/>
      <c r="M417" s="49"/>
      <c r="N417" s="49"/>
      <c r="O417" s="49"/>
      <c r="P417" s="64"/>
      <c r="Q417" s="51"/>
      <c r="R417" s="23"/>
      <c r="S417" s="201" t="s">
        <v>314</v>
      </c>
      <c r="T417" s="200">
        <f>Q418/R418</f>
        <v>1.9904060124223604</v>
      </c>
      <c r="U417" s="26"/>
      <c r="V417" s="26"/>
      <c r="W417" s="26"/>
      <c r="X417" s="26"/>
    </row>
    <row r="418" spans="1:24" x14ac:dyDescent="0.2">
      <c r="B418" s="47"/>
      <c r="C418" s="54">
        <v>5</v>
      </c>
      <c r="D418" s="55">
        <v>2.1659999999999999</v>
      </c>
      <c r="E418" s="55">
        <f>D418/C418</f>
        <v>0.43319999999999997</v>
      </c>
      <c r="F418" s="55">
        <v>3</v>
      </c>
      <c r="G418" s="55"/>
      <c r="H418" s="56"/>
      <c r="I418" s="56">
        <v>4.1520000000000001</v>
      </c>
      <c r="J418" s="78">
        <f>(3.259+4.438+4.378)/3</f>
        <v>4.0249999999999995</v>
      </c>
      <c r="K418" s="59">
        <f>I418/(0.2*J418)</f>
        <v>5.1577639751552802</v>
      </c>
      <c r="L418" s="60">
        <f>E418</f>
        <v>0.43319999999999997</v>
      </c>
      <c r="M418" s="60">
        <f>F418</f>
        <v>3</v>
      </c>
      <c r="N418" s="60">
        <f>I418</f>
        <v>4.1520000000000001</v>
      </c>
      <c r="O418" s="71">
        <f>J418</f>
        <v>4.0249999999999995</v>
      </c>
      <c r="P418" s="83">
        <f>3*((D418*SQRT(1+F418))/(C418))*(1+2*N418/O418)</f>
        <v>7.9616240496894415</v>
      </c>
      <c r="Q418" s="73">
        <f>P418</f>
        <v>7.9616240496894415</v>
      </c>
      <c r="R418" s="23">
        <v>4</v>
      </c>
      <c r="S418" s="202" t="s">
        <v>240</v>
      </c>
      <c r="T418" s="199">
        <f>Q418/R418</f>
        <v>1.9904060124223604</v>
      </c>
      <c r="U418" s="199">
        <f>T418</f>
        <v>1.9904060124223604</v>
      </c>
      <c r="V418" s="26"/>
      <c r="W418" s="26"/>
      <c r="X418" s="26"/>
    </row>
    <row r="419" spans="1:24" x14ac:dyDescent="0.2">
      <c r="B419" s="47" t="s">
        <v>10</v>
      </c>
      <c r="C419" s="238"/>
      <c r="D419" s="239"/>
      <c r="E419" s="239"/>
      <c r="F419" s="239"/>
      <c r="G419" s="239"/>
      <c r="H419" s="239"/>
      <c r="I419" s="239"/>
      <c r="J419" s="240"/>
      <c r="K419" s="62"/>
      <c r="L419" s="49"/>
      <c r="M419" s="49"/>
      <c r="N419" s="49"/>
      <c r="O419" s="49"/>
      <c r="P419" s="64"/>
      <c r="Q419" s="51"/>
      <c r="R419" s="23"/>
      <c r="S419" s="202" t="s">
        <v>241</v>
      </c>
      <c r="T419" s="199">
        <f>Q418/R418</f>
        <v>1.9904060124223604</v>
      </c>
      <c r="U419" s="199">
        <f>T419+T417+T416</f>
        <v>5.9712180372670813</v>
      </c>
    </row>
    <row r="420" spans="1:24" x14ac:dyDescent="0.2">
      <c r="B420" s="47" t="s">
        <v>11</v>
      </c>
      <c r="C420" s="263"/>
      <c r="D420" s="264"/>
      <c r="E420" s="264"/>
      <c r="F420" s="264"/>
      <c r="G420" s="264"/>
      <c r="H420" s="264"/>
      <c r="I420" s="264"/>
      <c r="J420" s="265"/>
      <c r="K420" s="48"/>
      <c r="L420" s="49"/>
      <c r="M420" s="49"/>
      <c r="N420" s="49"/>
      <c r="O420" s="49"/>
      <c r="P420" s="64"/>
      <c r="Q420" s="51"/>
      <c r="R420" s="23"/>
      <c r="T420" s="23"/>
      <c r="U420" s="23"/>
    </row>
    <row r="421" spans="1:24" x14ac:dyDescent="0.2">
      <c r="B421" s="47"/>
      <c r="C421" s="232"/>
      <c r="D421" s="233"/>
      <c r="E421" s="233"/>
      <c r="F421" s="233"/>
      <c r="G421" s="233"/>
      <c r="H421" s="233"/>
      <c r="I421" s="233"/>
      <c r="J421" s="234"/>
      <c r="K421" s="48"/>
      <c r="L421" s="49"/>
      <c r="M421" s="49"/>
      <c r="N421" s="49"/>
      <c r="O421" s="49"/>
      <c r="P421" s="64"/>
      <c r="Q421" s="51"/>
      <c r="R421" s="23"/>
      <c r="S421" s="23"/>
      <c r="T421" s="23"/>
      <c r="U421" s="23"/>
    </row>
    <row r="422" spans="1:24" x14ac:dyDescent="0.2">
      <c r="B422" s="65"/>
      <c r="C422" s="244"/>
      <c r="D422" s="245"/>
      <c r="E422" s="245"/>
      <c r="F422" s="245"/>
      <c r="G422" s="245"/>
      <c r="H422" s="245"/>
      <c r="I422" s="245"/>
      <c r="J422" s="246"/>
      <c r="K422" s="48"/>
      <c r="L422" s="49"/>
      <c r="M422" s="49"/>
      <c r="N422" s="49"/>
      <c r="O422" s="49"/>
      <c r="P422" s="64"/>
      <c r="Q422" s="51"/>
      <c r="R422" s="23"/>
      <c r="S422" s="23"/>
      <c r="T422" s="23"/>
      <c r="U422" s="23"/>
    </row>
    <row r="423" spans="1:24" ht="33.75" x14ac:dyDescent="0.2">
      <c r="A423" s="46">
        <v>61</v>
      </c>
      <c r="B423" s="47" t="s">
        <v>8</v>
      </c>
      <c r="C423" s="232" t="s">
        <v>250</v>
      </c>
      <c r="D423" s="233"/>
      <c r="E423" s="233"/>
      <c r="F423" s="233"/>
      <c r="G423" s="233"/>
      <c r="H423" s="233"/>
      <c r="I423" s="233"/>
      <c r="J423" s="234"/>
      <c r="K423" s="48"/>
      <c r="L423" s="49"/>
      <c r="M423" s="49"/>
      <c r="N423" s="49"/>
      <c r="O423" s="49"/>
      <c r="P423" s="64"/>
      <c r="Q423" s="51"/>
      <c r="R423" s="23"/>
      <c r="S423" s="46"/>
      <c r="T423" s="26"/>
      <c r="U423" s="26"/>
      <c r="V423" s="26"/>
      <c r="W423" s="26"/>
      <c r="X423" s="26"/>
    </row>
    <row r="424" spans="1:24" ht="22.5" x14ac:dyDescent="0.2">
      <c r="A424" s="46"/>
      <c r="B424" s="47" t="s">
        <v>9</v>
      </c>
      <c r="C424" s="235" t="s">
        <v>276</v>
      </c>
      <c r="D424" s="236"/>
      <c r="E424" s="236"/>
      <c r="F424" s="236"/>
      <c r="G424" s="236"/>
      <c r="H424" s="236"/>
      <c r="I424" s="236"/>
      <c r="J424" s="237"/>
      <c r="K424" s="52"/>
      <c r="L424" s="49"/>
      <c r="M424" s="49"/>
      <c r="N424" s="49"/>
      <c r="O424" s="49"/>
      <c r="P424" s="64"/>
      <c r="Q424" s="51"/>
      <c r="R424" s="23"/>
      <c r="S424" s="201" t="s">
        <v>329</v>
      </c>
      <c r="T424" s="200">
        <f>Q425/R425</f>
        <v>2.7508232711306264</v>
      </c>
      <c r="U424" s="26"/>
      <c r="V424" s="26"/>
      <c r="W424" s="26"/>
      <c r="X424" s="26"/>
    </row>
    <row r="425" spans="1:24" x14ac:dyDescent="0.2">
      <c r="A425" s="46"/>
      <c r="B425" s="47"/>
      <c r="C425" s="54">
        <v>5</v>
      </c>
      <c r="D425" s="55">
        <v>2</v>
      </c>
      <c r="E425" s="55">
        <f>D425/C425</f>
        <v>0.4</v>
      </c>
      <c r="F425" s="55">
        <v>3</v>
      </c>
      <c r="G425" s="55"/>
      <c r="H425" s="56"/>
      <c r="I425" s="56">
        <v>1.766</v>
      </c>
      <c r="J425" s="78">
        <f>(1.793+3.673)/2</f>
        <v>2.7330000000000001</v>
      </c>
      <c r="K425" s="59">
        <f>I425/(0.2*J425)</f>
        <v>3.2308818148554699</v>
      </c>
      <c r="L425" s="60">
        <f>E425</f>
        <v>0.4</v>
      </c>
      <c r="M425" s="60">
        <f>F425</f>
        <v>3</v>
      </c>
      <c r="N425" s="60">
        <f>I425</f>
        <v>1.766</v>
      </c>
      <c r="O425" s="71">
        <f>J425</f>
        <v>2.7330000000000001</v>
      </c>
      <c r="P425" s="83">
        <f>3*((D425*SQRT(1+F425))/(C425))*(1+2*N425/O425)</f>
        <v>5.5016465422612528</v>
      </c>
      <c r="Q425" s="73">
        <f>P425</f>
        <v>5.5016465422612528</v>
      </c>
      <c r="R425" s="23">
        <v>2</v>
      </c>
      <c r="S425" s="202" t="s">
        <v>20</v>
      </c>
      <c r="T425" s="199">
        <f>Q425/R425</f>
        <v>2.7508232711306264</v>
      </c>
      <c r="U425" s="199">
        <f>T425+T424</f>
        <v>5.5016465422612528</v>
      </c>
      <c r="V425" s="26"/>
      <c r="W425" s="26"/>
      <c r="X425" s="26"/>
    </row>
    <row r="426" spans="1:24" x14ac:dyDescent="0.2">
      <c r="A426" s="46"/>
      <c r="B426" s="47" t="s">
        <v>10</v>
      </c>
      <c r="C426" s="238" t="s">
        <v>271</v>
      </c>
      <c r="D426" s="239"/>
      <c r="E426" s="239"/>
      <c r="F426" s="239"/>
      <c r="G426" s="239"/>
      <c r="H426" s="239"/>
      <c r="I426" s="239"/>
      <c r="J426" s="240"/>
      <c r="K426" s="62"/>
      <c r="L426" s="49"/>
      <c r="M426" s="49"/>
      <c r="N426" s="49"/>
      <c r="O426" s="49"/>
      <c r="P426" s="64"/>
      <c r="Q426" s="51"/>
      <c r="R426" s="23"/>
      <c r="S426" s="37"/>
      <c r="T426" s="23"/>
      <c r="U426" s="23"/>
    </row>
    <row r="427" spans="1:24" x14ac:dyDescent="0.2">
      <c r="A427" s="46"/>
      <c r="B427" s="173" t="s">
        <v>11</v>
      </c>
      <c r="C427" s="241" t="s">
        <v>251</v>
      </c>
      <c r="D427" s="242"/>
      <c r="E427" s="242"/>
      <c r="F427" s="242"/>
      <c r="G427" s="242"/>
      <c r="H427" s="242"/>
      <c r="I427" s="242"/>
      <c r="J427" s="243"/>
      <c r="K427" s="48"/>
      <c r="L427" s="88"/>
      <c r="M427" s="88"/>
      <c r="N427" s="88"/>
      <c r="O427" s="88"/>
      <c r="P427" s="64"/>
      <c r="Q427" s="51"/>
      <c r="R427" s="23"/>
      <c r="S427" s="37"/>
      <c r="T427" s="23"/>
      <c r="U427" s="23"/>
    </row>
    <row r="428" spans="1:24" x14ac:dyDescent="0.2">
      <c r="A428" s="46"/>
      <c r="B428" s="173"/>
      <c r="C428" s="232"/>
      <c r="D428" s="233"/>
      <c r="E428" s="233"/>
      <c r="F428" s="233"/>
      <c r="G428" s="233"/>
      <c r="H428" s="233"/>
      <c r="I428" s="233"/>
      <c r="J428" s="234"/>
      <c r="K428" s="48"/>
      <c r="L428" s="88"/>
      <c r="M428" s="88"/>
      <c r="N428" s="88"/>
      <c r="O428" s="88"/>
      <c r="P428" s="64"/>
      <c r="Q428" s="51"/>
      <c r="R428" s="23"/>
      <c r="S428" s="23"/>
      <c r="T428" s="23"/>
      <c r="U428" s="23"/>
    </row>
    <row r="429" spans="1:24" x14ac:dyDescent="0.2">
      <c r="A429" s="46"/>
      <c r="B429" s="174"/>
      <c r="C429" s="244"/>
      <c r="D429" s="245"/>
      <c r="E429" s="245"/>
      <c r="F429" s="245"/>
      <c r="G429" s="245"/>
      <c r="H429" s="245"/>
      <c r="I429" s="245"/>
      <c r="J429" s="246"/>
      <c r="K429" s="48"/>
      <c r="L429" s="88"/>
      <c r="M429" s="88"/>
      <c r="N429" s="88"/>
      <c r="O429" s="88"/>
      <c r="P429" s="64"/>
      <c r="Q429" s="51"/>
      <c r="R429" s="23"/>
      <c r="S429" s="23"/>
      <c r="T429" s="23"/>
      <c r="U429" s="23"/>
    </row>
    <row r="430" spans="1:24" ht="31.5" x14ac:dyDescent="0.2">
      <c r="A430" s="37">
        <v>62</v>
      </c>
      <c r="B430" s="166" t="s">
        <v>8</v>
      </c>
      <c r="C430" s="250" t="s">
        <v>252</v>
      </c>
      <c r="D430" s="251"/>
      <c r="E430" s="251"/>
      <c r="F430" s="251"/>
      <c r="G430" s="251"/>
      <c r="H430" s="251"/>
      <c r="I430" s="251"/>
      <c r="J430" s="252"/>
      <c r="L430" s="187"/>
      <c r="M430" s="187"/>
      <c r="N430" s="187"/>
      <c r="O430" s="187"/>
      <c r="P430" s="188"/>
    </row>
    <row r="431" spans="1:24" ht="21" x14ac:dyDescent="0.2">
      <c r="A431" s="46"/>
      <c r="B431" s="166" t="s">
        <v>9</v>
      </c>
      <c r="C431" s="253" t="s">
        <v>253</v>
      </c>
      <c r="D431" s="254"/>
      <c r="E431" s="254"/>
      <c r="F431" s="254"/>
      <c r="G431" s="254"/>
      <c r="H431" s="254"/>
      <c r="I431" s="254"/>
      <c r="J431" s="255"/>
      <c r="L431" s="187"/>
      <c r="M431" s="187"/>
      <c r="N431" s="187"/>
      <c r="O431" s="187"/>
      <c r="P431" s="188"/>
      <c r="S431" s="27" t="s">
        <v>278</v>
      </c>
      <c r="T431" s="27">
        <f>Q432/R432</f>
        <v>0.89398716733181927</v>
      </c>
      <c r="U431" s="27">
        <f>T431</f>
        <v>0.89398716733181927</v>
      </c>
    </row>
    <row r="432" spans="1:24" x14ac:dyDescent="0.2">
      <c r="B432" s="166"/>
      <c r="C432" s="167">
        <v>7</v>
      </c>
      <c r="D432" s="168">
        <v>2</v>
      </c>
      <c r="E432" s="168">
        <f>D432/C432</f>
        <v>0.2857142857142857</v>
      </c>
      <c r="F432" s="168">
        <v>0</v>
      </c>
      <c r="G432" s="168"/>
      <c r="H432" s="169"/>
      <c r="I432" s="170">
        <v>1.7589999999999999</v>
      </c>
      <c r="J432" s="177">
        <f>(3.673+2.312+3.158+3.815)/4</f>
        <v>3.2394999999999996</v>
      </c>
      <c r="K432" s="37">
        <f>I432/(0.2*J432)</f>
        <v>2.714925142768946</v>
      </c>
      <c r="L432" s="60">
        <f t="shared" ref="L432" si="0">E432</f>
        <v>0.2857142857142857</v>
      </c>
      <c r="M432" s="60">
        <f t="shared" ref="M432" si="1">F432</f>
        <v>0</v>
      </c>
      <c r="N432" s="60">
        <f t="shared" ref="N432" si="2">I432</f>
        <v>1.7589999999999999</v>
      </c>
      <c r="O432" s="71">
        <f t="shared" ref="O432" si="3">J432</f>
        <v>3.2394999999999996</v>
      </c>
      <c r="P432" s="83">
        <f t="shared" ref="P432" si="4">3*((D432*SQRT(1+F432))/(C432))*(1+2*N432/O432)</f>
        <v>1.7879743346636385</v>
      </c>
      <c r="Q432" s="73">
        <f t="shared" ref="Q432" si="5">P432</f>
        <v>1.7879743346636385</v>
      </c>
      <c r="R432" s="25">
        <v>2</v>
      </c>
      <c r="S432" s="27" t="s">
        <v>277</v>
      </c>
      <c r="T432" s="27">
        <f>Q432/R432</f>
        <v>0.89398716733181927</v>
      </c>
      <c r="U432" s="27">
        <f>T432</f>
        <v>0.89398716733181927</v>
      </c>
    </row>
    <row r="433" spans="1:21" x14ac:dyDescent="0.2">
      <c r="B433" s="166" t="s">
        <v>10</v>
      </c>
      <c r="C433" s="256" t="s">
        <v>139</v>
      </c>
      <c r="D433" s="257"/>
      <c r="E433" s="257"/>
      <c r="F433" s="257"/>
      <c r="G433" s="257"/>
      <c r="H433" s="257"/>
      <c r="I433" s="257"/>
      <c r="J433" s="258"/>
      <c r="L433" s="49"/>
      <c r="M433" s="49"/>
      <c r="N433" s="49"/>
      <c r="O433" s="49"/>
      <c r="P433" s="64"/>
      <c r="Q433" s="51"/>
    </row>
    <row r="434" spans="1:21" x14ac:dyDescent="0.2">
      <c r="B434" s="171" t="s">
        <v>11</v>
      </c>
      <c r="C434" s="247" t="s">
        <v>251</v>
      </c>
      <c r="D434" s="248"/>
      <c r="E434" s="248"/>
      <c r="F434" s="248"/>
      <c r="G434" s="248"/>
      <c r="H434" s="248"/>
      <c r="I434" s="248"/>
      <c r="J434" s="249"/>
      <c r="L434" s="88"/>
      <c r="M434" s="88"/>
      <c r="N434" s="88"/>
      <c r="O434" s="88"/>
      <c r="P434" s="64"/>
      <c r="Q434" s="51"/>
    </row>
    <row r="435" spans="1:21" x14ac:dyDescent="0.2">
      <c r="B435" s="166"/>
      <c r="C435" s="324"/>
      <c r="D435" s="325"/>
      <c r="E435" s="325"/>
      <c r="F435" s="325"/>
      <c r="G435" s="325"/>
      <c r="H435" s="325"/>
      <c r="I435" s="325"/>
      <c r="J435" s="326"/>
      <c r="L435" s="88"/>
      <c r="M435" s="88"/>
      <c r="N435" s="88"/>
      <c r="O435" s="88"/>
      <c r="P435" s="64"/>
      <c r="Q435" s="51"/>
    </row>
    <row r="436" spans="1:21" x14ac:dyDescent="0.2">
      <c r="B436" s="174"/>
      <c r="C436" s="244"/>
      <c r="D436" s="245"/>
      <c r="E436" s="245"/>
      <c r="F436" s="245"/>
      <c r="G436" s="245"/>
      <c r="H436" s="245"/>
      <c r="I436" s="245"/>
      <c r="J436" s="246"/>
      <c r="L436" s="88"/>
      <c r="M436" s="88"/>
      <c r="N436" s="88"/>
      <c r="O436" s="88"/>
      <c r="P436" s="64"/>
      <c r="Q436" s="51"/>
    </row>
    <row r="437" spans="1:21" ht="31.5" x14ac:dyDescent="0.2">
      <c r="A437" s="46">
        <v>63</v>
      </c>
      <c r="B437" s="166" t="s">
        <v>8</v>
      </c>
      <c r="C437" s="259" t="s">
        <v>254</v>
      </c>
      <c r="D437" s="260"/>
      <c r="E437" s="260"/>
      <c r="F437" s="260"/>
      <c r="G437" s="260"/>
      <c r="H437" s="260"/>
      <c r="I437" s="260"/>
      <c r="J437" s="261"/>
      <c r="L437" s="187"/>
      <c r="M437" s="187"/>
      <c r="N437" s="187"/>
      <c r="O437" s="187"/>
      <c r="P437" s="188"/>
      <c r="S437" s="27" t="s">
        <v>263</v>
      </c>
      <c r="T437" s="27">
        <f>Q439/R439</f>
        <v>1.6472295143480704</v>
      </c>
      <c r="U437" s="27">
        <f>T437+T438+T439</f>
        <v>4.9416885430442115</v>
      </c>
    </row>
    <row r="438" spans="1:21" ht="21" x14ac:dyDescent="0.2">
      <c r="A438" s="46"/>
      <c r="B438" s="166" t="s">
        <v>9</v>
      </c>
      <c r="C438" s="262" t="s">
        <v>255</v>
      </c>
      <c r="D438" s="262"/>
      <c r="E438" s="262"/>
      <c r="F438" s="262"/>
      <c r="G438" s="262"/>
      <c r="H438" s="262"/>
      <c r="I438" s="262"/>
      <c r="J438" s="262"/>
      <c r="L438" s="187"/>
      <c r="M438" s="187"/>
      <c r="N438" s="187"/>
      <c r="O438" s="187"/>
      <c r="P438" s="188"/>
      <c r="S438" s="28" t="s">
        <v>319</v>
      </c>
      <c r="T438" s="28">
        <f>Q439/R439</f>
        <v>1.6472295143480704</v>
      </c>
    </row>
    <row r="439" spans="1:21" x14ac:dyDescent="0.2">
      <c r="A439" s="46"/>
      <c r="B439" s="166"/>
      <c r="C439" s="176">
        <v>7</v>
      </c>
      <c r="D439" s="176">
        <v>4</v>
      </c>
      <c r="E439" s="176">
        <f>D439/C439</f>
        <v>0.5714285714285714</v>
      </c>
      <c r="F439" s="176">
        <v>2</v>
      </c>
      <c r="G439" s="176"/>
      <c r="H439" s="177"/>
      <c r="I439" s="177">
        <v>1.867</v>
      </c>
      <c r="J439" s="177">
        <v>3.0630000000000002</v>
      </c>
      <c r="K439" s="37">
        <f>I439/(0.2*J439)</f>
        <v>3.047665687234737</v>
      </c>
      <c r="L439" s="60">
        <f t="shared" ref="L439" si="6">E439</f>
        <v>0.5714285714285714</v>
      </c>
      <c r="M439" s="60">
        <f t="shared" ref="M439" si="7">F439</f>
        <v>2</v>
      </c>
      <c r="N439" s="60">
        <f t="shared" ref="N439" si="8">I439</f>
        <v>1.867</v>
      </c>
      <c r="O439" s="71">
        <f t="shared" ref="O439" si="9">J439</f>
        <v>3.0630000000000002</v>
      </c>
      <c r="P439" s="83">
        <f t="shared" ref="P439" si="10">3*((D439*SQRT(1+F439))/(C439))*(1+2*N439/O439)</f>
        <v>6.5889180573922816</v>
      </c>
      <c r="Q439" s="73">
        <f t="shared" ref="Q439" si="11">P439</f>
        <v>6.5889180573922816</v>
      </c>
      <c r="R439" s="25">
        <v>4</v>
      </c>
      <c r="S439" s="28" t="s">
        <v>318</v>
      </c>
      <c r="T439" s="28">
        <f>Q439/R439</f>
        <v>1.6472295143480704</v>
      </c>
    </row>
    <row r="440" spans="1:21" x14ac:dyDescent="0.2">
      <c r="A440" s="46"/>
      <c r="B440" s="166" t="s">
        <v>10</v>
      </c>
      <c r="C440" s="262" t="s">
        <v>139</v>
      </c>
      <c r="D440" s="262"/>
      <c r="E440" s="262"/>
      <c r="F440" s="262"/>
      <c r="G440" s="262"/>
      <c r="H440" s="262"/>
      <c r="I440" s="262"/>
      <c r="J440" s="262"/>
      <c r="L440" s="49"/>
      <c r="M440" s="49"/>
      <c r="N440" s="49"/>
      <c r="O440" s="49"/>
      <c r="P440" s="64"/>
      <c r="Q440" s="51"/>
      <c r="S440" s="27" t="s">
        <v>279</v>
      </c>
      <c r="T440" s="27">
        <f>Q439/R439</f>
        <v>1.6472295143480704</v>
      </c>
      <c r="U440" s="27">
        <f>T440</f>
        <v>1.6472295143480704</v>
      </c>
    </row>
    <row r="441" spans="1:21" x14ac:dyDescent="0.2">
      <c r="A441" s="46"/>
      <c r="B441" s="166" t="s">
        <v>11</v>
      </c>
      <c r="C441" s="223" t="s">
        <v>251</v>
      </c>
      <c r="D441" s="223"/>
      <c r="E441" s="223"/>
      <c r="F441" s="223"/>
      <c r="G441" s="223"/>
      <c r="H441" s="223"/>
      <c r="I441" s="223"/>
      <c r="J441" s="223"/>
      <c r="L441" s="88"/>
      <c r="M441" s="88"/>
      <c r="N441" s="88"/>
      <c r="O441" s="88"/>
      <c r="P441" s="64"/>
      <c r="Q441" s="51"/>
    </row>
    <row r="442" spans="1:21" x14ac:dyDescent="0.2">
      <c r="A442" s="46"/>
      <c r="B442" s="166"/>
      <c r="C442" s="324"/>
      <c r="D442" s="325"/>
      <c r="E442" s="325"/>
      <c r="F442" s="325"/>
      <c r="G442" s="325"/>
      <c r="H442" s="325"/>
      <c r="I442" s="325"/>
      <c r="J442" s="326"/>
      <c r="L442" s="88"/>
      <c r="M442" s="88"/>
      <c r="N442" s="88"/>
      <c r="O442" s="88"/>
      <c r="P442" s="64"/>
      <c r="Q442" s="51"/>
    </row>
    <row r="443" spans="1:21" x14ac:dyDescent="0.2">
      <c r="A443" s="46"/>
      <c r="B443" s="174"/>
      <c r="C443" s="244"/>
      <c r="D443" s="245"/>
      <c r="E443" s="245"/>
      <c r="F443" s="245"/>
      <c r="G443" s="245"/>
      <c r="H443" s="245"/>
      <c r="I443" s="245"/>
      <c r="J443" s="246"/>
      <c r="L443" s="88"/>
      <c r="M443" s="88"/>
      <c r="N443" s="88"/>
      <c r="O443" s="88"/>
      <c r="P443" s="64"/>
      <c r="Q443" s="51"/>
    </row>
    <row r="444" spans="1:21" ht="31.5" x14ac:dyDescent="0.2">
      <c r="A444" s="37">
        <v>64</v>
      </c>
      <c r="B444" s="166" t="s">
        <v>8</v>
      </c>
      <c r="C444" s="322" t="s">
        <v>256</v>
      </c>
      <c r="D444" s="322"/>
      <c r="E444" s="322"/>
      <c r="F444" s="322"/>
      <c r="G444" s="322"/>
      <c r="H444" s="322"/>
      <c r="I444" s="322"/>
      <c r="J444" s="322"/>
      <c r="L444" s="187"/>
      <c r="M444" s="187"/>
      <c r="N444" s="187"/>
      <c r="O444" s="187"/>
      <c r="P444" s="188"/>
    </row>
    <row r="445" spans="1:21" ht="21" x14ac:dyDescent="0.2">
      <c r="A445" s="46"/>
      <c r="B445" s="166" t="s">
        <v>9</v>
      </c>
      <c r="C445" s="262" t="s">
        <v>257</v>
      </c>
      <c r="D445" s="262"/>
      <c r="E445" s="262"/>
      <c r="F445" s="262"/>
      <c r="G445" s="262"/>
      <c r="H445" s="262"/>
      <c r="I445" s="262"/>
      <c r="J445" s="262"/>
      <c r="L445" s="187"/>
      <c r="M445" s="187"/>
      <c r="N445" s="187"/>
      <c r="O445" s="187"/>
      <c r="P445" s="188"/>
      <c r="S445" s="27" t="s">
        <v>280</v>
      </c>
      <c r="T445" s="27">
        <f>Q446/R446</f>
        <v>1.8206910652561377</v>
      </c>
      <c r="U445" s="27">
        <f>T445</f>
        <v>1.8206910652561377</v>
      </c>
    </row>
    <row r="446" spans="1:21" x14ac:dyDescent="0.2">
      <c r="B446" s="166"/>
      <c r="C446" s="176">
        <v>9</v>
      </c>
      <c r="D446" s="176">
        <v>3</v>
      </c>
      <c r="E446" s="176">
        <f>D446/C446</f>
        <v>0.33333333333333331</v>
      </c>
      <c r="F446" s="176">
        <v>5</v>
      </c>
      <c r="G446" s="176"/>
      <c r="H446" s="177"/>
      <c r="I446" s="177">
        <v>2.3460000000000001</v>
      </c>
      <c r="J446" s="177">
        <f>(3.815)</f>
        <v>3.8149999999999999</v>
      </c>
      <c r="K446" s="37">
        <f>I446/(0.2*J446)</f>
        <v>3.0747051114023591</v>
      </c>
      <c r="L446" s="60">
        <f t="shared" ref="L446" si="12">E446</f>
        <v>0.33333333333333331</v>
      </c>
      <c r="M446" s="60">
        <f t="shared" ref="M446" si="13">F446</f>
        <v>5</v>
      </c>
      <c r="N446" s="60">
        <f t="shared" ref="N446" si="14">I446</f>
        <v>2.3460000000000001</v>
      </c>
      <c r="O446" s="71">
        <f t="shared" ref="O446" si="15">J446</f>
        <v>3.8149999999999999</v>
      </c>
      <c r="P446" s="83">
        <f t="shared" ref="P446" si="16">3*((D446*SQRT(1+F446))/(C446))*(1+2*N446/O446)</f>
        <v>5.4620731957684132</v>
      </c>
      <c r="Q446" s="73">
        <f t="shared" ref="Q446" si="17">P446</f>
        <v>5.4620731957684132</v>
      </c>
      <c r="R446" s="25">
        <v>3</v>
      </c>
      <c r="S446" s="27" t="s">
        <v>263</v>
      </c>
      <c r="T446" s="27">
        <f>Q446/R446</f>
        <v>1.8206910652561377</v>
      </c>
      <c r="U446" s="27">
        <f>T446+T447</f>
        <v>3.6413821305122753</v>
      </c>
    </row>
    <row r="447" spans="1:21" x14ac:dyDescent="0.2">
      <c r="B447" s="166" t="s">
        <v>10</v>
      </c>
      <c r="C447" s="262" t="s">
        <v>258</v>
      </c>
      <c r="D447" s="262"/>
      <c r="E447" s="262"/>
      <c r="F447" s="262"/>
      <c r="G447" s="262"/>
      <c r="H447" s="262"/>
      <c r="I447" s="262"/>
      <c r="J447" s="262"/>
      <c r="L447" s="49"/>
      <c r="M447" s="49"/>
      <c r="N447" s="49"/>
      <c r="O447" s="49"/>
      <c r="P447" s="64"/>
      <c r="Q447" s="51"/>
      <c r="S447" s="28" t="s">
        <v>317</v>
      </c>
      <c r="T447" s="28">
        <f>Q446/R446</f>
        <v>1.8206910652561377</v>
      </c>
    </row>
    <row r="448" spans="1:21" x14ac:dyDescent="0.2">
      <c r="B448" s="166" t="s">
        <v>11</v>
      </c>
      <c r="C448" s="223" t="s">
        <v>251</v>
      </c>
      <c r="D448" s="223"/>
      <c r="E448" s="223"/>
      <c r="F448" s="223"/>
      <c r="G448" s="223"/>
      <c r="H448" s="223"/>
      <c r="I448" s="223"/>
      <c r="J448" s="223"/>
      <c r="L448" s="88"/>
      <c r="M448" s="88"/>
      <c r="N448" s="88"/>
      <c r="O448" s="88"/>
      <c r="P448" s="64"/>
      <c r="Q448" s="51"/>
    </row>
    <row r="449" spans="1:21" x14ac:dyDescent="0.2">
      <c r="B449" s="166"/>
      <c r="C449" s="330"/>
      <c r="D449" s="331"/>
      <c r="E449" s="331"/>
      <c r="F449" s="331"/>
      <c r="G449" s="331"/>
      <c r="H449" s="331"/>
      <c r="I449" s="331"/>
      <c r="J449" s="332"/>
      <c r="L449" s="88"/>
      <c r="M449" s="88"/>
      <c r="N449" s="88"/>
      <c r="O449" s="88"/>
      <c r="P449" s="64"/>
      <c r="Q449" s="51"/>
    </row>
    <row r="450" spans="1:21" x14ac:dyDescent="0.2">
      <c r="B450" s="174"/>
      <c r="C450" s="244"/>
      <c r="D450" s="245"/>
      <c r="E450" s="245"/>
      <c r="F450" s="245"/>
      <c r="G450" s="245"/>
      <c r="H450" s="245"/>
      <c r="I450" s="245"/>
      <c r="J450" s="246"/>
      <c r="L450" s="88"/>
      <c r="M450" s="88"/>
      <c r="N450" s="88"/>
      <c r="O450" s="88"/>
      <c r="P450" s="64"/>
      <c r="Q450" s="51"/>
    </row>
    <row r="451" spans="1:21" ht="31.5" x14ac:dyDescent="0.2">
      <c r="A451" s="46">
        <v>65</v>
      </c>
      <c r="B451" s="166" t="s">
        <v>8</v>
      </c>
      <c r="C451" s="322" t="s">
        <v>259</v>
      </c>
      <c r="D451" s="322"/>
      <c r="E451" s="322"/>
      <c r="F451" s="322"/>
      <c r="G451" s="322"/>
      <c r="H451" s="322"/>
      <c r="I451" s="322"/>
      <c r="J451" s="322"/>
      <c r="L451" s="187"/>
      <c r="M451" s="187"/>
      <c r="N451" s="187"/>
      <c r="O451" s="187"/>
      <c r="P451" s="188"/>
    </row>
    <row r="452" spans="1:21" ht="21" x14ac:dyDescent="0.2">
      <c r="A452" s="46"/>
      <c r="B452" s="166" t="s">
        <v>9</v>
      </c>
      <c r="C452" s="262" t="s">
        <v>260</v>
      </c>
      <c r="D452" s="262"/>
      <c r="E452" s="262"/>
      <c r="F452" s="262"/>
      <c r="G452" s="262"/>
      <c r="H452" s="262"/>
      <c r="I452" s="262"/>
      <c r="J452" s="262"/>
      <c r="L452" s="187"/>
      <c r="M452" s="187"/>
      <c r="N452" s="187"/>
      <c r="O452" s="187"/>
      <c r="P452" s="188"/>
      <c r="S452" s="27" t="s">
        <v>280</v>
      </c>
      <c r="T452" s="27">
        <f>Q453/R453</f>
        <v>2.2832048488249912</v>
      </c>
      <c r="U452" s="27">
        <f>T452</f>
        <v>2.2832048488249912</v>
      </c>
    </row>
    <row r="453" spans="1:21" x14ac:dyDescent="0.2">
      <c r="A453" s="46"/>
      <c r="B453" s="166"/>
      <c r="C453" s="176">
        <v>7</v>
      </c>
      <c r="D453" s="176">
        <v>2</v>
      </c>
      <c r="E453" s="176">
        <f>D453/C453</f>
        <v>0.2857142857142857</v>
      </c>
      <c r="F453" s="176">
        <v>4</v>
      </c>
      <c r="G453" s="176"/>
      <c r="H453" s="177"/>
      <c r="I453" s="177">
        <v>2.1829999999999998</v>
      </c>
      <c r="J453" s="177">
        <v>3.1579999999999999</v>
      </c>
      <c r="K453" s="37">
        <f>I453/(0.2*J453)</f>
        <v>3.4563014566181121</v>
      </c>
      <c r="L453" s="60">
        <f t="shared" ref="L453" si="18">E453</f>
        <v>0.2857142857142857</v>
      </c>
      <c r="M453" s="60">
        <f t="shared" ref="M453" si="19">F453</f>
        <v>4</v>
      </c>
      <c r="N453" s="60">
        <f t="shared" ref="N453" si="20">I453</f>
        <v>2.1829999999999998</v>
      </c>
      <c r="O453" s="71">
        <f t="shared" ref="O453" si="21">J453</f>
        <v>3.1579999999999999</v>
      </c>
      <c r="P453" s="83">
        <f t="shared" ref="P453" si="22">3*((D453*SQRT(1+F453))/(C453))*(1+2*N453/O453)</f>
        <v>4.5664096976499824</v>
      </c>
      <c r="Q453" s="73">
        <f t="shared" ref="Q453" si="23">P453</f>
        <v>4.5664096976499824</v>
      </c>
      <c r="R453" s="25">
        <v>2</v>
      </c>
      <c r="S453" s="27" t="s">
        <v>263</v>
      </c>
      <c r="T453" s="27">
        <f>Q453/R453</f>
        <v>2.2832048488249912</v>
      </c>
      <c r="U453" s="27">
        <f>T453</f>
        <v>2.2832048488249912</v>
      </c>
    </row>
    <row r="454" spans="1:21" x14ac:dyDescent="0.2">
      <c r="A454" s="46"/>
      <c r="B454" s="166" t="s">
        <v>10</v>
      </c>
      <c r="C454" s="262" t="s">
        <v>261</v>
      </c>
      <c r="D454" s="262"/>
      <c r="E454" s="262"/>
      <c r="F454" s="262"/>
      <c r="G454" s="262"/>
      <c r="H454" s="262"/>
      <c r="I454" s="262"/>
      <c r="J454" s="262"/>
      <c r="L454" s="49"/>
      <c r="M454" s="49"/>
      <c r="N454" s="49"/>
      <c r="O454" s="49"/>
      <c r="P454" s="64"/>
      <c r="Q454" s="51"/>
    </row>
    <row r="455" spans="1:21" x14ac:dyDescent="0.2">
      <c r="A455" s="46"/>
      <c r="B455" s="166" t="s">
        <v>11</v>
      </c>
      <c r="C455" s="223" t="s">
        <v>251</v>
      </c>
      <c r="D455" s="223"/>
      <c r="E455" s="223"/>
      <c r="F455" s="223"/>
      <c r="G455" s="223"/>
      <c r="H455" s="223"/>
      <c r="I455" s="223"/>
      <c r="J455" s="223"/>
      <c r="L455" s="88"/>
      <c r="M455" s="88"/>
      <c r="N455" s="88"/>
      <c r="O455" s="88"/>
      <c r="P455" s="64"/>
      <c r="Q455" s="51"/>
    </row>
    <row r="456" spans="1:21" x14ac:dyDescent="0.2">
      <c r="A456" s="46"/>
      <c r="B456" s="166"/>
      <c r="C456" s="229"/>
      <c r="D456" s="230"/>
      <c r="E456" s="230"/>
      <c r="F456" s="230"/>
      <c r="G456" s="230"/>
      <c r="H456" s="230"/>
      <c r="I456" s="230"/>
      <c r="J456" s="231"/>
      <c r="L456" s="88"/>
      <c r="M456" s="88"/>
      <c r="N456" s="88"/>
      <c r="O456" s="88"/>
      <c r="P456" s="64"/>
      <c r="Q456" s="51"/>
    </row>
    <row r="457" spans="1:21" x14ac:dyDescent="0.2">
      <c r="A457" s="46"/>
      <c r="B457" s="174"/>
      <c r="C457" s="327"/>
      <c r="D457" s="328"/>
      <c r="E457" s="328"/>
      <c r="F457" s="328"/>
      <c r="G457" s="328"/>
      <c r="H457" s="328"/>
      <c r="I457" s="328"/>
      <c r="J457" s="329"/>
      <c r="L457" s="88"/>
      <c r="M457" s="88"/>
      <c r="N457" s="88"/>
      <c r="O457" s="88"/>
      <c r="P457" s="64"/>
      <c r="Q457" s="51"/>
    </row>
    <row r="458" spans="1:21" ht="31.5" x14ac:dyDescent="0.2">
      <c r="A458" s="37">
        <v>66</v>
      </c>
      <c r="B458" s="166" t="s">
        <v>8</v>
      </c>
      <c r="C458" s="322" t="s">
        <v>262</v>
      </c>
      <c r="D458" s="322"/>
      <c r="E458" s="322"/>
      <c r="F458" s="322"/>
      <c r="G458" s="322"/>
      <c r="H458" s="322"/>
      <c r="I458" s="322"/>
      <c r="J458" s="322"/>
      <c r="L458" s="187"/>
      <c r="M458" s="187"/>
      <c r="N458" s="187"/>
      <c r="O458" s="187"/>
      <c r="P458" s="188"/>
    </row>
    <row r="459" spans="1:21" ht="21" x14ac:dyDescent="0.2">
      <c r="A459" s="46"/>
      <c r="B459" s="166" t="s">
        <v>9</v>
      </c>
      <c r="C459" s="262" t="s">
        <v>263</v>
      </c>
      <c r="D459" s="262"/>
      <c r="E459" s="262"/>
      <c r="F459" s="262"/>
      <c r="G459" s="262"/>
      <c r="H459" s="262"/>
      <c r="I459" s="262"/>
      <c r="J459" s="262"/>
      <c r="L459" s="187"/>
      <c r="M459" s="187"/>
      <c r="N459" s="187"/>
      <c r="O459" s="187"/>
      <c r="P459" s="188"/>
    </row>
    <row r="460" spans="1:21" x14ac:dyDescent="0.2">
      <c r="B460" s="166"/>
      <c r="C460" s="176">
        <v>7</v>
      </c>
      <c r="D460" s="176">
        <v>1</v>
      </c>
      <c r="E460" s="176">
        <f>D460/C460</f>
        <v>0.14285714285714285</v>
      </c>
      <c r="F460" s="176">
        <v>4</v>
      </c>
      <c r="G460" s="176"/>
      <c r="H460" s="177"/>
      <c r="I460" s="177">
        <v>1.5580000000000001</v>
      </c>
      <c r="J460" s="177">
        <f>(3.673+3.158)/2</f>
        <v>3.4154999999999998</v>
      </c>
      <c r="K460" s="37">
        <f>I460/(0.2*J460)</f>
        <v>2.2807788025179327</v>
      </c>
      <c r="L460" s="60">
        <f t="shared" ref="L460" si="24">E460</f>
        <v>0.14285714285714285</v>
      </c>
      <c r="M460" s="60">
        <f t="shared" ref="M460" si="25">F460</f>
        <v>4</v>
      </c>
      <c r="N460" s="60">
        <f t="shared" ref="N460" si="26">I460</f>
        <v>1.5580000000000001</v>
      </c>
      <c r="O460" s="71">
        <f t="shared" ref="O460" si="27">J460</f>
        <v>3.4154999999999998</v>
      </c>
      <c r="P460" s="83">
        <f t="shared" ref="P460" si="28">3*((D460*SQRT(1+F460))/(C460))*(1+2*N460/O460)</f>
        <v>1.83259652362631</v>
      </c>
      <c r="Q460" s="73">
        <f t="shared" ref="Q460" si="29">P460</f>
        <v>1.83259652362631</v>
      </c>
      <c r="R460" s="25">
        <v>1</v>
      </c>
      <c r="S460" s="27" t="s">
        <v>263</v>
      </c>
      <c r="T460" s="27">
        <f>Q460/R460</f>
        <v>1.83259652362631</v>
      </c>
      <c r="U460" s="27">
        <f>T460</f>
        <v>1.83259652362631</v>
      </c>
    </row>
    <row r="461" spans="1:21" x14ac:dyDescent="0.2">
      <c r="B461" s="166" t="s">
        <v>10</v>
      </c>
      <c r="C461" s="262" t="s">
        <v>264</v>
      </c>
      <c r="D461" s="262"/>
      <c r="E461" s="262"/>
      <c r="F461" s="262"/>
      <c r="G461" s="262"/>
      <c r="H461" s="262"/>
      <c r="I461" s="262"/>
      <c r="J461" s="262"/>
      <c r="L461" s="49"/>
      <c r="M461" s="49"/>
      <c r="N461" s="49"/>
      <c r="O461" s="49"/>
      <c r="P461" s="64"/>
      <c r="Q461" s="51"/>
    </row>
    <row r="462" spans="1:21" x14ac:dyDescent="0.2">
      <c r="B462" s="166" t="s">
        <v>11</v>
      </c>
      <c r="C462" s="223" t="s">
        <v>251</v>
      </c>
      <c r="D462" s="223"/>
      <c r="E462" s="223"/>
      <c r="F462" s="223"/>
      <c r="G462" s="223"/>
      <c r="H462" s="223"/>
      <c r="I462" s="223"/>
      <c r="J462" s="223"/>
      <c r="L462" s="88"/>
      <c r="M462" s="88"/>
      <c r="N462" s="88"/>
      <c r="O462" s="88"/>
      <c r="P462" s="64"/>
      <c r="Q462" s="51"/>
    </row>
    <row r="463" spans="1:21" x14ac:dyDescent="0.2">
      <c r="B463" s="166"/>
      <c r="C463" s="229"/>
      <c r="D463" s="230"/>
      <c r="E463" s="230"/>
      <c r="F463" s="230"/>
      <c r="G463" s="230"/>
      <c r="H463" s="230"/>
      <c r="I463" s="230"/>
      <c r="J463" s="231"/>
      <c r="L463" s="88"/>
      <c r="M463" s="88"/>
      <c r="N463" s="88"/>
      <c r="O463" s="88"/>
      <c r="P463" s="64"/>
      <c r="Q463" s="51"/>
    </row>
    <row r="464" spans="1:21" x14ac:dyDescent="0.2">
      <c r="B464" s="174"/>
      <c r="C464" s="327"/>
      <c r="D464" s="328"/>
      <c r="E464" s="328"/>
      <c r="F464" s="328"/>
      <c r="G464" s="328"/>
      <c r="H464" s="328"/>
      <c r="I464" s="328"/>
      <c r="J464" s="329"/>
      <c r="L464" s="88"/>
      <c r="M464" s="88"/>
      <c r="N464" s="88"/>
      <c r="O464" s="88"/>
      <c r="P464" s="64"/>
      <c r="Q464" s="51"/>
    </row>
    <row r="465" spans="1:21" ht="31.5" x14ac:dyDescent="0.2">
      <c r="A465" s="46">
        <v>67</v>
      </c>
      <c r="B465" s="166" t="s">
        <v>8</v>
      </c>
      <c r="C465" s="322" t="s">
        <v>265</v>
      </c>
      <c r="D465" s="322"/>
      <c r="E465" s="322"/>
      <c r="F465" s="322"/>
      <c r="G465" s="322"/>
      <c r="H465" s="322"/>
      <c r="I465" s="322"/>
      <c r="J465" s="322"/>
      <c r="L465" s="187"/>
      <c r="M465" s="187"/>
      <c r="N465" s="187"/>
      <c r="O465" s="187"/>
      <c r="P465" s="188"/>
    </row>
    <row r="466" spans="1:21" ht="21" x14ac:dyDescent="0.2">
      <c r="A466" s="46"/>
      <c r="B466" s="166" t="s">
        <v>9</v>
      </c>
      <c r="C466" s="262" t="s">
        <v>273</v>
      </c>
      <c r="D466" s="262"/>
      <c r="E466" s="262"/>
      <c r="F466" s="262"/>
      <c r="G466" s="262"/>
      <c r="H466" s="262"/>
      <c r="I466" s="262"/>
      <c r="J466" s="262"/>
      <c r="L466" s="187"/>
      <c r="M466" s="187"/>
      <c r="N466" s="187"/>
      <c r="O466" s="187"/>
      <c r="P466" s="188"/>
    </row>
    <row r="467" spans="1:21" x14ac:dyDescent="0.2">
      <c r="A467" s="46"/>
      <c r="B467" s="166"/>
      <c r="C467" s="176">
        <v>4</v>
      </c>
      <c r="D467" s="176">
        <v>1</v>
      </c>
      <c r="E467" s="176">
        <f>D467/C467</f>
        <v>0.25</v>
      </c>
      <c r="F467" s="176">
        <v>0</v>
      </c>
      <c r="G467" s="176"/>
      <c r="H467" s="177"/>
      <c r="I467" s="177">
        <v>1.1319999999999999</v>
      </c>
      <c r="J467" s="177">
        <v>2.9590000000000001</v>
      </c>
      <c r="K467" s="37">
        <f>I467/(0.2*J467)</f>
        <v>1.912808381209868</v>
      </c>
      <c r="L467" s="60">
        <f t="shared" ref="L467" si="30">E467</f>
        <v>0.25</v>
      </c>
      <c r="M467" s="60">
        <f t="shared" ref="M467" si="31">F467</f>
        <v>0</v>
      </c>
      <c r="N467" s="60">
        <f t="shared" ref="N467" si="32">I467</f>
        <v>1.1319999999999999</v>
      </c>
      <c r="O467" s="71">
        <f t="shared" ref="O467" si="33">J467</f>
        <v>2.9590000000000001</v>
      </c>
      <c r="P467" s="83">
        <f t="shared" ref="P467" si="34">3*((D467*SQRT(1+F467))/(C467))*(1+2*N467/O467)</f>
        <v>1.3238425143629604</v>
      </c>
      <c r="Q467" s="73">
        <f t="shared" ref="Q467" si="35">P467</f>
        <v>1.3238425143629604</v>
      </c>
      <c r="R467" s="25">
        <v>1</v>
      </c>
      <c r="S467" s="27" t="s">
        <v>273</v>
      </c>
      <c r="T467" s="27">
        <f>Q467/R467</f>
        <v>1.3238425143629604</v>
      </c>
      <c r="U467" s="27">
        <f>T467</f>
        <v>1.3238425143629604</v>
      </c>
    </row>
    <row r="468" spans="1:21" x14ac:dyDescent="0.2">
      <c r="A468" s="46"/>
      <c r="B468" s="166" t="s">
        <v>10</v>
      </c>
      <c r="C468" s="262" t="s">
        <v>272</v>
      </c>
      <c r="D468" s="262"/>
      <c r="E468" s="262"/>
      <c r="F468" s="262"/>
      <c r="G468" s="262"/>
      <c r="H468" s="262"/>
      <c r="I468" s="262"/>
      <c r="J468" s="262"/>
      <c r="L468" s="49"/>
      <c r="M468" s="49"/>
      <c r="N468" s="49"/>
      <c r="O468" s="49"/>
      <c r="P468" s="64"/>
      <c r="Q468" s="51"/>
    </row>
    <row r="469" spans="1:21" x14ac:dyDescent="0.2">
      <c r="A469" s="46"/>
      <c r="B469" s="166" t="s">
        <v>11</v>
      </c>
      <c r="C469" s="221"/>
      <c r="D469" s="221"/>
      <c r="E469" s="221"/>
      <c r="F469" s="221"/>
      <c r="G469" s="221"/>
      <c r="H469" s="221"/>
      <c r="I469" s="221"/>
      <c r="J469" s="221"/>
      <c r="L469" s="88"/>
      <c r="M469" s="88"/>
      <c r="N469" s="88"/>
      <c r="O469" s="88"/>
      <c r="P469" s="64"/>
      <c r="Q469" s="51"/>
    </row>
    <row r="470" spans="1:21" x14ac:dyDescent="0.2">
      <c r="A470" s="46"/>
      <c r="B470" s="166"/>
      <c r="C470" s="229"/>
      <c r="D470" s="230"/>
      <c r="E470" s="230"/>
      <c r="F470" s="230"/>
      <c r="G470" s="230"/>
      <c r="H470" s="230"/>
      <c r="I470" s="230"/>
      <c r="J470" s="231"/>
      <c r="L470" s="88"/>
      <c r="M470" s="88"/>
      <c r="N470" s="88"/>
      <c r="O470" s="88"/>
      <c r="P470" s="64"/>
      <c r="Q470" s="51"/>
    </row>
    <row r="471" spans="1:21" x14ac:dyDescent="0.2">
      <c r="A471" s="46"/>
      <c r="B471" s="174"/>
      <c r="C471" s="327"/>
      <c r="D471" s="328"/>
      <c r="E471" s="328"/>
      <c r="F471" s="328"/>
      <c r="G471" s="328"/>
      <c r="H471" s="328"/>
      <c r="I471" s="328"/>
      <c r="J471" s="329"/>
      <c r="L471" s="88"/>
      <c r="M471" s="88"/>
      <c r="N471" s="88"/>
      <c r="O471" s="88"/>
      <c r="P471" s="64"/>
      <c r="Q471" s="51"/>
    </row>
    <row r="472" spans="1:21" ht="31.5" x14ac:dyDescent="0.2">
      <c r="A472" s="37">
        <v>68</v>
      </c>
      <c r="B472" s="166" t="s">
        <v>8</v>
      </c>
      <c r="C472" s="322" t="s">
        <v>266</v>
      </c>
      <c r="D472" s="322"/>
      <c r="E472" s="322"/>
      <c r="F472" s="322"/>
      <c r="G472" s="322"/>
      <c r="H472" s="322"/>
      <c r="I472" s="322"/>
      <c r="J472" s="322"/>
      <c r="L472" s="187"/>
      <c r="M472" s="187"/>
      <c r="N472" s="187"/>
      <c r="O472" s="187"/>
      <c r="P472" s="188"/>
      <c r="S472" s="28" t="s">
        <v>315</v>
      </c>
      <c r="T472" s="28">
        <f>Q474/R474</f>
        <v>2.2973291925465844</v>
      </c>
    </row>
    <row r="473" spans="1:21" ht="21" x14ac:dyDescent="0.2">
      <c r="A473" s="46"/>
      <c r="B473" s="166" t="s">
        <v>9</v>
      </c>
      <c r="C473" s="262" t="s">
        <v>281</v>
      </c>
      <c r="D473" s="262"/>
      <c r="E473" s="262"/>
      <c r="F473" s="262"/>
      <c r="G473" s="262"/>
      <c r="H473" s="262"/>
      <c r="I473" s="262"/>
      <c r="J473" s="262"/>
      <c r="L473" s="187"/>
      <c r="M473" s="187"/>
      <c r="N473" s="187"/>
      <c r="O473" s="187"/>
      <c r="P473" s="188"/>
      <c r="S473" s="28" t="s">
        <v>316</v>
      </c>
      <c r="T473" s="28">
        <f>Q474/R474</f>
        <v>2.2973291925465844</v>
      </c>
    </row>
    <row r="474" spans="1:21" x14ac:dyDescent="0.2">
      <c r="B474" s="166"/>
      <c r="C474" s="176">
        <v>4</v>
      </c>
      <c r="D474" s="176">
        <v>4</v>
      </c>
      <c r="E474" s="176">
        <f>D474/C474</f>
        <v>1</v>
      </c>
      <c r="F474" s="176">
        <v>0</v>
      </c>
      <c r="G474" s="176"/>
      <c r="H474" s="177"/>
      <c r="I474" s="177">
        <v>4.1520000000000001</v>
      </c>
      <c r="J474" s="177">
        <f>(3.259+4.438+4.378)/3</f>
        <v>4.0249999999999995</v>
      </c>
      <c r="K474" s="37">
        <f>I474/(0.2*J474)</f>
        <v>5.1577639751552802</v>
      </c>
      <c r="L474" s="60">
        <f t="shared" ref="L474" si="36">E474</f>
        <v>1</v>
      </c>
      <c r="M474" s="60">
        <f t="shared" ref="M474" si="37">F474</f>
        <v>0</v>
      </c>
      <c r="N474" s="60">
        <f t="shared" ref="N474" si="38">I474</f>
        <v>4.1520000000000001</v>
      </c>
      <c r="O474" s="71">
        <f t="shared" ref="O474" si="39">J474</f>
        <v>4.0249999999999995</v>
      </c>
      <c r="P474" s="83">
        <f t="shared" ref="P474" si="40">3*((D474*SQRT(1+F474))/(C474))*(1+2*N474/O474)</f>
        <v>9.1893167701863376</v>
      </c>
      <c r="Q474" s="73">
        <f t="shared" ref="Q474" si="41">P474</f>
        <v>9.1893167701863376</v>
      </c>
      <c r="R474" s="25">
        <v>4</v>
      </c>
      <c r="S474" s="27" t="s">
        <v>282</v>
      </c>
      <c r="T474" s="27">
        <f>Q474/R474</f>
        <v>2.2973291925465844</v>
      </c>
      <c r="U474" s="27">
        <f>T474</f>
        <v>2.2973291925465844</v>
      </c>
    </row>
    <row r="475" spans="1:21" x14ac:dyDescent="0.2">
      <c r="B475" s="166" t="s">
        <v>10</v>
      </c>
      <c r="C475" s="262" t="s">
        <v>274</v>
      </c>
      <c r="D475" s="262"/>
      <c r="E475" s="262"/>
      <c r="F475" s="262"/>
      <c r="G475" s="262"/>
      <c r="H475" s="262"/>
      <c r="I475" s="262"/>
      <c r="J475" s="262"/>
      <c r="L475" s="49"/>
      <c r="M475" s="49"/>
      <c r="N475" s="49"/>
      <c r="O475" s="49"/>
      <c r="P475" s="64"/>
      <c r="Q475" s="51"/>
      <c r="S475" s="27" t="s">
        <v>283</v>
      </c>
      <c r="T475" s="27">
        <f>Q474/R474</f>
        <v>2.2973291925465844</v>
      </c>
      <c r="U475" s="27">
        <f>T475+T473+T472</f>
        <v>6.8919875776397532</v>
      </c>
    </row>
    <row r="476" spans="1:21" x14ac:dyDescent="0.2">
      <c r="B476" s="166" t="s">
        <v>11</v>
      </c>
      <c r="C476" s="323" t="s">
        <v>267</v>
      </c>
      <c r="D476" s="323"/>
      <c r="E476" s="323"/>
      <c r="F476" s="323"/>
      <c r="G476" s="323"/>
      <c r="H476" s="323"/>
      <c r="I476" s="323"/>
      <c r="J476" s="323"/>
      <c r="L476" s="88"/>
      <c r="M476" s="88"/>
      <c r="N476" s="88"/>
      <c r="O476" s="88"/>
      <c r="P476" s="64"/>
      <c r="Q476" s="51"/>
    </row>
    <row r="477" spans="1:21" x14ac:dyDescent="0.2">
      <c r="B477" s="166"/>
      <c r="C477" s="333"/>
      <c r="D477" s="334"/>
      <c r="E477" s="334"/>
      <c r="F477" s="334"/>
      <c r="G477" s="334"/>
      <c r="H477" s="334"/>
      <c r="I477" s="334"/>
      <c r="J477" s="335"/>
      <c r="L477" s="88"/>
      <c r="M477" s="88"/>
      <c r="N477" s="88"/>
      <c r="O477" s="88"/>
      <c r="P477" s="64"/>
      <c r="Q477" s="51"/>
    </row>
    <row r="478" spans="1:21" x14ac:dyDescent="0.2">
      <c r="B478" s="174"/>
      <c r="C478" s="244"/>
      <c r="D478" s="245"/>
      <c r="E478" s="245"/>
      <c r="F478" s="245"/>
      <c r="G478" s="245"/>
      <c r="H478" s="245"/>
      <c r="I478" s="245"/>
      <c r="J478" s="246"/>
      <c r="L478" s="88"/>
      <c r="M478" s="88"/>
      <c r="N478" s="88"/>
      <c r="O478" s="88"/>
      <c r="P478" s="64"/>
      <c r="Q478" s="51"/>
    </row>
    <row r="479" spans="1:21" ht="31.5" x14ac:dyDescent="0.2">
      <c r="A479" s="46">
        <v>69</v>
      </c>
      <c r="B479" s="166" t="s">
        <v>8</v>
      </c>
      <c r="C479" s="322" t="s">
        <v>361</v>
      </c>
      <c r="D479" s="322"/>
      <c r="E479" s="322"/>
      <c r="F479" s="322"/>
      <c r="G479" s="322"/>
      <c r="H479" s="322"/>
      <c r="I479" s="322"/>
      <c r="J479" s="322"/>
      <c r="L479" s="187"/>
      <c r="M479" s="187"/>
      <c r="N479" s="187"/>
      <c r="O479" s="187"/>
      <c r="P479" s="188"/>
      <c r="S479" s="27" t="s">
        <v>364</v>
      </c>
      <c r="T479" s="27">
        <f>Q481/R481</f>
        <v>1.5602258469259727</v>
      </c>
      <c r="U479" s="27">
        <f>T479+T480+T481</f>
        <v>4.6806775407779178</v>
      </c>
    </row>
    <row r="480" spans="1:21" ht="21" x14ac:dyDescent="0.2">
      <c r="A480" s="46"/>
      <c r="B480" s="166" t="s">
        <v>9</v>
      </c>
      <c r="C480" s="262" t="s">
        <v>363</v>
      </c>
      <c r="D480" s="262"/>
      <c r="E480" s="262"/>
      <c r="F480" s="262"/>
      <c r="G480" s="262"/>
      <c r="H480" s="262"/>
      <c r="I480" s="262"/>
      <c r="J480" s="262"/>
      <c r="L480" s="187"/>
      <c r="M480" s="187"/>
      <c r="N480" s="187"/>
      <c r="O480" s="187"/>
      <c r="P480" s="188"/>
      <c r="S480" s="28" t="s">
        <v>365</v>
      </c>
      <c r="T480" s="28">
        <f>Q481/R481</f>
        <v>1.5602258469259727</v>
      </c>
    </row>
    <row r="481" spans="1:24" x14ac:dyDescent="0.2">
      <c r="A481" s="46"/>
      <c r="B481" s="166"/>
      <c r="C481" s="176">
        <v>5</v>
      </c>
      <c r="D481" s="176">
        <v>4</v>
      </c>
      <c r="E481" s="176">
        <f>D481/C481</f>
        <v>0.8</v>
      </c>
      <c r="F481" s="176">
        <v>0</v>
      </c>
      <c r="G481" s="176"/>
      <c r="H481" s="177"/>
      <c r="I481" s="220">
        <v>2.5510000000000002</v>
      </c>
      <c r="J481" s="177">
        <f>(3.57+2.806)/2</f>
        <v>3.1879999999999997</v>
      </c>
      <c r="K481" s="37">
        <f>I481/(0.2*J481)</f>
        <v>4.000941028858219</v>
      </c>
      <c r="L481" s="60">
        <f t="shared" ref="L481" si="42">E481</f>
        <v>0.8</v>
      </c>
      <c r="M481" s="60">
        <f t="shared" ref="M481" si="43">F481</f>
        <v>0</v>
      </c>
      <c r="N481" s="60">
        <f t="shared" ref="N481" si="44">I481</f>
        <v>2.5510000000000002</v>
      </c>
      <c r="O481" s="71">
        <f t="shared" ref="O481" si="45">J481</f>
        <v>3.1879999999999997</v>
      </c>
      <c r="P481" s="83">
        <f t="shared" ref="P481" si="46">3*((D481*SQRT(1+F481))/(C481))*(1+2*N481/O481)</f>
        <v>6.2409033877038906</v>
      </c>
      <c r="Q481" s="73">
        <f t="shared" ref="Q481" si="47">P481</f>
        <v>6.2409033877038906</v>
      </c>
      <c r="R481" s="25">
        <v>4</v>
      </c>
      <c r="S481" s="28" t="s">
        <v>366</v>
      </c>
      <c r="T481" s="28">
        <f>Q481/R481</f>
        <v>1.5602258469259727</v>
      </c>
    </row>
    <row r="482" spans="1:24" x14ac:dyDescent="0.2">
      <c r="A482" s="46"/>
      <c r="B482" s="166" t="s">
        <v>10</v>
      </c>
      <c r="C482" s="262" t="s">
        <v>362</v>
      </c>
      <c r="D482" s="262"/>
      <c r="E482" s="262"/>
      <c r="F482" s="262"/>
      <c r="G482" s="262"/>
      <c r="H482" s="262"/>
      <c r="I482" s="262"/>
      <c r="J482" s="262"/>
      <c r="L482" s="49"/>
      <c r="M482" s="49"/>
      <c r="N482" s="49"/>
      <c r="O482" s="49"/>
      <c r="P482" s="64"/>
      <c r="Q482" s="51"/>
      <c r="S482" s="27" t="s">
        <v>367</v>
      </c>
      <c r="T482" s="27">
        <f>Q481/R481</f>
        <v>1.5602258469259727</v>
      </c>
      <c r="U482" s="27">
        <f>T482</f>
        <v>1.5602258469259727</v>
      </c>
    </row>
    <row r="483" spans="1:24" x14ac:dyDescent="0.2">
      <c r="A483" s="46"/>
      <c r="B483" s="166" t="s">
        <v>11</v>
      </c>
      <c r="C483" s="223" t="s">
        <v>251</v>
      </c>
      <c r="D483" s="223"/>
      <c r="E483" s="223"/>
      <c r="F483" s="223"/>
      <c r="G483" s="223"/>
      <c r="H483" s="223"/>
      <c r="I483" s="223"/>
      <c r="J483" s="223"/>
      <c r="L483" s="88"/>
      <c r="M483" s="88"/>
      <c r="N483" s="88"/>
      <c r="O483" s="88"/>
      <c r="P483" s="64"/>
      <c r="Q483" s="51"/>
    </row>
    <row r="484" spans="1:24" x14ac:dyDescent="0.2">
      <c r="A484" s="46"/>
      <c r="B484" s="172"/>
      <c r="C484" s="229"/>
      <c r="D484" s="230"/>
      <c r="E484" s="230"/>
      <c r="F484" s="230"/>
      <c r="G484" s="230"/>
      <c r="H484" s="230"/>
      <c r="I484" s="230"/>
      <c r="J484" s="231"/>
      <c r="L484" s="88"/>
      <c r="M484" s="88"/>
      <c r="N484" s="88"/>
      <c r="O484" s="88"/>
      <c r="P484" s="64"/>
      <c r="Q484" s="51"/>
    </row>
    <row r="485" spans="1:24" x14ac:dyDescent="0.2">
      <c r="A485" s="46"/>
      <c r="B485" s="174"/>
      <c r="C485" s="226"/>
      <c r="D485" s="227"/>
      <c r="E485" s="227"/>
      <c r="F485" s="227"/>
      <c r="G485" s="227"/>
      <c r="H485" s="227"/>
      <c r="I485" s="227"/>
      <c r="J485" s="228"/>
      <c r="L485" s="88"/>
      <c r="M485" s="88"/>
      <c r="N485" s="88"/>
      <c r="O485" s="88"/>
      <c r="P485" s="64"/>
      <c r="Q485" s="51"/>
    </row>
    <row r="486" spans="1:24" ht="31.5" x14ac:dyDescent="0.2">
      <c r="A486" s="37">
        <v>70</v>
      </c>
      <c r="B486" s="166" t="s">
        <v>8</v>
      </c>
      <c r="C486" s="221"/>
      <c r="D486" s="221"/>
      <c r="E486" s="221"/>
      <c r="F486" s="221"/>
      <c r="G486" s="221"/>
      <c r="H486" s="221"/>
      <c r="I486" s="221"/>
      <c r="J486" s="221"/>
      <c r="K486" s="175"/>
      <c r="L486" s="187"/>
      <c r="M486" s="187"/>
      <c r="N486" s="187"/>
      <c r="O486" s="187"/>
      <c r="P486" s="188"/>
      <c r="R486" s="181"/>
      <c r="S486" s="182"/>
      <c r="T486" s="26"/>
      <c r="U486" s="26"/>
      <c r="V486" s="26"/>
      <c r="W486" s="26"/>
      <c r="X486" s="26"/>
    </row>
    <row r="487" spans="1:24" ht="21" x14ac:dyDescent="0.2">
      <c r="A487" s="46"/>
      <c r="B487" s="166" t="s">
        <v>9</v>
      </c>
      <c r="C487" s="222"/>
      <c r="D487" s="222"/>
      <c r="E487" s="222"/>
      <c r="F487" s="222"/>
      <c r="G487" s="222"/>
      <c r="H487" s="222"/>
      <c r="I487" s="222"/>
      <c r="J487" s="222"/>
      <c r="K487" s="175"/>
      <c r="L487" s="187"/>
      <c r="M487" s="187"/>
      <c r="N487" s="187"/>
      <c r="O487" s="187"/>
      <c r="P487" s="188"/>
      <c r="R487" s="181"/>
      <c r="S487" s="182"/>
      <c r="T487" s="26"/>
      <c r="U487" s="26"/>
      <c r="V487" s="26"/>
      <c r="W487" s="26"/>
      <c r="X487" s="26"/>
    </row>
    <row r="488" spans="1:24" x14ac:dyDescent="0.2">
      <c r="B488" s="166"/>
      <c r="C488" s="178"/>
      <c r="D488" s="179"/>
      <c r="E488" s="178"/>
      <c r="F488" s="178"/>
      <c r="G488" s="178"/>
      <c r="H488" s="180"/>
      <c r="I488" s="180"/>
      <c r="J488" s="180"/>
      <c r="K488" s="175"/>
      <c r="L488" s="60">
        <f t="shared" ref="L488" si="48">E488</f>
        <v>0</v>
      </c>
      <c r="M488" s="60">
        <f t="shared" ref="M488" si="49">F488</f>
        <v>0</v>
      </c>
      <c r="N488" s="60">
        <f t="shared" ref="N488" si="50">I488</f>
        <v>0</v>
      </c>
      <c r="O488" s="71">
        <f t="shared" ref="O488" si="51">J488</f>
        <v>0</v>
      </c>
      <c r="P488" s="83" t="e">
        <f t="shared" ref="P488" si="52">3*((D488*SQRT(1+F488))/(C488))*(1+2*N488/O488)</f>
        <v>#DIV/0!</v>
      </c>
      <c r="Q488" s="73" t="e">
        <f t="shared" ref="Q488" si="53">P488</f>
        <v>#DIV/0!</v>
      </c>
      <c r="R488" s="181"/>
      <c r="S488" s="182"/>
      <c r="T488" s="26"/>
      <c r="U488" s="26"/>
      <c r="V488" s="26"/>
      <c r="W488" s="26"/>
      <c r="X488" s="26"/>
    </row>
    <row r="489" spans="1:24" x14ac:dyDescent="0.2">
      <c r="B489" s="166" t="s">
        <v>10</v>
      </c>
      <c r="C489" s="222"/>
      <c r="D489" s="222"/>
      <c r="E489" s="222"/>
      <c r="F489" s="222"/>
      <c r="G489" s="222"/>
      <c r="H489" s="222"/>
      <c r="I489" s="222"/>
      <c r="J489" s="222"/>
      <c r="K489" s="175"/>
      <c r="L489" s="49"/>
      <c r="M489" s="49"/>
      <c r="N489" s="49"/>
      <c r="O489" s="49"/>
      <c r="P489" s="64"/>
      <c r="Q489" s="51"/>
      <c r="R489" s="181"/>
      <c r="S489" s="183"/>
      <c r="T489" s="23"/>
      <c r="U489" s="23"/>
    </row>
    <row r="490" spans="1:24" x14ac:dyDescent="0.2">
      <c r="B490" s="166" t="s">
        <v>11</v>
      </c>
      <c r="C490" s="223"/>
      <c r="D490" s="223"/>
      <c r="E490" s="223"/>
      <c r="F490" s="223"/>
      <c r="G490" s="223"/>
      <c r="H490" s="223"/>
      <c r="I490" s="223"/>
      <c r="J490" s="223"/>
      <c r="K490" s="175"/>
      <c r="L490" s="88"/>
      <c r="M490" s="88"/>
      <c r="N490" s="88"/>
      <c r="O490" s="88"/>
      <c r="P490" s="64"/>
      <c r="Q490" s="51"/>
      <c r="R490" s="181"/>
      <c r="S490" s="183"/>
      <c r="T490" s="23"/>
      <c r="U490" s="23"/>
    </row>
    <row r="491" spans="1:24" x14ac:dyDescent="0.2">
      <c r="B491" s="98"/>
      <c r="C491" s="224"/>
      <c r="D491" s="224"/>
      <c r="E491" s="224"/>
      <c r="F491" s="224"/>
      <c r="G491" s="224"/>
      <c r="H491" s="224"/>
      <c r="I491" s="224"/>
      <c r="J491" s="224"/>
      <c r="K491" s="175"/>
      <c r="L491" s="88"/>
      <c r="M491" s="88"/>
      <c r="N491" s="88"/>
      <c r="O491" s="88"/>
      <c r="P491" s="64"/>
      <c r="Q491" s="51"/>
      <c r="R491" s="181"/>
      <c r="S491" s="181"/>
      <c r="T491" s="23"/>
      <c r="U491" s="23"/>
    </row>
    <row r="492" spans="1:24" x14ac:dyDescent="0.2">
      <c r="B492" s="164"/>
      <c r="C492" s="225"/>
      <c r="D492" s="225"/>
      <c r="E492" s="225"/>
      <c r="F492" s="225"/>
      <c r="G492" s="225"/>
      <c r="H492" s="225"/>
      <c r="I492" s="225"/>
      <c r="J492" s="225"/>
      <c r="K492" s="175"/>
      <c r="L492" s="88"/>
      <c r="M492" s="88"/>
      <c r="N492" s="88"/>
      <c r="O492" s="88"/>
      <c r="P492" s="64"/>
      <c r="Q492" s="51"/>
      <c r="R492" s="181"/>
      <c r="S492" s="181"/>
      <c r="T492" s="23"/>
      <c r="U492" s="23"/>
    </row>
    <row r="493" spans="1:24" ht="15" x14ac:dyDescent="0.2">
      <c r="K493" s="183"/>
      <c r="L493" s="182"/>
      <c r="M493" s="182"/>
      <c r="N493" s="182"/>
      <c r="O493" s="182"/>
      <c r="P493" s="186"/>
      <c r="Q493" s="184"/>
      <c r="R493" s="31"/>
      <c r="S493" s="185"/>
      <c r="T493" s="203">
        <f>SUM(T4:T492)</f>
        <v>418.35058135857366</v>
      </c>
      <c r="U493" s="203">
        <f>SUM(U4:U492)</f>
        <v>418.35058135857361</v>
      </c>
    </row>
    <row r="494" spans="1:24" x14ac:dyDescent="0.2">
      <c r="L494" s="46"/>
      <c r="M494" s="46"/>
      <c r="N494" s="46"/>
      <c r="O494" s="46"/>
      <c r="P494" s="153"/>
      <c r="S494" s="204" t="s">
        <v>284</v>
      </c>
      <c r="T494" s="204">
        <f>T493-U493</f>
        <v>0</v>
      </c>
    </row>
    <row r="495" spans="1:24" x14ac:dyDescent="0.2">
      <c r="L495" s="46"/>
      <c r="M495" s="46"/>
      <c r="N495" s="46"/>
      <c r="O495" s="46"/>
      <c r="P495" s="153"/>
    </row>
  </sheetData>
  <mergeCells count="336">
    <mergeCell ref="C479:J479"/>
    <mergeCell ref="C480:J480"/>
    <mergeCell ref="C482:J482"/>
    <mergeCell ref="C483:J483"/>
    <mergeCell ref="C435:J435"/>
    <mergeCell ref="C442:J442"/>
    <mergeCell ref="C436:J436"/>
    <mergeCell ref="C443:J443"/>
    <mergeCell ref="C450:J450"/>
    <mergeCell ref="C457:J457"/>
    <mergeCell ref="C464:J464"/>
    <mergeCell ref="C471:J471"/>
    <mergeCell ref="C478:J478"/>
    <mergeCell ref="C470:J470"/>
    <mergeCell ref="C463:J463"/>
    <mergeCell ref="C456:J456"/>
    <mergeCell ref="C449:J449"/>
    <mergeCell ref="C477:J477"/>
    <mergeCell ref="C462:J462"/>
    <mergeCell ref="C465:J465"/>
    <mergeCell ref="C466:J466"/>
    <mergeCell ref="C468:J468"/>
    <mergeCell ref="C469:J469"/>
    <mergeCell ref="C472:J472"/>
    <mergeCell ref="C444:J444"/>
    <mergeCell ref="C445:J445"/>
    <mergeCell ref="C447:J447"/>
    <mergeCell ref="C473:J473"/>
    <mergeCell ref="C475:J475"/>
    <mergeCell ref="C476:J476"/>
    <mergeCell ref="C451:J451"/>
    <mergeCell ref="C452:J452"/>
    <mergeCell ref="C454:J454"/>
    <mergeCell ref="C458:J458"/>
    <mergeCell ref="C459:J459"/>
    <mergeCell ref="C461:J461"/>
    <mergeCell ref="C14:J14"/>
    <mergeCell ref="C15:J15"/>
    <mergeCell ref="C16:J16"/>
    <mergeCell ref="C9:J9"/>
    <mergeCell ref="C11:J11"/>
    <mergeCell ref="C3:J3"/>
    <mergeCell ref="C13:J13"/>
    <mergeCell ref="C4:J4"/>
    <mergeCell ref="C6:J6"/>
    <mergeCell ref="C7:J7"/>
    <mergeCell ref="C8:J8"/>
    <mergeCell ref="C10:J10"/>
    <mergeCell ref="C17:J17"/>
    <mergeCell ref="C39:J39"/>
    <mergeCell ref="C41:J41"/>
    <mergeCell ref="C32:J32"/>
    <mergeCell ref="C34:J34"/>
    <mergeCell ref="C35:J35"/>
    <mergeCell ref="C36:J36"/>
    <mergeCell ref="C31:J31"/>
    <mergeCell ref="C206:J206"/>
    <mergeCell ref="C199:J199"/>
    <mergeCell ref="C28:J28"/>
    <mergeCell ref="C29:J29"/>
    <mergeCell ref="C30:J30"/>
    <mergeCell ref="C23:J23"/>
    <mergeCell ref="C24:J24"/>
    <mergeCell ref="C25:J25"/>
    <mergeCell ref="C27:J27"/>
    <mergeCell ref="C18:J18"/>
    <mergeCell ref="C20:J20"/>
    <mergeCell ref="C38:J38"/>
    <mergeCell ref="C51:J51"/>
    <mergeCell ref="C53:J53"/>
    <mergeCell ref="C55:J55"/>
    <mergeCell ref="C46:J46"/>
    <mergeCell ref="C48:J48"/>
    <mergeCell ref="C49:J49"/>
    <mergeCell ref="C50:J50"/>
    <mergeCell ref="C21:J21"/>
    <mergeCell ref="C22:J22"/>
    <mergeCell ref="C42:J42"/>
    <mergeCell ref="C43:J43"/>
    <mergeCell ref="C44:J44"/>
    <mergeCell ref="C37:J37"/>
    <mergeCell ref="C45:J45"/>
    <mergeCell ref="C52:J52"/>
    <mergeCell ref="C79:J79"/>
    <mergeCell ref="C81:J81"/>
    <mergeCell ref="C83:J83"/>
    <mergeCell ref="C74:J74"/>
    <mergeCell ref="C76:J76"/>
    <mergeCell ref="C77:J77"/>
    <mergeCell ref="C78:J78"/>
    <mergeCell ref="C70:J70"/>
    <mergeCell ref="C71:J71"/>
    <mergeCell ref="C72:J72"/>
    <mergeCell ref="C65:J65"/>
    <mergeCell ref="C66:J66"/>
    <mergeCell ref="C67:J67"/>
    <mergeCell ref="C69:J69"/>
    <mergeCell ref="C60:J60"/>
    <mergeCell ref="C62:J62"/>
    <mergeCell ref="C63:J63"/>
    <mergeCell ref="C64:J64"/>
    <mergeCell ref="C56:J56"/>
    <mergeCell ref="C57:J57"/>
    <mergeCell ref="C58:J58"/>
    <mergeCell ref="C59:J59"/>
    <mergeCell ref="C80:J80"/>
    <mergeCell ref="C73:J73"/>
    <mergeCell ref="C109:J109"/>
    <mergeCell ref="C111:J111"/>
    <mergeCell ref="C102:J102"/>
    <mergeCell ref="C104:J104"/>
    <mergeCell ref="C105:J105"/>
    <mergeCell ref="C106:J106"/>
    <mergeCell ref="C98:J98"/>
    <mergeCell ref="C99:J99"/>
    <mergeCell ref="C100:J100"/>
    <mergeCell ref="C101:J101"/>
    <mergeCell ref="C93:J93"/>
    <mergeCell ref="C108:J108"/>
    <mergeCell ref="C95:J95"/>
    <mergeCell ref="C97:J97"/>
    <mergeCell ref="C88:J88"/>
    <mergeCell ref="C90:J90"/>
    <mergeCell ref="C91:J91"/>
    <mergeCell ref="C92:J92"/>
    <mergeCell ref="C84:J84"/>
    <mergeCell ref="C85:J85"/>
    <mergeCell ref="C86:J86"/>
    <mergeCell ref="C121:J121"/>
    <mergeCell ref="C87:J87"/>
    <mergeCell ref="C123:J123"/>
    <mergeCell ref="C125:J125"/>
    <mergeCell ref="C116:J116"/>
    <mergeCell ref="C118:J118"/>
    <mergeCell ref="C119:J119"/>
    <mergeCell ref="C120:J120"/>
    <mergeCell ref="C94:J94"/>
    <mergeCell ref="C112:J112"/>
    <mergeCell ref="C113:J113"/>
    <mergeCell ref="C114:J114"/>
    <mergeCell ref="C115:J115"/>
    <mergeCell ref="C107:J107"/>
    <mergeCell ref="C122:J122"/>
    <mergeCell ref="C133:J133"/>
    <mergeCell ref="C134:J134"/>
    <mergeCell ref="C135:J135"/>
    <mergeCell ref="C129:J129"/>
    <mergeCell ref="C128:J128"/>
    <mergeCell ref="C130:J130"/>
    <mergeCell ref="C132:J132"/>
    <mergeCell ref="C126:J126"/>
    <mergeCell ref="C127:J127"/>
    <mergeCell ref="C136:J136"/>
    <mergeCell ref="C151:J151"/>
    <mergeCell ref="C153:J153"/>
    <mergeCell ref="C154:J154"/>
    <mergeCell ref="C155:J155"/>
    <mergeCell ref="C147:J147"/>
    <mergeCell ref="C148:J148"/>
    <mergeCell ref="C149:J149"/>
    <mergeCell ref="C143:J143"/>
    <mergeCell ref="C142:J142"/>
    <mergeCell ref="C144:J144"/>
    <mergeCell ref="C146:J146"/>
    <mergeCell ref="C137:J137"/>
    <mergeCell ref="C139:J139"/>
    <mergeCell ref="C140:J140"/>
    <mergeCell ref="C141:J141"/>
    <mergeCell ref="C150:J150"/>
    <mergeCell ref="C158:J158"/>
    <mergeCell ref="C160:J160"/>
    <mergeCell ref="C156:J156"/>
    <mergeCell ref="C157:J157"/>
    <mergeCell ref="C164:J164"/>
    <mergeCell ref="C165:J165"/>
    <mergeCell ref="C167:J167"/>
    <mergeCell ref="C168:J168"/>
    <mergeCell ref="C169:J169"/>
    <mergeCell ref="C161:J161"/>
    <mergeCell ref="C162:J162"/>
    <mergeCell ref="C163:J163"/>
    <mergeCell ref="C177:J177"/>
    <mergeCell ref="C175:J175"/>
    <mergeCell ref="C176:J176"/>
    <mergeCell ref="C170:J170"/>
    <mergeCell ref="C172:J172"/>
    <mergeCell ref="C174:J174"/>
    <mergeCell ref="C171:J171"/>
    <mergeCell ref="C178:J178"/>
    <mergeCell ref="C184:J184"/>
    <mergeCell ref="C223:J223"/>
    <mergeCell ref="C189:J189"/>
    <mergeCell ref="C179:J179"/>
    <mergeCell ref="C181:J181"/>
    <mergeCell ref="C182:J182"/>
    <mergeCell ref="C183:J183"/>
    <mergeCell ref="C186:J186"/>
    <mergeCell ref="C188:J188"/>
    <mergeCell ref="C185:J185"/>
    <mergeCell ref="C190:J190"/>
    <mergeCell ref="C191:J191"/>
    <mergeCell ref="C228:J228"/>
    <mergeCell ref="C230:J230"/>
    <mergeCell ref="C235:J235"/>
    <mergeCell ref="C237:J237"/>
    <mergeCell ref="C242:J242"/>
    <mergeCell ref="C244:J244"/>
    <mergeCell ref="C249:J249"/>
    <mergeCell ref="C251:J251"/>
    <mergeCell ref="C192:J192"/>
    <mergeCell ref="C213:J213"/>
    <mergeCell ref="C220:J220"/>
    <mergeCell ref="C227:J227"/>
    <mergeCell ref="C193:J193"/>
    <mergeCell ref="C195:J195"/>
    <mergeCell ref="C248:J248"/>
    <mergeCell ref="C241:J241"/>
    <mergeCell ref="C238:J238"/>
    <mergeCell ref="C200:J200"/>
    <mergeCell ref="C204:J204"/>
    <mergeCell ref="C207:J207"/>
    <mergeCell ref="C209:J209"/>
    <mergeCell ref="C214:J214"/>
    <mergeCell ref="C216:J216"/>
    <mergeCell ref="C221:J221"/>
    <mergeCell ref="C339:J339"/>
    <mergeCell ref="C340:J340"/>
    <mergeCell ref="C256:J256"/>
    <mergeCell ref="C258:J258"/>
    <mergeCell ref="C263:J263"/>
    <mergeCell ref="C265:J265"/>
    <mergeCell ref="C270:J270"/>
    <mergeCell ref="C272:J272"/>
    <mergeCell ref="C277:J277"/>
    <mergeCell ref="C279:J279"/>
    <mergeCell ref="C284:J284"/>
    <mergeCell ref="C308:J308"/>
    <mergeCell ref="C297:J297"/>
    <mergeCell ref="C298:J298"/>
    <mergeCell ref="C300:J300"/>
    <mergeCell ref="C301:J301"/>
    <mergeCell ref="C302:J302"/>
    <mergeCell ref="C303:J303"/>
    <mergeCell ref="C304:J304"/>
    <mergeCell ref="C305:J305"/>
    <mergeCell ref="C307:J307"/>
    <mergeCell ref="C321:J321"/>
    <mergeCell ref="C234:J234"/>
    <mergeCell ref="C318:J318"/>
    <mergeCell ref="C325:J325"/>
    <mergeCell ref="C332:J332"/>
    <mergeCell ref="C333:J333"/>
    <mergeCell ref="C326:J326"/>
    <mergeCell ref="C255:J255"/>
    <mergeCell ref="C262:J262"/>
    <mergeCell ref="C269:J269"/>
    <mergeCell ref="C276:J276"/>
    <mergeCell ref="C283:J283"/>
    <mergeCell ref="C290:J290"/>
    <mergeCell ref="C311:J311"/>
    <mergeCell ref="C286:J286"/>
    <mergeCell ref="C291:J291"/>
    <mergeCell ref="C293:J293"/>
    <mergeCell ref="C312:J312"/>
    <mergeCell ref="C314:J314"/>
    <mergeCell ref="C319:J319"/>
    <mergeCell ref="C346:J346"/>
    <mergeCell ref="C347:J347"/>
    <mergeCell ref="C353:J353"/>
    <mergeCell ref="C354:J354"/>
    <mergeCell ref="C374:J374"/>
    <mergeCell ref="C375:J375"/>
    <mergeCell ref="C367:J367"/>
    <mergeCell ref="C368:J368"/>
    <mergeCell ref="C360:J360"/>
    <mergeCell ref="C361:J361"/>
    <mergeCell ref="C392:J392"/>
    <mergeCell ref="C393:J393"/>
    <mergeCell ref="C394:J394"/>
    <mergeCell ref="C381:J381"/>
    <mergeCell ref="C382:J382"/>
    <mergeCell ref="C384:J384"/>
    <mergeCell ref="C385:J385"/>
    <mergeCell ref="C386:J386"/>
    <mergeCell ref="C387:J387"/>
    <mergeCell ref="C388:J388"/>
    <mergeCell ref="C389:J389"/>
    <mergeCell ref="C391:J391"/>
    <mergeCell ref="C406:J406"/>
    <mergeCell ref="C407:J407"/>
    <mergeCell ref="C408:J408"/>
    <mergeCell ref="C395:J395"/>
    <mergeCell ref="C396:J396"/>
    <mergeCell ref="C398:J398"/>
    <mergeCell ref="C399:J399"/>
    <mergeCell ref="C400:J400"/>
    <mergeCell ref="C401:J401"/>
    <mergeCell ref="C402:J402"/>
    <mergeCell ref="C403:J403"/>
    <mergeCell ref="C405:J405"/>
    <mergeCell ref="C420:J420"/>
    <mergeCell ref="C421:J421"/>
    <mergeCell ref="C422:J422"/>
    <mergeCell ref="C409:J409"/>
    <mergeCell ref="C410:J410"/>
    <mergeCell ref="C412:J412"/>
    <mergeCell ref="C413:J413"/>
    <mergeCell ref="C414:J414"/>
    <mergeCell ref="C415:J415"/>
    <mergeCell ref="C416:J416"/>
    <mergeCell ref="C417:J417"/>
    <mergeCell ref="C419:J419"/>
    <mergeCell ref="C486:J486"/>
    <mergeCell ref="C487:J487"/>
    <mergeCell ref="C489:J489"/>
    <mergeCell ref="C490:J490"/>
    <mergeCell ref="C491:J491"/>
    <mergeCell ref="C492:J492"/>
    <mergeCell ref="C485:J485"/>
    <mergeCell ref="C484:J484"/>
    <mergeCell ref="C423:J423"/>
    <mergeCell ref="C424:J424"/>
    <mergeCell ref="C426:J426"/>
    <mergeCell ref="C427:J427"/>
    <mergeCell ref="C428:J428"/>
    <mergeCell ref="C429:J429"/>
    <mergeCell ref="C434:J434"/>
    <mergeCell ref="C441:J441"/>
    <mergeCell ref="C448:J448"/>
    <mergeCell ref="C455:J455"/>
    <mergeCell ref="C430:J430"/>
    <mergeCell ref="C431:J431"/>
    <mergeCell ref="C433:J433"/>
    <mergeCell ref="C437:J437"/>
    <mergeCell ref="C438:J438"/>
    <mergeCell ref="C440:J440"/>
  </mergeCells>
  <phoneticPr fontId="0" type="noConversion"/>
  <pageMargins left="0.75" right="0.75" top="1" bottom="1" header="0.5" footer="0.5"/>
  <pageSetup paperSize="9" scale="39" fitToHeight="8" orientation="portrait"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48"/>
  <sheetViews>
    <sheetView tabSelected="1" workbookViewId="0">
      <selection activeCell="G46" sqref="G46"/>
    </sheetView>
  </sheetViews>
  <sheetFormatPr defaultRowHeight="12.75" x14ac:dyDescent="0.2"/>
  <cols>
    <col min="2" max="2" width="35" customWidth="1"/>
    <col min="3" max="3" width="10.85546875" customWidth="1"/>
    <col min="4" max="4" width="12.5703125" style="7" customWidth="1"/>
    <col min="5" max="5" width="18.42578125" style="21" bestFit="1" customWidth="1"/>
    <col min="6" max="6" width="17" bestFit="1" customWidth="1"/>
  </cols>
  <sheetData>
    <row r="1" spans="2:10" ht="13.5" thickBot="1" x14ac:dyDescent="0.25"/>
    <row r="2" spans="2:10" ht="27" customHeight="1" x14ac:dyDescent="0.2">
      <c r="B2" s="208" t="s">
        <v>40</v>
      </c>
      <c r="C2" s="209" t="s">
        <v>45</v>
      </c>
      <c r="D2" s="210" t="s">
        <v>41</v>
      </c>
      <c r="E2" s="211" t="s">
        <v>370</v>
      </c>
      <c r="F2" s="212" t="s">
        <v>49</v>
      </c>
    </row>
    <row r="3" spans="2:10" x14ac:dyDescent="0.2">
      <c r="B3" s="8" t="s">
        <v>15</v>
      </c>
      <c r="C3" s="8"/>
      <c r="D3" s="9">
        <f>Sheet1!U475+Sheet1!U419+Sheet1!U411+Sheet1!U404+Sheet1!U376+Sheet1!U367+Sheet1!U353+Sheet1!U348+Sheet1!U337+Sheet1!U279+Sheet1!U272+Sheet1!U209+Sheet1!U182+Sheet1!U161+Sheet1!U154+Sheet1!U149+Sheet1!U137+Sheet1!U130+Sheet1!U123+Sheet1!U118+Sheet1!U98+Sheet1!U92+Sheet1!U74+Sheet1!U61+Sheet1!U41+Sheet1!U34+Sheet1!U8</f>
        <v>104.4012222737372</v>
      </c>
      <c r="E3" s="213">
        <f>D3*$D$48</f>
        <v>0</v>
      </c>
      <c r="F3" s="214">
        <f>E3/37.08/11</f>
        <v>0</v>
      </c>
      <c r="I3" t="s">
        <v>13</v>
      </c>
    </row>
    <row r="4" spans="2:10" ht="15.75" x14ac:dyDescent="0.25">
      <c r="B4" s="12" t="s">
        <v>16</v>
      </c>
      <c r="C4" s="12"/>
      <c r="D4" s="215">
        <f>Sheet1!U32+Sheet1!U42+Sheet1!U77+Sheet1!U91+Sheet1!U96+Sheet1!U117+Sheet1!U124+Sheet1!U131+Sheet1!U138+Sheet1!U145+Sheet1!U152+Sheet1!U159+Sheet1!U181+Sheet1!U207+Sheet1!U271+Sheet1!U277+Sheet1!U336+Sheet1!U358+Sheet1!U370+Sheet1!U377+Sheet1!U403+Sheet1!U418+Sheet1!U474</f>
        <v>52.137450859720204</v>
      </c>
      <c r="E4" s="213">
        <f t="shared" ref="E4:E41" si="0">D4*$D$48</f>
        <v>0</v>
      </c>
      <c r="F4" s="214">
        <f t="shared" ref="F4:F41" si="1">E4/37.08/11</f>
        <v>0</v>
      </c>
      <c r="H4" s="5"/>
      <c r="I4" s="1"/>
      <c r="J4" s="5"/>
    </row>
    <row r="5" spans="2:10" ht="15.75" x14ac:dyDescent="0.25">
      <c r="B5" s="11" t="s">
        <v>20</v>
      </c>
      <c r="C5" s="11"/>
      <c r="D5" s="215">
        <f>Sheet1!U69+Sheet1!U83+Sheet1!U110+Sheet1!U195+Sheet1!U202+Sheet1!U239+Sheet1!U250+Sheet1!U315+Sheet1!U321+Sheet1!U327+Sheet1!U425+Sheet1!U225</f>
        <v>40.144516108040897</v>
      </c>
      <c r="E5" s="213">
        <f t="shared" si="0"/>
        <v>0</v>
      </c>
      <c r="F5" s="214">
        <f t="shared" si="1"/>
        <v>0</v>
      </c>
      <c r="H5" s="6"/>
      <c r="I5" s="1"/>
      <c r="J5" s="5"/>
    </row>
    <row r="6" spans="2:10" x14ac:dyDescent="0.2">
      <c r="B6" s="10" t="s">
        <v>38</v>
      </c>
      <c r="C6" s="10"/>
      <c r="D6" s="216">
        <f>Sheet1!U264+Sheet1!U167+Sheet1!U104</f>
        <v>29.104031523445929</v>
      </c>
      <c r="E6" s="213">
        <f t="shared" si="0"/>
        <v>0</v>
      </c>
      <c r="F6" s="214">
        <f t="shared" si="1"/>
        <v>0</v>
      </c>
      <c r="H6" s="3"/>
      <c r="I6" s="2"/>
      <c r="J6" s="5"/>
    </row>
    <row r="7" spans="2:10" x14ac:dyDescent="0.2">
      <c r="B7" s="10" t="s">
        <v>30</v>
      </c>
      <c r="C7" s="10"/>
      <c r="D7" s="215">
        <f>Sheet1!U227+Sheet1!U431+Sheet1!U437+Sheet1!U446+Sheet1!U453+Sheet1!U460</f>
        <v>17.06170225329782</v>
      </c>
      <c r="E7" s="213">
        <f t="shared" si="0"/>
        <v>0</v>
      </c>
      <c r="F7" s="214">
        <f t="shared" si="1"/>
        <v>0</v>
      </c>
      <c r="H7" s="5"/>
      <c r="I7" s="5"/>
      <c r="J7" s="5"/>
    </row>
    <row r="8" spans="2:10" x14ac:dyDescent="0.2">
      <c r="B8" s="8" t="s">
        <v>39</v>
      </c>
      <c r="C8" s="8"/>
      <c r="D8" s="215">
        <f>Sheet1!U300+Sheet1!U189</f>
        <v>15.384420613327347</v>
      </c>
      <c r="E8" s="213">
        <f t="shared" si="0"/>
        <v>0</v>
      </c>
      <c r="F8" s="214">
        <f t="shared" si="1"/>
        <v>0</v>
      </c>
      <c r="H8" s="5"/>
      <c r="I8" s="5"/>
      <c r="J8" s="5"/>
    </row>
    <row r="9" spans="2:10" x14ac:dyDescent="0.2">
      <c r="B9" s="9" t="s">
        <v>31</v>
      </c>
      <c r="C9" s="9"/>
      <c r="D9" s="215">
        <f>Sheet1!U13+Sheet1!U20+Sheet1!U54+Sheet1!U215+Sheet1!U383</f>
        <v>14.536425610510245</v>
      </c>
      <c r="E9" s="213">
        <f t="shared" si="0"/>
        <v>0</v>
      </c>
      <c r="F9" s="214">
        <f t="shared" si="1"/>
        <v>0</v>
      </c>
      <c r="H9" s="5"/>
      <c r="I9" s="5"/>
      <c r="J9" s="5"/>
    </row>
    <row r="10" spans="2:10" x14ac:dyDescent="0.2">
      <c r="B10" s="11" t="s">
        <v>28</v>
      </c>
      <c r="C10" s="11"/>
      <c r="D10" s="215">
        <f>Sheet1!U306+Sheet1!U49</f>
        <v>11.836301879140192</v>
      </c>
      <c r="E10" s="213">
        <f t="shared" si="0"/>
        <v>0</v>
      </c>
      <c r="F10" s="214">
        <f t="shared" si="1"/>
        <v>0</v>
      </c>
      <c r="H10" s="4"/>
      <c r="I10" s="4"/>
      <c r="J10" s="4"/>
    </row>
    <row r="11" spans="2:10" x14ac:dyDescent="0.2">
      <c r="B11" s="11" t="s">
        <v>21</v>
      </c>
      <c r="C11" s="11"/>
      <c r="D11" s="215">
        <f>Sheet1!U292+Sheet1!U243+Sheet1!U237+Sheet1!U221+Sheet1!U194+Sheet1!U6</f>
        <v>8.8669423406570846</v>
      </c>
      <c r="E11" s="213">
        <f t="shared" si="0"/>
        <v>0</v>
      </c>
      <c r="F11" s="214">
        <f t="shared" si="1"/>
        <v>0</v>
      </c>
    </row>
    <row r="12" spans="2:10" x14ac:dyDescent="0.2">
      <c r="B12" s="11" t="s">
        <v>18</v>
      </c>
      <c r="C12" s="11"/>
      <c r="D12" s="215">
        <f>Sheet1!U342</f>
        <v>8.5498479215951342</v>
      </c>
      <c r="E12" s="213">
        <f t="shared" si="0"/>
        <v>0</v>
      </c>
      <c r="F12" s="214">
        <f t="shared" si="1"/>
        <v>0</v>
      </c>
    </row>
    <row r="13" spans="2:10" x14ac:dyDescent="0.2">
      <c r="B13" s="11" t="s">
        <v>22</v>
      </c>
      <c r="C13" s="11"/>
      <c r="D13" s="215">
        <f>Sheet1!U82+Sheet1!U193+Sheet1!U224+Sheet1!U291</f>
        <v>8.3495492589095921</v>
      </c>
      <c r="E13" s="213">
        <f t="shared" si="0"/>
        <v>0</v>
      </c>
      <c r="F13" s="214">
        <f t="shared" si="1"/>
        <v>0</v>
      </c>
    </row>
    <row r="14" spans="2:10" x14ac:dyDescent="0.2">
      <c r="B14" s="11" t="s">
        <v>19</v>
      </c>
      <c r="C14" s="11"/>
      <c r="D14" s="215">
        <f>Sheet1!U363</f>
        <v>7.7921432123321734</v>
      </c>
      <c r="E14" s="213">
        <f t="shared" si="0"/>
        <v>0</v>
      </c>
      <c r="F14" s="214">
        <f t="shared" si="1"/>
        <v>0</v>
      </c>
    </row>
    <row r="15" spans="2:10" x14ac:dyDescent="0.2">
      <c r="B15" s="11" t="s">
        <v>25</v>
      </c>
      <c r="C15" s="11"/>
      <c r="D15" s="215">
        <f>Sheet1!U452+Sheet1!U445+Sheet1!U432+Sheet1!U233</f>
        <v>7.3104451080517574</v>
      </c>
      <c r="E15" s="213">
        <f t="shared" si="0"/>
        <v>0</v>
      </c>
      <c r="F15" s="214">
        <f t="shared" si="1"/>
        <v>0</v>
      </c>
    </row>
    <row r="16" spans="2:10" x14ac:dyDescent="0.2">
      <c r="B16" s="11" t="s">
        <v>29</v>
      </c>
      <c r="C16" s="11"/>
      <c r="D16" s="215">
        <f>Sheet1!U314+Sheet1!U238+Sheet1!U68</f>
        <v>7.1284382228911092</v>
      </c>
      <c r="E16" s="213">
        <f t="shared" si="0"/>
        <v>0</v>
      </c>
      <c r="F16" s="214">
        <f t="shared" si="1"/>
        <v>0</v>
      </c>
    </row>
    <row r="17" spans="2:6" x14ac:dyDescent="0.2">
      <c r="B17" s="217" t="s">
        <v>287</v>
      </c>
      <c r="C17" s="10"/>
      <c r="D17" s="215">
        <f>Sheet1!U347+Sheet1!U208+Sheet1!U178+Sheet1!U153</f>
        <v>6.3619080902320002</v>
      </c>
      <c r="E17" s="213">
        <f t="shared" si="0"/>
        <v>0</v>
      </c>
      <c r="F17" s="214">
        <f t="shared" si="1"/>
        <v>0</v>
      </c>
    </row>
    <row r="18" spans="2:6" x14ac:dyDescent="0.2">
      <c r="B18" s="10" t="s">
        <v>352</v>
      </c>
      <c r="C18" s="10"/>
      <c r="D18" s="215">
        <f>Sheet1!U67+Sheet1!U313</f>
        <v>5.4141248760191987</v>
      </c>
      <c r="E18" s="213">
        <f t="shared" si="0"/>
        <v>0</v>
      </c>
      <c r="F18" s="214">
        <f t="shared" si="1"/>
        <v>0</v>
      </c>
    </row>
    <row r="19" spans="2:6" x14ac:dyDescent="0.2">
      <c r="B19" s="10" t="s">
        <v>33</v>
      </c>
      <c r="C19" s="10"/>
      <c r="D19" s="218">
        <f>Sheet1!U19+Sheet1!U12</f>
        <v>5.3882805721758524</v>
      </c>
      <c r="E19" s="213">
        <f t="shared" si="0"/>
        <v>0</v>
      </c>
      <c r="F19" s="214">
        <f t="shared" si="1"/>
        <v>0</v>
      </c>
    </row>
    <row r="20" spans="2:6" x14ac:dyDescent="0.2">
      <c r="B20" s="9" t="s">
        <v>17</v>
      </c>
      <c r="C20" s="9"/>
      <c r="D20" s="215">
        <f>Sheet1!U157+Sheet1!U147+Sheet1!U76</f>
        <v>5.205082988337721</v>
      </c>
      <c r="E20" s="213">
        <f t="shared" si="0"/>
        <v>0</v>
      </c>
      <c r="F20" s="214">
        <f t="shared" si="1"/>
        <v>0</v>
      </c>
    </row>
    <row r="21" spans="2:6" x14ac:dyDescent="0.2">
      <c r="B21" s="10" t="s">
        <v>36</v>
      </c>
      <c r="C21" s="10"/>
      <c r="D21" s="216">
        <f>Sheet1!U397+Sheet1!U390+Sheet1!U285</f>
        <v>4.9829719316269951</v>
      </c>
      <c r="E21" s="213">
        <f t="shared" si="0"/>
        <v>0</v>
      </c>
      <c r="F21" s="214">
        <f t="shared" si="1"/>
        <v>0</v>
      </c>
    </row>
    <row r="22" spans="2:6" x14ac:dyDescent="0.2">
      <c r="B22" s="11" t="s">
        <v>26</v>
      </c>
      <c r="C22" s="11"/>
      <c r="D22" s="215">
        <f>Sheet1!U229+Sheet1!U257+Sheet1!U440</f>
        <v>4.8936676823407588</v>
      </c>
      <c r="E22" s="213">
        <f t="shared" si="0"/>
        <v>0</v>
      </c>
      <c r="F22" s="214">
        <f t="shared" si="1"/>
        <v>0</v>
      </c>
    </row>
    <row r="23" spans="2:6" x14ac:dyDescent="0.2">
      <c r="B23" s="217" t="s">
        <v>288</v>
      </c>
      <c r="C23" s="10"/>
      <c r="D23" s="215">
        <f>Sheet1!U5+Sheet1!U146+Sheet1!U335+Sheet1!U356</f>
        <v>4.7191529358301114</v>
      </c>
      <c r="E23" s="213">
        <f t="shared" si="0"/>
        <v>0</v>
      </c>
      <c r="F23" s="214">
        <f t="shared" si="1"/>
        <v>0</v>
      </c>
    </row>
    <row r="24" spans="2:6" x14ac:dyDescent="0.2">
      <c r="B24" s="11" t="s">
        <v>368</v>
      </c>
      <c r="C24" s="11"/>
      <c r="D24" s="215">
        <f>Sheet1!U479</f>
        <v>4.6806775407779178</v>
      </c>
      <c r="E24" s="213">
        <f t="shared" si="0"/>
        <v>0</v>
      </c>
      <c r="F24" s="214">
        <f t="shared" si="1"/>
        <v>0</v>
      </c>
    </row>
    <row r="25" spans="2:6" x14ac:dyDescent="0.2">
      <c r="B25" s="10" t="s">
        <v>35</v>
      </c>
      <c r="C25" s="10"/>
      <c r="D25" s="215">
        <f>Sheet1!U173</f>
        <v>4.3236555592213781</v>
      </c>
      <c r="E25" s="213">
        <f t="shared" si="0"/>
        <v>0</v>
      </c>
      <c r="F25" s="214">
        <f t="shared" si="1"/>
        <v>0</v>
      </c>
    </row>
    <row r="26" spans="2:6" x14ac:dyDescent="0.2">
      <c r="B26" s="11" t="s">
        <v>218</v>
      </c>
      <c r="C26" s="10"/>
      <c r="D26" s="215">
        <f>Sheet1!U259</f>
        <v>4.1803143093465671</v>
      </c>
      <c r="E26" s="213">
        <f t="shared" si="0"/>
        <v>0</v>
      </c>
      <c r="F26" s="214">
        <f t="shared" si="1"/>
        <v>0</v>
      </c>
    </row>
    <row r="27" spans="2:6" x14ac:dyDescent="0.2">
      <c r="B27" s="217" t="s">
        <v>356</v>
      </c>
      <c r="C27" s="10"/>
      <c r="D27" s="215">
        <f>Sheet1!U165</f>
        <v>4.1151435169910915</v>
      </c>
      <c r="E27" s="213">
        <f t="shared" si="0"/>
        <v>0</v>
      </c>
      <c r="F27" s="214">
        <f t="shared" si="1"/>
        <v>0</v>
      </c>
    </row>
    <row r="28" spans="2:6" x14ac:dyDescent="0.2">
      <c r="B28" s="8" t="s">
        <v>286</v>
      </c>
      <c r="C28" s="9"/>
      <c r="D28" s="215">
        <f>Sheet1!U362</f>
        <v>3.8960716061660867</v>
      </c>
      <c r="E28" s="213">
        <f t="shared" si="0"/>
        <v>0</v>
      </c>
      <c r="F28" s="214">
        <f t="shared" si="1"/>
        <v>0</v>
      </c>
    </row>
    <row r="29" spans="2:6" x14ac:dyDescent="0.2">
      <c r="B29" s="12" t="s">
        <v>23</v>
      </c>
      <c r="C29" s="12"/>
      <c r="D29" s="215">
        <f>Sheet1!U25+Sheet1!U33</f>
        <v>3.7861744307949263</v>
      </c>
      <c r="E29" s="213">
        <f t="shared" si="0"/>
        <v>0</v>
      </c>
      <c r="F29" s="214">
        <f t="shared" si="1"/>
        <v>0</v>
      </c>
    </row>
    <row r="30" spans="2:6" x14ac:dyDescent="0.2">
      <c r="B30" s="10" t="s">
        <v>293</v>
      </c>
      <c r="C30" s="10"/>
      <c r="D30" s="215">
        <f>Sheet1!U467+Sheet1!U255</f>
        <v>3.4139996690362437</v>
      </c>
      <c r="E30" s="213">
        <f t="shared" si="0"/>
        <v>0</v>
      </c>
      <c r="F30" s="214">
        <f t="shared" si="1"/>
        <v>0</v>
      </c>
    </row>
    <row r="31" spans="2:6" x14ac:dyDescent="0.2">
      <c r="B31" s="12" t="s">
        <v>42</v>
      </c>
      <c r="C31" s="12"/>
      <c r="D31" s="215">
        <f>Sheet1!U109</f>
        <v>3.0471961431108854</v>
      </c>
      <c r="E31" s="213">
        <f t="shared" si="0"/>
        <v>0</v>
      </c>
      <c r="F31" s="214">
        <f t="shared" si="1"/>
        <v>0</v>
      </c>
    </row>
    <row r="32" spans="2:6" x14ac:dyDescent="0.2">
      <c r="B32" s="11" t="s">
        <v>290</v>
      </c>
      <c r="C32" s="11"/>
      <c r="D32" s="215">
        <f>Sheet1!U81</f>
        <v>2.8495238058154158</v>
      </c>
      <c r="E32" s="213">
        <f t="shared" si="0"/>
        <v>0</v>
      </c>
      <c r="F32" s="214">
        <f t="shared" si="1"/>
        <v>0</v>
      </c>
    </row>
    <row r="33" spans="2:6" x14ac:dyDescent="0.2">
      <c r="B33" s="11" t="s">
        <v>24</v>
      </c>
      <c r="C33" s="11"/>
      <c r="D33" s="215">
        <f>Sheet1!U201+Sheet1!U258</f>
        <v>2.7906697417537143</v>
      </c>
      <c r="E33" s="213">
        <f t="shared" si="0"/>
        <v>0</v>
      </c>
      <c r="F33" s="214">
        <f t="shared" si="1"/>
        <v>0</v>
      </c>
    </row>
    <row r="34" spans="2:6" x14ac:dyDescent="0.2">
      <c r="B34" s="10" t="s">
        <v>34</v>
      </c>
      <c r="C34" s="10"/>
      <c r="D34" s="215">
        <f>Sheet1!U172</f>
        <v>2.1618277796106891</v>
      </c>
      <c r="E34" s="213">
        <f t="shared" si="0"/>
        <v>0</v>
      </c>
      <c r="F34" s="214">
        <f t="shared" si="1"/>
        <v>0</v>
      </c>
    </row>
    <row r="35" spans="2:6" x14ac:dyDescent="0.2">
      <c r="B35" s="8" t="s">
        <v>289</v>
      </c>
      <c r="C35" s="8"/>
      <c r="D35" s="215">
        <f>Sheet1!U297</f>
        <v>2.1133899530177089</v>
      </c>
      <c r="E35" s="213">
        <f t="shared" si="0"/>
        <v>0</v>
      </c>
      <c r="F35" s="214">
        <f t="shared" si="1"/>
        <v>0</v>
      </c>
    </row>
    <row r="36" spans="2:6" x14ac:dyDescent="0.2">
      <c r="B36" s="10" t="s">
        <v>37</v>
      </c>
      <c r="C36" s="10"/>
      <c r="D36" s="215">
        <f>Sheet1!U249</f>
        <v>1.5821733821733825</v>
      </c>
      <c r="E36" s="213">
        <f t="shared" si="0"/>
        <v>0</v>
      </c>
      <c r="F36" s="214">
        <f t="shared" si="1"/>
        <v>0</v>
      </c>
    </row>
    <row r="37" spans="2:6" x14ac:dyDescent="0.2">
      <c r="B37" s="217" t="s">
        <v>369</v>
      </c>
      <c r="C37" s="10"/>
      <c r="D37" s="215">
        <f>Sheet1!U482</f>
        <v>1.5602258469259727</v>
      </c>
      <c r="E37" s="213">
        <f t="shared" si="0"/>
        <v>0</v>
      </c>
      <c r="F37" s="214">
        <f t="shared" si="1"/>
        <v>0</v>
      </c>
    </row>
    <row r="38" spans="2:6" x14ac:dyDescent="0.2">
      <c r="B38" s="12" t="s">
        <v>43</v>
      </c>
      <c r="C38" s="12"/>
      <c r="D38" s="215">
        <f>Sheet1!U223</f>
        <v>1.409347799990907</v>
      </c>
      <c r="E38" s="213">
        <f t="shared" si="0"/>
        <v>0</v>
      </c>
      <c r="F38" s="214">
        <f t="shared" si="1"/>
        <v>0</v>
      </c>
    </row>
    <row r="39" spans="2:6" x14ac:dyDescent="0.2">
      <c r="B39" s="11" t="s">
        <v>27</v>
      </c>
      <c r="C39" s="11"/>
      <c r="D39" s="215">
        <f>Sheet1!U231</f>
        <v>1.1562810133194046</v>
      </c>
      <c r="E39" s="213">
        <f t="shared" si="0"/>
        <v>0</v>
      </c>
      <c r="F39" s="214">
        <f t="shared" si="1"/>
        <v>0</v>
      </c>
    </row>
    <row r="40" spans="2:6" x14ac:dyDescent="0.2">
      <c r="B40" s="217" t="s">
        <v>292</v>
      </c>
      <c r="C40" s="10"/>
      <c r="D40" s="215">
        <f>Sheet1!U27</f>
        <v>1.014770411221676</v>
      </c>
      <c r="E40" s="213">
        <f t="shared" si="0"/>
        <v>0</v>
      </c>
      <c r="F40" s="214">
        <f t="shared" si="1"/>
        <v>0</v>
      </c>
    </row>
    <row r="41" spans="2:6" x14ac:dyDescent="0.2">
      <c r="B41" s="217" t="s">
        <v>291</v>
      </c>
      <c r="C41" s="10"/>
      <c r="D41" s="215">
        <f>Sheet1!U200</f>
        <v>0.70051258708043063</v>
      </c>
      <c r="E41" s="213">
        <f t="shared" si="0"/>
        <v>0</v>
      </c>
      <c r="F41" s="214">
        <f t="shared" si="1"/>
        <v>0</v>
      </c>
    </row>
    <row r="42" spans="2:6" x14ac:dyDescent="0.2">
      <c r="B42" s="16"/>
      <c r="C42" s="16"/>
      <c r="D42" s="15"/>
    </row>
    <row r="44" spans="2:6" x14ac:dyDescent="0.2">
      <c r="B44" s="13" t="s">
        <v>44</v>
      </c>
      <c r="C44" s="13"/>
      <c r="D44" s="14">
        <f>SUM(D3:D43)</f>
        <v>418.35058135857372</v>
      </c>
    </row>
    <row r="45" spans="2:6" x14ac:dyDescent="0.2">
      <c r="B45" s="17" t="s">
        <v>46</v>
      </c>
      <c r="D45" s="7">
        <f>D44-Sheet1!U493</f>
        <v>0</v>
      </c>
    </row>
    <row r="47" spans="2:6" x14ac:dyDescent="0.2">
      <c r="B47" s="18" t="s">
        <v>47</v>
      </c>
      <c r="C47" s="205" t="s">
        <v>285</v>
      </c>
      <c r="D47" s="20"/>
    </row>
    <row r="48" spans="2:6" x14ac:dyDescent="0.2">
      <c r="B48" s="18" t="s">
        <v>48</v>
      </c>
      <c r="C48" s="19"/>
      <c r="D48" s="20">
        <f>D47/D44</f>
        <v>0</v>
      </c>
    </row>
  </sheetData>
  <sortState ref="B3:F41">
    <sortCondition descending="1" ref="D3:D41"/>
  </sortState>
  <phoneticPr fontId="0" type="noConversion"/>
  <pageMargins left="0.75" right="0.75" top="1" bottom="1" header="0.5" footer="0.5"/>
  <pageSetup paperSize="9" scale="7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IMI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Arunas</dc:creator>
  <cp:lastModifiedBy>Lina</cp:lastModifiedBy>
  <cp:lastPrinted>2016-02-01T14:11:36Z</cp:lastPrinted>
  <dcterms:created xsi:type="dcterms:W3CDTF">2010-01-28T20:28:54Z</dcterms:created>
  <dcterms:modified xsi:type="dcterms:W3CDTF">2016-03-07T14:00:49Z</dcterms:modified>
</cp:coreProperties>
</file>