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tze\Desktop\365finance\controlling\budget_project\"/>
    </mc:Choice>
  </mc:AlternateContent>
  <xr:revisionPtr revIDLastSave="0" documentId="13_ncr:1_{C7A91F90-6970-4519-A55A-9E8C929F5E46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Factory Project Drivers+Summary" sheetId="2" r:id="rId1"/>
    <sheet name="Sales Forecast" sheetId="3" r:id="rId2"/>
    <sheet name="Fixed Asset Roll-Forward" sheetId="4" r:id="rId3"/>
    <sheet name="Working Capital" sheetId="5" r:id="rId4"/>
    <sheet name="Financing" sheetId="6" r:id="rId5"/>
    <sheet name="P&amp;L" sheetId="7" r:id="rId6"/>
    <sheet name="Operating Cash Flow" sheetId="8" r:id="rId7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5" i="7"/>
  <c r="C4" i="7"/>
  <c r="O11" i="8"/>
  <c r="C16" i="6"/>
  <c r="C6" i="6"/>
  <c r="C11" i="6" s="1"/>
  <c r="L8" i="5"/>
  <c r="K8" i="5"/>
  <c r="J8" i="5"/>
  <c r="I8" i="5"/>
  <c r="H8" i="5"/>
  <c r="G8" i="5"/>
  <c r="F8" i="5"/>
  <c r="E8" i="5"/>
  <c r="D8" i="5"/>
  <c r="C8" i="5"/>
  <c r="L6" i="5"/>
  <c r="K6" i="5"/>
  <c r="J6" i="5"/>
  <c r="I6" i="5"/>
  <c r="H6" i="5"/>
  <c r="G6" i="5"/>
  <c r="F6" i="5"/>
  <c r="E6" i="5"/>
  <c r="D6" i="5"/>
  <c r="C6" i="5"/>
  <c r="L4" i="5"/>
  <c r="K4" i="5"/>
  <c r="J4" i="5"/>
  <c r="I4" i="5"/>
  <c r="H4" i="5"/>
  <c r="G4" i="5"/>
  <c r="F4" i="5"/>
  <c r="E4" i="5"/>
  <c r="D4" i="5"/>
  <c r="C4" i="5"/>
  <c r="M9" i="4"/>
  <c r="L9" i="4"/>
  <c r="K9" i="4"/>
  <c r="J9" i="4"/>
  <c r="I9" i="4"/>
  <c r="H9" i="4"/>
  <c r="G9" i="4"/>
  <c r="F9" i="4"/>
  <c r="E9" i="4"/>
  <c r="D9" i="4"/>
  <c r="C9" i="4"/>
  <c r="C6" i="4"/>
  <c r="C11" i="3"/>
  <c r="D4" i="8" s="1"/>
  <c r="L7" i="3"/>
  <c r="K7" i="3"/>
  <c r="J7" i="3"/>
  <c r="I7" i="3"/>
  <c r="H7" i="3"/>
  <c r="G7" i="3"/>
  <c r="F7" i="3"/>
  <c r="E7" i="3"/>
  <c r="D7" i="3"/>
  <c r="C4" i="3"/>
  <c r="C68" i="2"/>
  <c r="C62" i="2" s="1"/>
  <c r="C44" i="2"/>
  <c r="D41" i="2" s="1"/>
  <c r="H43" i="2"/>
  <c r="H42" i="2"/>
  <c r="H41" i="2"/>
  <c r="C13" i="2"/>
  <c r="C4" i="4" s="1"/>
  <c r="G13" i="4" s="1"/>
  <c r="M58" i="2"/>
  <c r="E62" i="2"/>
  <c r="D11" i="3" l="1"/>
  <c r="I14" i="5"/>
  <c r="C14" i="5"/>
  <c r="J14" i="5"/>
  <c r="K14" i="5"/>
  <c r="C13" i="5"/>
  <c r="D42" i="2"/>
  <c r="I42" i="2" s="1"/>
  <c r="M12" i="6"/>
  <c r="E14" i="5"/>
  <c r="C8" i="7"/>
  <c r="C10" i="7" s="1"/>
  <c r="D6" i="8" s="1"/>
  <c r="D52" i="2" s="1"/>
  <c r="F13" i="4"/>
  <c r="J22" i="4" s="1"/>
  <c r="I13" i="4"/>
  <c r="J10" i="8" s="1"/>
  <c r="J55" i="2" s="1"/>
  <c r="F14" i="5"/>
  <c r="E13" i="4"/>
  <c r="F21" i="4" s="1"/>
  <c r="C12" i="4"/>
  <c r="E18" i="4" s="1"/>
  <c r="G14" i="5"/>
  <c r="H14" i="5"/>
  <c r="G12" i="6"/>
  <c r="H12" i="6"/>
  <c r="I12" i="6"/>
  <c r="J12" i="6"/>
  <c r="F12" i="6"/>
  <c r="K12" i="6"/>
  <c r="D12" i="6"/>
  <c r="L12" i="6"/>
  <c r="E12" i="6"/>
  <c r="E4" i="8"/>
  <c r="E11" i="3"/>
  <c r="D8" i="7"/>
  <c r="D13" i="5"/>
  <c r="I41" i="2"/>
  <c r="D50" i="2"/>
  <c r="H10" i="8"/>
  <c r="H55" i="2" s="1"/>
  <c r="L23" i="4"/>
  <c r="K23" i="4"/>
  <c r="J23" i="4"/>
  <c r="I23" i="4"/>
  <c r="H23" i="4"/>
  <c r="C12" i="6"/>
  <c r="C14" i="6" s="1"/>
  <c r="C13" i="4"/>
  <c r="K13" i="4"/>
  <c r="D14" i="5"/>
  <c r="L14" i="5"/>
  <c r="J13" i="4"/>
  <c r="H13" i="4"/>
  <c r="D13" i="4"/>
  <c r="L13" i="4"/>
  <c r="M10" i="8" s="1"/>
  <c r="M55" i="2" s="1"/>
  <c r="D43" i="2"/>
  <c r="I43" i="2" s="1"/>
  <c r="K22" i="4" l="1"/>
  <c r="G22" i="4"/>
  <c r="D18" i="4"/>
  <c r="C18" i="4"/>
  <c r="C28" i="4" s="1"/>
  <c r="C14" i="4" s="1"/>
  <c r="C12" i="7" s="1"/>
  <c r="C15" i="5"/>
  <c r="C16" i="5" s="1"/>
  <c r="D9" i="8" s="1"/>
  <c r="D56" i="2" s="1"/>
  <c r="C9" i="7"/>
  <c r="D5" i="8" s="1"/>
  <c r="D15" i="5"/>
  <c r="D16" i="5" s="1"/>
  <c r="E9" i="8" s="1"/>
  <c r="E56" i="2" s="1"/>
  <c r="F18" i="4"/>
  <c r="L22" i="4"/>
  <c r="I18" i="4"/>
  <c r="C10" i="8"/>
  <c r="C55" i="2" s="1"/>
  <c r="C57" i="2" s="1"/>
  <c r="C59" i="2" s="1"/>
  <c r="C3" i="6"/>
  <c r="G18" i="4"/>
  <c r="K18" i="4"/>
  <c r="H18" i="4"/>
  <c r="L18" i="4"/>
  <c r="J18" i="4"/>
  <c r="G21" i="4"/>
  <c r="H21" i="4"/>
  <c r="G10" i="8"/>
  <c r="G55" i="2" s="1"/>
  <c r="L25" i="4"/>
  <c r="I22" i="4"/>
  <c r="J25" i="4"/>
  <c r="H22" i="4"/>
  <c r="K25" i="4"/>
  <c r="J21" i="4"/>
  <c r="K21" i="4"/>
  <c r="I21" i="4"/>
  <c r="L21" i="4"/>
  <c r="F10" i="8"/>
  <c r="F55" i="2" s="1"/>
  <c r="D44" i="2"/>
  <c r="D10" i="7"/>
  <c r="E6" i="8" s="1"/>
  <c r="E52" i="2" s="1"/>
  <c r="D9" i="7"/>
  <c r="E5" i="8" s="1"/>
  <c r="E51" i="2" s="1"/>
  <c r="E50" i="2"/>
  <c r="L10" i="8"/>
  <c r="L55" i="2" s="1"/>
  <c r="L27" i="4"/>
  <c r="G20" i="4"/>
  <c r="F20" i="4"/>
  <c r="E20" i="4"/>
  <c r="L20" i="4"/>
  <c r="I20" i="4"/>
  <c r="E10" i="8"/>
  <c r="E55" i="2" s="1"/>
  <c r="K20" i="4"/>
  <c r="J20" i="4"/>
  <c r="H20" i="4"/>
  <c r="G19" i="4"/>
  <c r="I19" i="4"/>
  <c r="F19" i="4"/>
  <c r="E19" i="4"/>
  <c r="L19" i="4"/>
  <c r="D19" i="4"/>
  <c r="D28" i="4" s="1"/>
  <c r="D14" i="4" s="1"/>
  <c r="D12" i="7" s="1"/>
  <c r="K19" i="4"/>
  <c r="D10" i="8"/>
  <c r="D55" i="2" s="1"/>
  <c r="J19" i="4"/>
  <c r="H19" i="4"/>
  <c r="C15" i="4"/>
  <c r="D12" i="4" s="1"/>
  <c r="D11" i="6"/>
  <c r="F4" i="8"/>
  <c r="F11" i="3"/>
  <c r="E8" i="7"/>
  <c r="E13" i="5"/>
  <c r="E15" i="5" s="1"/>
  <c r="I10" i="8"/>
  <c r="I55" i="2" s="1"/>
  <c r="I24" i="4"/>
  <c r="K24" i="4"/>
  <c r="L24" i="4"/>
  <c r="J24" i="4"/>
  <c r="L26" i="4"/>
  <c r="K26" i="4"/>
  <c r="K10" i="8"/>
  <c r="K55" i="2" s="1"/>
  <c r="C11" i="8"/>
  <c r="I44" i="2"/>
  <c r="C71" i="2" s="1"/>
  <c r="C70" i="2" s="1"/>
  <c r="C73" i="2" s="1"/>
  <c r="D51" i="2" l="1"/>
  <c r="D53" i="2" s="1"/>
  <c r="D7" i="8"/>
  <c r="C11" i="7"/>
  <c r="C13" i="7" s="1"/>
  <c r="E16" i="5"/>
  <c r="F9" i="8" s="1"/>
  <c r="F56" i="2" s="1"/>
  <c r="G28" i="4"/>
  <c r="G14" i="4" s="1"/>
  <c r="G12" i="7" s="1"/>
  <c r="H28" i="4"/>
  <c r="H14" i="4" s="1"/>
  <c r="H12" i="7" s="1"/>
  <c r="E28" i="4"/>
  <c r="E14" i="4" s="1"/>
  <c r="E12" i="7" s="1"/>
  <c r="F28" i="4"/>
  <c r="F14" i="4" s="1"/>
  <c r="F12" i="7" s="1"/>
  <c r="J28" i="4"/>
  <c r="J14" i="4" s="1"/>
  <c r="J12" i="7" s="1"/>
  <c r="I28" i="4"/>
  <c r="I14" i="4" s="1"/>
  <c r="I12" i="7" s="1"/>
  <c r="K28" i="4"/>
  <c r="K14" i="4" s="1"/>
  <c r="K12" i="7" s="1"/>
  <c r="D11" i="7"/>
  <c r="D13" i="7" s="1"/>
  <c r="L28" i="4"/>
  <c r="L14" i="4" s="1"/>
  <c r="L12" i="7" s="1"/>
  <c r="E7" i="8"/>
  <c r="E53" i="2"/>
  <c r="D16" i="6"/>
  <c r="C14" i="7" s="1"/>
  <c r="C15" i="7" s="1"/>
  <c r="D14" i="6"/>
  <c r="E11" i="6" s="1"/>
  <c r="D15" i="4"/>
  <c r="E12" i="4" s="1"/>
  <c r="E10" i="7"/>
  <c r="F6" i="8" s="1"/>
  <c r="F52" i="2" s="1"/>
  <c r="E9" i="7"/>
  <c r="F5" i="8" s="1"/>
  <c r="F51" i="2" s="1"/>
  <c r="G11" i="3"/>
  <c r="F8" i="7"/>
  <c r="F13" i="5"/>
  <c r="F15" i="5" s="1"/>
  <c r="F16" i="5" s="1"/>
  <c r="G9" i="8" s="1"/>
  <c r="G56" i="2" s="1"/>
  <c r="G4" i="8"/>
  <c r="F50" i="2"/>
  <c r="E15" i="4" l="1"/>
  <c r="F12" i="4" s="1"/>
  <c r="F15" i="4" s="1"/>
  <c r="G12" i="4" s="1"/>
  <c r="G15" i="4" s="1"/>
  <c r="H12" i="4" s="1"/>
  <c r="H15" i="4" s="1"/>
  <c r="I12" i="4" s="1"/>
  <c r="I15" i="4" s="1"/>
  <c r="J12" i="4" s="1"/>
  <c r="J15" i="4" s="1"/>
  <c r="K12" i="4" s="1"/>
  <c r="K15" i="4" s="1"/>
  <c r="L12" i="4" s="1"/>
  <c r="L15" i="4" s="1"/>
  <c r="F53" i="2"/>
  <c r="F7" i="8"/>
  <c r="E11" i="7"/>
  <c r="E13" i="7" s="1"/>
  <c r="C16" i="7"/>
  <c r="D8" i="8" s="1"/>
  <c r="H11" i="3"/>
  <c r="G8" i="7"/>
  <c r="G13" i="5"/>
  <c r="G15" i="5" s="1"/>
  <c r="G16" i="5" s="1"/>
  <c r="H9" i="8" s="1"/>
  <c r="H56" i="2" s="1"/>
  <c r="H4" i="8"/>
  <c r="E14" i="6"/>
  <c r="F11" i="6" s="1"/>
  <c r="E16" i="6"/>
  <c r="D14" i="7" s="1"/>
  <c r="D15" i="7" s="1"/>
  <c r="F9" i="7"/>
  <c r="G5" i="8" s="1"/>
  <c r="G51" i="2" s="1"/>
  <c r="F10" i="7"/>
  <c r="G6" i="8" s="1"/>
  <c r="G52" i="2" s="1"/>
  <c r="G50" i="2"/>
  <c r="C17" i="7" l="1"/>
  <c r="G9" i="7"/>
  <c r="H5" i="8" s="1"/>
  <c r="H51" i="2" s="1"/>
  <c r="G10" i="7"/>
  <c r="H6" i="8" s="1"/>
  <c r="H52" i="2" s="1"/>
  <c r="H50" i="2"/>
  <c r="D16" i="7"/>
  <c r="E8" i="8" s="1"/>
  <c r="F11" i="7"/>
  <c r="F13" i="7" s="1"/>
  <c r="H8" i="7"/>
  <c r="H13" i="5"/>
  <c r="H15" i="5" s="1"/>
  <c r="H16" i="5" s="1"/>
  <c r="I9" i="8" s="1"/>
  <c r="I56" i="2" s="1"/>
  <c r="I4" i="8"/>
  <c r="I11" i="3"/>
  <c r="F14" i="6"/>
  <c r="F16" i="6"/>
  <c r="E14" i="7" s="1"/>
  <c r="E15" i="7" s="1"/>
  <c r="G53" i="2"/>
  <c r="G7" i="8"/>
  <c r="D54" i="2"/>
  <c r="D57" i="2" s="1"/>
  <c r="D59" i="2" s="1"/>
  <c r="D11" i="8"/>
  <c r="G11" i="7" l="1"/>
  <c r="G13" i="7" s="1"/>
  <c r="H53" i="2"/>
  <c r="G11" i="6"/>
  <c r="D17" i="7"/>
  <c r="I8" i="7"/>
  <c r="I13" i="5"/>
  <c r="I15" i="5" s="1"/>
  <c r="I16" i="5" s="1"/>
  <c r="J9" i="8" s="1"/>
  <c r="J56" i="2" s="1"/>
  <c r="J4" i="8"/>
  <c r="J11" i="3"/>
  <c r="H7" i="8"/>
  <c r="E54" i="2"/>
  <c r="E57" i="2" s="1"/>
  <c r="E59" i="2" s="1"/>
  <c r="E11" i="8"/>
  <c r="I50" i="2"/>
  <c r="E16" i="7"/>
  <c r="F8" i="8" s="1"/>
  <c r="H10" i="7"/>
  <c r="I6" i="8" s="1"/>
  <c r="I52" i="2" s="1"/>
  <c r="H9" i="7"/>
  <c r="I5" i="8" s="1"/>
  <c r="I51" i="2" s="1"/>
  <c r="G16" i="6" l="1"/>
  <c r="F14" i="7" s="1"/>
  <c r="F15" i="7" s="1"/>
  <c r="F16" i="7" s="1"/>
  <c r="G8" i="8" s="1"/>
  <c r="G14" i="6"/>
  <c r="H11" i="6" s="1"/>
  <c r="I7" i="8"/>
  <c r="I10" i="7"/>
  <c r="J6" i="8" s="1"/>
  <c r="J52" i="2" s="1"/>
  <c r="I9" i="7"/>
  <c r="J5" i="8" s="1"/>
  <c r="J51" i="2" s="1"/>
  <c r="H11" i="7"/>
  <c r="H13" i="7" s="1"/>
  <c r="I53" i="2"/>
  <c r="F54" i="2"/>
  <c r="F57" i="2" s="1"/>
  <c r="F59" i="2" s="1"/>
  <c r="F11" i="8"/>
  <c r="K4" i="8"/>
  <c r="K11" i="3"/>
  <c r="J13" i="5"/>
  <c r="J15" i="5" s="1"/>
  <c r="J16" i="5" s="1"/>
  <c r="K9" i="8" s="1"/>
  <c r="K56" i="2" s="1"/>
  <c r="J8" i="7"/>
  <c r="E17" i="7"/>
  <c r="J50" i="2"/>
  <c r="H14" i="6" l="1"/>
  <c r="I11" i="6" s="1"/>
  <c r="H16" i="6"/>
  <c r="G14" i="7" s="1"/>
  <c r="G15" i="7" s="1"/>
  <c r="G16" i="7" s="1"/>
  <c r="H8" i="8" s="1"/>
  <c r="L4" i="8"/>
  <c r="L11" i="3"/>
  <c r="K8" i="7"/>
  <c r="K13" i="5"/>
  <c r="K15" i="5" s="1"/>
  <c r="K16" i="5" s="1"/>
  <c r="L9" i="8" s="1"/>
  <c r="L56" i="2" s="1"/>
  <c r="J7" i="8"/>
  <c r="I11" i="7"/>
  <c r="I13" i="7" s="1"/>
  <c r="K50" i="2"/>
  <c r="G54" i="2"/>
  <c r="G57" i="2" s="1"/>
  <c r="G59" i="2" s="1"/>
  <c r="G11" i="8"/>
  <c r="J53" i="2"/>
  <c r="J10" i="7"/>
  <c r="K6" i="8" s="1"/>
  <c r="K52" i="2" s="1"/>
  <c r="J9" i="7"/>
  <c r="K5" i="8" s="1"/>
  <c r="K51" i="2" s="1"/>
  <c r="F17" i="7"/>
  <c r="I16" i="6" l="1"/>
  <c r="H14" i="7" s="1"/>
  <c r="H15" i="7" s="1"/>
  <c r="H16" i="7" s="1"/>
  <c r="I8" i="8" s="1"/>
  <c r="I14" i="6"/>
  <c r="J11" i="6" s="1"/>
  <c r="H54" i="2"/>
  <c r="H57" i="2" s="1"/>
  <c r="H59" i="2" s="1"/>
  <c r="H11" i="8"/>
  <c r="G17" i="7"/>
  <c r="J11" i="7"/>
  <c r="J13" i="7" s="1"/>
  <c r="K7" i="8"/>
  <c r="K10" i="7"/>
  <c r="L6" i="8" s="1"/>
  <c r="L52" i="2" s="1"/>
  <c r="K9" i="7"/>
  <c r="L5" i="8" s="1"/>
  <c r="L51" i="2" s="1"/>
  <c r="L50" i="2"/>
  <c r="K53" i="2"/>
  <c r="M4" i="8"/>
  <c r="L8" i="7"/>
  <c r="L13" i="5"/>
  <c r="L15" i="5" s="1"/>
  <c r="L16" i="5" s="1"/>
  <c r="M9" i="8" s="1"/>
  <c r="M56" i="2" s="1"/>
  <c r="J14" i="6" l="1"/>
  <c r="K11" i="6" s="1"/>
  <c r="J16" i="6"/>
  <c r="I14" i="7" s="1"/>
  <c r="I15" i="7" s="1"/>
  <c r="I16" i="7" s="1"/>
  <c r="J8" i="8" s="1"/>
  <c r="H17" i="7"/>
  <c r="L10" i="7"/>
  <c r="M6" i="8" s="1"/>
  <c r="M52" i="2" s="1"/>
  <c r="L9" i="7"/>
  <c r="M5" i="8" s="1"/>
  <c r="M51" i="2" s="1"/>
  <c r="L7" i="8"/>
  <c r="K11" i="7"/>
  <c r="K13" i="7" s="1"/>
  <c r="I54" i="2"/>
  <c r="I57" i="2" s="1"/>
  <c r="I59" i="2" s="1"/>
  <c r="I11" i="8"/>
  <c r="L53" i="2"/>
  <c r="M50" i="2"/>
  <c r="L11" i="7" l="1"/>
  <c r="L13" i="7" s="1"/>
  <c r="K16" i="6"/>
  <c r="J14" i="7" s="1"/>
  <c r="J15" i="7" s="1"/>
  <c r="J16" i="7" s="1"/>
  <c r="K8" i="8" s="1"/>
  <c r="K14" i="6"/>
  <c r="I17" i="7"/>
  <c r="J54" i="2"/>
  <c r="J57" i="2" s="1"/>
  <c r="J59" i="2" s="1"/>
  <c r="J11" i="8"/>
  <c r="M7" i="8"/>
  <c r="M53" i="2"/>
  <c r="L11" i="6" l="1"/>
  <c r="K54" i="2"/>
  <c r="K57" i="2" s="1"/>
  <c r="K59" i="2" s="1"/>
  <c r="K11" i="8"/>
  <c r="J17" i="7"/>
  <c r="L14" i="6" l="1"/>
  <c r="M11" i="6" s="1"/>
  <c r="L16" i="6"/>
  <c r="K14" i="7" s="1"/>
  <c r="K15" i="7" s="1"/>
  <c r="K16" i="7" s="1"/>
  <c r="L8" i="8" s="1"/>
  <c r="L54" i="2" s="1"/>
  <c r="L57" i="2" s="1"/>
  <c r="L59" i="2" s="1"/>
  <c r="L11" i="8" l="1"/>
  <c r="M14" i="6"/>
  <c r="M16" i="6"/>
  <c r="L14" i="7" s="1"/>
  <c r="L15" i="7" s="1"/>
  <c r="L16" i="7" s="1"/>
  <c r="M8" i="8" s="1"/>
  <c r="M54" i="2" s="1"/>
  <c r="M57" i="2" s="1"/>
  <c r="M59" i="2" s="1"/>
  <c r="C75" i="2" s="1"/>
  <c r="K17" i="7"/>
  <c r="M11" i="8" l="1"/>
  <c r="L17" i="7"/>
  <c r="C77" i="2"/>
</calcChain>
</file>

<file path=xl/sharedStrings.xml><?xml version="1.0" encoding="utf-8"?>
<sst xmlns="http://schemas.openxmlformats.org/spreadsheetml/2006/main" count="137" uniqueCount="106">
  <si>
    <t>Factory Project</t>
  </si>
  <si>
    <t>in USD,mm</t>
  </si>
  <si>
    <t>Revenue</t>
  </si>
  <si>
    <t>Variable Expenses</t>
  </si>
  <si>
    <t>Fixed Expenses</t>
  </si>
  <si>
    <t>EBITDA</t>
  </si>
  <si>
    <t>Taxes</t>
  </si>
  <si>
    <t>CAPEX</t>
  </si>
  <si>
    <t>Delta Working Capital</t>
  </si>
  <si>
    <t xml:space="preserve">Operating Cash Flow </t>
  </si>
  <si>
    <t>Residual Value</t>
  </si>
  <si>
    <t>Operating Cash Flow  + Residual Value</t>
  </si>
  <si>
    <t>Sales Forecast</t>
  </si>
  <si>
    <t>Sales in Year 1 (million, USD)</t>
  </si>
  <si>
    <t>Growth Rates</t>
  </si>
  <si>
    <t>N/A</t>
  </si>
  <si>
    <t>Cost of Equity</t>
  </si>
  <si>
    <t>Risk-free Rate of Interest</t>
  </si>
  <si>
    <t>Market Risk Premium (MRP)</t>
  </si>
  <si>
    <t>Financing</t>
  </si>
  <si>
    <t>Initial Capital (million, USD)</t>
  </si>
  <si>
    <t>Debt (million, USD)</t>
  </si>
  <si>
    <t>Equity (million, USD)</t>
  </si>
  <si>
    <t>Investment Plan</t>
  </si>
  <si>
    <t>Variable Expenses (as % of Revenue)</t>
  </si>
  <si>
    <t>Fixed Expenses (excl. interest as % of Revenue)</t>
  </si>
  <si>
    <t>Lifetime of the investment (years)</t>
  </si>
  <si>
    <t>Depreciation Method</t>
  </si>
  <si>
    <t>Straight Line</t>
  </si>
  <si>
    <t>Residual value of the factory project (million, USD)</t>
  </si>
  <si>
    <t>Tax rate</t>
  </si>
  <si>
    <t>Days Sales Outstanding (DSO)</t>
  </si>
  <si>
    <t>Days Inventory Outstanding (DIO)</t>
  </si>
  <si>
    <t>Days Payable Outstanding (DPO)</t>
  </si>
  <si>
    <t>Comparable Companies</t>
  </si>
  <si>
    <t>Market Value Equity ($,mm)</t>
  </si>
  <si>
    <t xml:space="preserve">Proportion of Total </t>
  </si>
  <si>
    <t>Market Value Debt ($,mm)</t>
  </si>
  <si>
    <t>Beta</t>
  </si>
  <si>
    <t>Tax</t>
  </si>
  <si>
    <t>Beta (Unlevered)</t>
  </si>
  <si>
    <t>Weighted Beta (Unlevered)</t>
  </si>
  <si>
    <t>Waiko</t>
  </si>
  <si>
    <t>TechKit</t>
  </si>
  <si>
    <t>TechGadgets</t>
  </si>
  <si>
    <t>Total</t>
  </si>
  <si>
    <t>Cost of Debt</t>
  </si>
  <si>
    <t>Bond Par Value</t>
  </si>
  <si>
    <t>Current Price of Bond</t>
  </si>
  <si>
    <t>Coupon Payments per Year</t>
  </si>
  <si>
    <t>Coupon Rate</t>
  </si>
  <si>
    <t>Years to Maturity</t>
  </si>
  <si>
    <t>Coupon Payment</t>
  </si>
  <si>
    <t>Levered Beta</t>
  </si>
  <si>
    <t>WACC</t>
  </si>
  <si>
    <t>NPV</t>
  </si>
  <si>
    <t>IRR</t>
  </si>
  <si>
    <t>Sales Year 1 (million, USD)</t>
  </si>
  <si>
    <t>Base Case</t>
  </si>
  <si>
    <t>Revenue (million, USD)</t>
  </si>
  <si>
    <t>Fixed asset roll-forward</t>
  </si>
  <si>
    <t>Estimated initial investment (million, USD)</t>
  </si>
  <si>
    <t>Investment plan</t>
  </si>
  <si>
    <t>in USD</t>
  </si>
  <si>
    <t>Beginning PP&amp;E</t>
  </si>
  <si>
    <t>Capex</t>
  </si>
  <si>
    <t>D&amp;A</t>
  </si>
  <si>
    <t>Ending PP&amp;E</t>
  </si>
  <si>
    <t>D&amp;A schedule (million, USD)</t>
  </si>
  <si>
    <t>Capex Year 1</t>
  </si>
  <si>
    <t>Capex Year 2</t>
  </si>
  <si>
    <t>Capex Year 3</t>
  </si>
  <si>
    <t>Capex Year 4</t>
  </si>
  <si>
    <t>Capex Year 5</t>
  </si>
  <si>
    <t>Capex Year 6</t>
  </si>
  <si>
    <t>Capex Year 7</t>
  </si>
  <si>
    <t>Capex Year 8</t>
  </si>
  <si>
    <t>Capex Year 9</t>
  </si>
  <si>
    <t>Capex Year 10</t>
  </si>
  <si>
    <t xml:space="preserve"> </t>
  </si>
  <si>
    <t>Working Capital</t>
  </si>
  <si>
    <t>(million, USD)</t>
  </si>
  <si>
    <t>Cash Conversion Cycle (days)</t>
  </si>
  <si>
    <t>Investment in Year 0 (million, USD)</t>
  </si>
  <si>
    <t>Financing Facilities</t>
  </si>
  <si>
    <t>Debt Facility (million, USD)</t>
  </si>
  <si>
    <t>Interest Rate Debt Facility</t>
  </si>
  <si>
    <t>Repay Debt Facility In</t>
  </si>
  <si>
    <t>10 years</t>
  </si>
  <si>
    <t>in million, USD</t>
  </si>
  <si>
    <t>Beginning Debt</t>
  </si>
  <si>
    <t>Repayment</t>
  </si>
  <si>
    <t>Ending Debt</t>
  </si>
  <si>
    <t>Interest Expense</t>
  </si>
  <si>
    <t>P&amp;L</t>
  </si>
  <si>
    <t>Expenses</t>
  </si>
  <si>
    <t>Fixed Expenses (excl. interest, as % of Revenue)</t>
  </si>
  <si>
    <t>EBIT</t>
  </si>
  <si>
    <t>Interest Expenses</t>
  </si>
  <si>
    <t>EBT</t>
  </si>
  <si>
    <t>Net Income</t>
  </si>
  <si>
    <t>Operating Cash Flow</t>
  </si>
  <si>
    <t>Repayment Plan</t>
  </si>
  <si>
    <t>Annuity</t>
  </si>
  <si>
    <t>Output</t>
  </si>
  <si>
    <t>Lifetime of the Investment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</si>
</sst>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rgb="FF0073B0"/>
      <name val="Arial"/>
      <family val="2"/>
      <charset val="204"/>
    </font>
    <font>
      <b/>
      <sz val="9"/>
      <name val="Arial"/>
      <family val="2"/>
      <charset val="204"/>
    </font>
    <font>
      <sz val="11"/>
      <color theme="1"/>
      <name val="Arial"/>
      <family val="2"/>
    </font>
    <font>
      <b/>
      <sz val="9"/>
      <color rgb="FF0073B0"/>
      <name val="Arial"/>
      <family val="2"/>
    </font>
    <font>
      <b/>
      <sz val="9"/>
      <color rgb="FF002060"/>
      <name val="Arial"/>
      <family val="2"/>
    </font>
    <font>
      <u/>
      <sz val="9"/>
      <color theme="1"/>
      <name val="Arial"/>
      <family val="2"/>
    </font>
    <font>
      <b/>
      <sz val="9"/>
      <name val="Arial"/>
      <family val="2"/>
    </font>
    <font>
      <b/>
      <sz val="12"/>
      <color rgb="FF002060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b/>
      <sz val="9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3B0"/>
        <bgColor rgb="FF0073B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theme="9"/>
      </bottom>
      <diagonal/>
    </border>
    <border>
      <left/>
      <right/>
      <top/>
      <bottom style="dashed">
        <color theme="9"/>
      </bottom>
      <diagonal/>
    </border>
    <border>
      <left/>
      <right/>
      <top style="medium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0" xfId="0" applyFont="1" applyFill="1"/>
    <xf numFmtId="0" fontId="4" fillId="2" borderId="0" xfId="0" applyFont="1" applyFill="1"/>
    <xf numFmtId="8" fontId="5" fillId="2" borderId="0" xfId="1" applyNumberFormat="1" applyFont="1" applyFill="1" applyBorder="1"/>
    <xf numFmtId="7" fontId="5" fillId="2" borderId="0" xfId="1" applyNumberFormat="1" applyFont="1" applyFill="1" applyBorder="1"/>
    <xf numFmtId="0" fontId="5" fillId="2" borderId="2" xfId="0" applyFont="1" applyFill="1" applyBorder="1"/>
    <xf numFmtId="164" fontId="5" fillId="2" borderId="2" xfId="1" applyNumberFormat="1" applyFont="1" applyFill="1" applyBorder="1"/>
    <xf numFmtId="7" fontId="5" fillId="2" borderId="2" xfId="1" applyNumberFormat="1" applyFont="1" applyFill="1" applyBorder="1"/>
    <xf numFmtId="0" fontId="6" fillId="2" borderId="0" xfId="0" applyFont="1" applyFill="1"/>
    <xf numFmtId="164" fontId="5" fillId="2" borderId="0" xfId="1" applyNumberFormat="1" applyFont="1" applyFill="1" applyBorder="1"/>
    <xf numFmtId="0" fontId="7" fillId="2" borderId="3" xfId="0" applyFont="1" applyFill="1" applyBorder="1"/>
    <xf numFmtId="164" fontId="7" fillId="2" borderId="3" xfId="0" applyNumberFormat="1" applyFont="1" applyFill="1" applyBorder="1"/>
    <xf numFmtId="7" fontId="7" fillId="2" borderId="3" xfId="0" applyNumberFormat="1" applyFont="1" applyFill="1" applyBorder="1"/>
    <xf numFmtId="0" fontId="7" fillId="2" borderId="2" xfId="0" applyFont="1" applyFill="1" applyBorder="1"/>
    <xf numFmtId="8" fontId="7" fillId="2" borderId="0" xfId="0" applyNumberFormat="1" applyFont="1" applyFill="1"/>
    <xf numFmtId="0" fontId="7" fillId="2" borderId="0" xfId="0" applyFont="1" applyFill="1"/>
    <xf numFmtId="8" fontId="7" fillId="2" borderId="3" xfId="0" applyNumberFormat="1" applyFont="1" applyFill="1" applyBorder="1"/>
    <xf numFmtId="8" fontId="5" fillId="2" borderId="0" xfId="1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5" fillId="2" borderId="0" xfId="0" applyNumberFormat="1" applyFont="1" applyFill="1" applyAlignment="1">
      <alignment horizontal="right"/>
    </xf>
    <xf numFmtId="10" fontId="8" fillId="2" borderId="0" xfId="0" applyNumberFormat="1" applyFont="1" applyFill="1"/>
    <xf numFmtId="10" fontId="5" fillId="2" borderId="0" xfId="0" applyNumberFormat="1" applyFont="1" applyFill="1"/>
    <xf numFmtId="8" fontId="5" fillId="2" borderId="0" xfId="0" applyNumberFormat="1" applyFont="1" applyFill="1"/>
    <xf numFmtId="8" fontId="5" fillId="2" borderId="0" xfId="1" applyNumberFormat="1" applyFont="1" applyFill="1"/>
    <xf numFmtId="164" fontId="4" fillId="2" borderId="0" xfId="0" applyNumberFormat="1" applyFont="1" applyFill="1"/>
    <xf numFmtId="9" fontId="5" fillId="2" borderId="0" xfId="2" applyFont="1" applyFill="1" applyBorder="1"/>
    <xf numFmtId="164" fontId="5" fillId="2" borderId="0" xfId="1" applyNumberFormat="1" applyFont="1" applyFill="1"/>
    <xf numFmtId="164" fontId="5" fillId="2" borderId="0" xfId="1" applyNumberFormat="1" applyFont="1" applyFill="1" applyAlignment="1">
      <alignment horizontal="right"/>
    </xf>
    <xf numFmtId="0" fontId="0" fillId="2" borderId="0" xfId="0" applyFill="1"/>
    <xf numFmtId="0" fontId="4" fillId="2" borderId="1" xfId="0" applyFont="1" applyFill="1" applyBorder="1" applyAlignment="1">
      <alignment horizontal="right" wrapText="1"/>
    </xf>
    <xf numFmtId="9" fontId="5" fillId="2" borderId="0" xfId="0" applyNumberFormat="1" applyFont="1" applyFill="1"/>
    <xf numFmtId="2" fontId="5" fillId="2" borderId="0" xfId="0" applyNumberFormat="1" applyFont="1" applyFill="1"/>
    <xf numFmtId="9" fontId="5" fillId="2" borderId="2" xfId="0" applyNumberFormat="1" applyFont="1" applyFill="1" applyBorder="1"/>
    <xf numFmtId="2" fontId="5" fillId="2" borderId="2" xfId="0" applyNumberFormat="1" applyFont="1" applyFill="1" applyBorder="1"/>
    <xf numFmtId="0" fontId="5" fillId="2" borderId="3" xfId="0" applyFont="1" applyFill="1" applyBorder="1"/>
    <xf numFmtId="8" fontId="5" fillId="2" borderId="3" xfId="0" applyNumberFormat="1" applyFont="1" applyFill="1" applyBorder="1"/>
    <xf numFmtId="9" fontId="5" fillId="2" borderId="3" xfId="0" applyNumberFormat="1" applyFont="1" applyFill="1" applyBorder="1"/>
    <xf numFmtId="165" fontId="5" fillId="2" borderId="0" xfId="0" applyNumberFormat="1" applyFont="1" applyFill="1"/>
    <xf numFmtId="0" fontId="5" fillId="2" borderId="4" xfId="0" applyFont="1" applyFill="1" applyBorder="1"/>
    <xf numFmtId="0" fontId="6" fillId="2" borderId="5" xfId="0" applyFont="1" applyFill="1" applyBorder="1"/>
    <xf numFmtId="10" fontId="5" fillId="2" borderId="5" xfId="0" applyNumberFormat="1" applyFont="1" applyFill="1" applyBorder="1"/>
    <xf numFmtId="0" fontId="10" fillId="2" borderId="0" xfId="3" applyFont="1" applyFill="1"/>
    <xf numFmtId="0" fontId="5" fillId="2" borderId="0" xfId="0" applyFont="1" applyFill="1" applyAlignment="1">
      <alignment horizontal="right"/>
    </xf>
    <xf numFmtId="8" fontId="5" fillId="2" borderId="0" xfId="0" applyNumberFormat="1" applyFont="1" applyFill="1" applyAlignment="1">
      <alignment horizontal="right"/>
    </xf>
    <xf numFmtId="49" fontId="11" fillId="2" borderId="0" xfId="3" applyNumberFormat="1" applyFont="1" applyFill="1" applyAlignment="1">
      <alignment horizontal="right" wrapText="1"/>
    </xf>
    <xf numFmtId="8" fontId="5" fillId="2" borderId="5" xfId="0" applyNumberFormat="1" applyFont="1" applyFill="1" applyBorder="1"/>
    <xf numFmtId="0" fontId="12" fillId="2" borderId="0" xfId="0" applyFont="1" applyFill="1"/>
    <xf numFmtId="0" fontId="5" fillId="2" borderId="6" xfId="0" applyFont="1" applyFill="1" applyBorder="1"/>
    <xf numFmtId="8" fontId="5" fillId="2" borderId="6" xfId="1" applyNumberFormat="1" applyFont="1" applyFill="1" applyBorder="1"/>
    <xf numFmtId="0" fontId="13" fillId="2" borderId="0" xfId="0" applyFont="1" applyFill="1"/>
    <xf numFmtId="9" fontId="5" fillId="2" borderId="6" xfId="0" applyNumberFormat="1" applyFont="1" applyFill="1" applyBorder="1" applyAlignment="1">
      <alignment horizontal="right"/>
    </xf>
    <xf numFmtId="9" fontId="5" fillId="2" borderId="6" xfId="0" applyNumberFormat="1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8" fontId="8" fillId="2" borderId="6" xfId="1" applyNumberFormat="1" applyFont="1" applyFill="1" applyBorder="1"/>
    <xf numFmtId="0" fontId="8" fillId="2" borderId="0" xfId="0" applyFont="1" applyFill="1"/>
    <xf numFmtId="164" fontId="14" fillId="2" borderId="0" xfId="1" applyNumberFormat="1" applyFont="1" applyFill="1"/>
    <xf numFmtId="0" fontId="17" fillId="2" borderId="0" xfId="0" applyFont="1" applyFill="1"/>
    <xf numFmtId="0" fontId="18" fillId="2" borderId="0" xfId="0" applyFont="1" applyFill="1"/>
    <xf numFmtId="0" fontId="8" fillId="2" borderId="6" xfId="0" applyFont="1" applyFill="1" applyBorder="1"/>
    <xf numFmtId="9" fontId="8" fillId="2" borderId="6" xfId="0" applyNumberFormat="1" applyFont="1" applyFill="1" applyBorder="1"/>
    <xf numFmtId="164" fontId="8" fillId="2" borderId="6" xfId="1" applyNumberFormat="1" applyFont="1" applyFill="1" applyBorder="1"/>
    <xf numFmtId="0" fontId="8" fillId="2" borderId="7" xfId="0" applyFont="1" applyFill="1" applyBorder="1"/>
    <xf numFmtId="164" fontId="18" fillId="2" borderId="0" xfId="0" applyNumberFormat="1" applyFont="1" applyFill="1"/>
    <xf numFmtId="0" fontId="14" fillId="2" borderId="6" xfId="0" applyFont="1" applyFill="1" applyBorder="1"/>
    <xf numFmtId="0" fontId="18" fillId="2" borderId="1" xfId="0" applyFont="1" applyFill="1" applyBorder="1"/>
    <xf numFmtId="0" fontId="16" fillId="2" borderId="8" xfId="0" applyFont="1" applyFill="1" applyBorder="1"/>
    <xf numFmtId="0" fontId="19" fillId="2" borderId="0" xfId="0" applyFont="1" applyFill="1"/>
    <xf numFmtId="164" fontId="20" fillId="3" borderId="0" xfId="1" applyNumberFormat="1" applyFont="1" applyFill="1" applyBorder="1"/>
    <xf numFmtId="164" fontId="8" fillId="2" borderId="0" xfId="1" applyNumberFormat="1" applyFont="1" applyFill="1" applyBorder="1"/>
    <xf numFmtId="0" fontId="21" fillId="2" borderId="0" xfId="0" applyFont="1" applyFill="1"/>
    <xf numFmtId="9" fontId="8" fillId="2" borderId="0" xfId="2" applyFont="1" applyFill="1"/>
    <xf numFmtId="9" fontId="8" fillId="2" borderId="0" xfId="0" applyNumberFormat="1" applyFont="1" applyFill="1" applyAlignment="1">
      <alignment horizontal="right"/>
    </xf>
    <xf numFmtId="9" fontId="8" fillId="2" borderId="0" xfId="2" applyFont="1" applyFill="1" applyBorder="1"/>
    <xf numFmtId="164" fontId="16" fillId="2" borderId="6" xfId="1" applyNumberFormat="1" applyFont="1" applyFill="1" applyBorder="1"/>
    <xf numFmtId="164" fontId="6" fillId="2" borderId="0" xfId="1" applyNumberFormat="1" applyFont="1" applyFill="1" applyBorder="1"/>
    <xf numFmtId="164" fontId="16" fillId="2" borderId="0" xfId="1" applyNumberFormat="1" applyFont="1" applyFill="1" applyBorder="1"/>
    <xf numFmtId="8" fontId="14" fillId="2" borderId="0" xfId="0" applyNumberFormat="1" applyFont="1" applyFill="1"/>
    <xf numFmtId="0" fontId="19" fillId="2" borderId="0" xfId="4" applyFont="1" applyFill="1" applyAlignment="1">
      <alignment horizontal="left" vertical="center"/>
    </xf>
    <xf numFmtId="9" fontId="8" fillId="2" borderId="0" xfId="0" applyNumberFormat="1" applyFont="1" applyFill="1"/>
    <xf numFmtId="0" fontId="8" fillId="2" borderId="2" xfId="0" applyFont="1" applyFill="1" applyBorder="1"/>
    <xf numFmtId="164" fontId="8" fillId="2" borderId="2" xfId="1" applyNumberFormat="1" applyFont="1" applyFill="1" applyBorder="1"/>
    <xf numFmtId="0" fontId="16" fillId="2" borderId="3" xfId="0" applyFont="1" applyFill="1" applyBorder="1"/>
    <xf numFmtId="0" fontId="16" fillId="2" borderId="6" xfId="0" applyFont="1" applyFill="1" applyBorder="1"/>
    <xf numFmtId="0" fontId="16" fillId="2" borderId="0" xfId="0" applyFont="1" applyFill="1" applyAlignment="1">
      <alignment horizontal="right"/>
    </xf>
    <xf numFmtId="43" fontId="8" fillId="2" borderId="6" xfId="1" applyFont="1" applyFill="1" applyBorder="1"/>
    <xf numFmtId="0" fontId="16" fillId="2" borderId="6" xfId="0" applyFont="1" applyFill="1" applyBorder="1" applyAlignment="1">
      <alignment horizontal="right"/>
    </xf>
    <xf numFmtId="43" fontId="8" fillId="2" borderId="0" xfId="1" applyFont="1" applyFill="1" applyBorder="1"/>
    <xf numFmtId="43" fontId="8" fillId="2" borderId="2" xfId="1" applyFont="1" applyFill="1" applyBorder="1"/>
    <xf numFmtId="43" fontId="6" fillId="2" borderId="3" xfId="0" applyNumberFormat="1" applyFont="1" applyFill="1" applyBorder="1"/>
    <xf numFmtId="164" fontId="6" fillId="2" borderId="0" xfId="0" applyNumberFormat="1" applyFont="1" applyFill="1"/>
    <xf numFmtId="166" fontId="8" fillId="2" borderId="0" xfId="2" applyNumberFormat="1" applyFont="1" applyFill="1"/>
    <xf numFmtId="43" fontId="18" fillId="2" borderId="6" xfId="0" applyNumberFormat="1" applyFont="1" applyFill="1" applyBorder="1"/>
    <xf numFmtId="43" fontId="6" fillId="2" borderId="0" xfId="1" applyFont="1" applyFill="1" applyBorder="1"/>
    <xf numFmtId="43" fontId="6" fillId="2" borderId="6" xfId="1" applyFont="1" applyFill="1" applyBorder="1" applyAlignment="1">
      <alignment horizontal="right" vertical="top"/>
    </xf>
    <xf numFmtId="43" fontId="8" fillId="2" borderId="0" xfId="1" applyFont="1" applyFill="1" applyBorder="1" applyAlignment="1"/>
    <xf numFmtId="43" fontId="18" fillId="2" borderId="8" xfId="0" applyNumberFormat="1" applyFont="1" applyFill="1" applyBorder="1"/>
    <xf numFmtId="43" fontId="8" fillId="2" borderId="6" xfId="0" applyNumberFormat="1" applyFont="1" applyFill="1" applyBorder="1"/>
    <xf numFmtId="43" fontId="8" fillId="2" borderId="0" xfId="0" applyNumberFormat="1" applyFont="1" applyFill="1"/>
    <xf numFmtId="43" fontId="14" fillId="2" borderId="0" xfId="0" applyNumberFormat="1" applyFont="1" applyFill="1"/>
    <xf numFmtId="43" fontId="8" fillId="2" borderId="7" xfId="0" applyNumberFormat="1" applyFont="1" applyFill="1" applyBorder="1"/>
    <xf numFmtId="43" fontId="8" fillId="2" borderId="0" xfId="1" applyFont="1" applyFill="1"/>
    <xf numFmtId="43" fontId="18" fillId="2" borderId="0" xfId="0" applyNumberFormat="1" applyFont="1" applyFill="1"/>
    <xf numFmtId="7" fontId="8" fillId="2" borderId="0" xfId="1" applyNumberFormat="1" applyFont="1" applyFill="1" applyBorder="1"/>
    <xf numFmtId="10" fontId="5" fillId="2" borderId="0" xfId="1" applyNumberFormat="1" applyFont="1" applyFill="1"/>
    <xf numFmtId="10" fontId="5" fillId="2" borderId="0" xfId="1" applyNumberFormat="1" applyFont="1" applyFill="1" applyAlignment="1">
      <alignment horizontal="right"/>
    </xf>
    <xf numFmtId="0" fontId="22" fillId="2" borderId="0" xfId="0" applyFont="1" applyFill="1"/>
  </cellXfs>
  <cellStyles count="5">
    <cellStyle name="Comma" xfId="1" builtinId="3"/>
    <cellStyle name="Normal" xfId="0" builtinId="0"/>
    <cellStyle name="Normal 2" xfId="3" xr:uid="{9B52C7B9-1FDA-4378-84D6-307B07035832}"/>
    <cellStyle name="Normal 2 2 2" xfId="4" xr:uid="{3F338D17-3835-49EB-9D1F-21FD201B6D4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61</xdr:row>
      <xdr:rowOff>85725</xdr:rowOff>
    </xdr:from>
    <xdr:to>
      <xdr:col>3</xdr:col>
      <xdr:colOff>699134</xdr:colOff>
      <xdr:row>61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F5EECA2-6817-40FA-AD9B-A20ED266839A}"/>
            </a:ext>
          </a:extLst>
        </xdr:cNvPr>
        <xdr:cNvCxnSpPr/>
      </xdr:nvCxnSpPr>
      <xdr:spPr>
        <a:xfrm flipH="1">
          <a:off x="4484370" y="10279380"/>
          <a:ext cx="5238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3139-F53D-495D-8E56-848A1391A371}">
  <dimension ref="B1:R77"/>
  <sheetViews>
    <sheetView zoomScale="120" zoomScaleNormal="120" workbookViewId="0"/>
  </sheetViews>
  <sheetFormatPr defaultColWidth="9.109375" defaultRowHeight="11.4" x14ac:dyDescent="0.2"/>
  <cols>
    <col min="1" max="1" width="2" style="4" customWidth="1"/>
    <col min="2" max="2" width="39" style="4" customWidth="1"/>
    <col min="3" max="3" width="21.6640625" style="4" customWidth="1"/>
    <col min="4" max="4" width="12" style="4" customWidth="1"/>
    <col min="5" max="5" width="9.6640625" style="4" customWidth="1"/>
    <col min="6" max="6" width="8.5546875" style="4" customWidth="1"/>
    <col min="7" max="7" width="11.44140625" style="4" customWidth="1"/>
    <col min="8" max="8" width="10.88671875" style="4" customWidth="1"/>
    <col min="9" max="9" width="11.44140625" style="4" customWidth="1"/>
    <col min="10" max="10" width="10" style="4" customWidth="1"/>
    <col min="11" max="13" width="9.109375" style="4"/>
    <col min="14" max="14" width="10.6640625" style="4" customWidth="1"/>
    <col min="15" max="16384" width="9.109375" style="4"/>
  </cols>
  <sheetData>
    <row r="1" spans="2:18" s="2" customFormat="1" ht="15.6" x14ac:dyDescent="0.3">
      <c r="B1" s="1" t="s">
        <v>0</v>
      </c>
    </row>
    <row r="2" spans="2:18" s="2" customFormat="1" ht="15.6" x14ac:dyDescent="0.3">
      <c r="B2" s="1"/>
    </row>
    <row r="3" spans="2:18" s="2" customFormat="1" ht="14.4" thickBot="1" x14ac:dyDescent="0.3">
      <c r="B3" s="3" t="s">
        <v>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8" s="2" customFormat="1" ht="13.8" x14ac:dyDescent="0.25">
      <c r="B4" s="4" t="s">
        <v>13</v>
      </c>
      <c r="C4" s="20">
        <v>69</v>
      </c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2:18" s="2" customFormat="1" ht="14.4" thickBot="1" x14ac:dyDescent="0.3">
      <c r="C5" s="22">
        <v>1</v>
      </c>
      <c r="D5" s="22">
        <v>2</v>
      </c>
      <c r="E5" s="22">
        <v>3</v>
      </c>
      <c r="F5" s="22">
        <v>4</v>
      </c>
      <c r="G5" s="22">
        <v>5</v>
      </c>
      <c r="H5" s="22">
        <v>6</v>
      </c>
      <c r="I5" s="22">
        <v>7</v>
      </c>
      <c r="J5" s="22">
        <v>8</v>
      </c>
      <c r="K5" s="22">
        <v>9</v>
      </c>
      <c r="L5" s="22">
        <v>10</v>
      </c>
      <c r="M5" s="22"/>
    </row>
    <row r="6" spans="2:18" s="2" customFormat="1" ht="13.8" x14ac:dyDescent="0.25">
      <c r="B6" s="4" t="s">
        <v>14</v>
      </c>
      <c r="C6" s="23" t="s">
        <v>15</v>
      </c>
      <c r="D6" s="23">
        <v>0.1</v>
      </c>
      <c r="E6" s="23">
        <v>0.1</v>
      </c>
      <c r="F6" s="23">
        <v>0.1</v>
      </c>
      <c r="G6" s="23">
        <v>0.1</v>
      </c>
      <c r="H6" s="23">
        <v>0.02</v>
      </c>
      <c r="I6" s="23">
        <v>0.02</v>
      </c>
      <c r="J6" s="23">
        <v>0.02</v>
      </c>
      <c r="K6" s="23">
        <v>0.02</v>
      </c>
      <c r="L6" s="23">
        <v>0.02</v>
      </c>
      <c r="M6" s="21"/>
    </row>
    <row r="7" spans="2:18" s="2" customFormat="1" ht="13.8" x14ac:dyDescent="0.25"/>
    <row r="8" spans="2:18" s="2" customFormat="1" ht="14.4" thickBot="1" x14ac:dyDescent="0.3">
      <c r="B8" s="3" t="s">
        <v>16</v>
      </c>
      <c r="C8" s="3"/>
    </row>
    <row r="9" spans="2:18" s="2" customFormat="1" ht="13.8" x14ac:dyDescent="0.25">
      <c r="B9" s="4" t="s">
        <v>17</v>
      </c>
      <c r="C9" s="24">
        <v>0.04</v>
      </c>
    </row>
    <row r="10" spans="2:18" s="2" customFormat="1" ht="13.8" x14ac:dyDescent="0.25">
      <c r="B10" s="4" t="s">
        <v>18</v>
      </c>
      <c r="C10" s="25">
        <v>0.05</v>
      </c>
    </row>
    <row r="11" spans="2:18" s="2" customFormat="1" ht="13.8" x14ac:dyDescent="0.25">
      <c r="B11" s="4"/>
      <c r="C11" s="25"/>
    </row>
    <row r="12" spans="2:18" s="2" customFormat="1" ht="14.4" thickBot="1" x14ac:dyDescent="0.3">
      <c r="B12" s="3" t="s">
        <v>19</v>
      </c>
      <c r="C12" s="3"/>
    </row>
    <row r="13" spans="2:18" s="2" customFormat="1" ht="13.8" x14ac:dyDescent="0.25">
      <c r="B13" s="4" t="s">
        <v>20</v>
      </c>
      <c r="C13" s="26">
        <f>100</f>
        <v>100</v>
      </c>
      <c r="K13" s="12"/>
      <c r="L13" s="12"/>
      <c r="M13" s="12"/>
      <c r="N13" s="12"/>
      <c r="O13" s="12"/>
      <c r="P13" s="12"/>
      <c r="Q13" s="12"/>
      <c r="R13" s="12"/>
    </row>
    <row r="14" spans="2:18" s="2" customFormat="1" ht="13.8" x14ac:dyDescent="0.25">
      <c r="B14" s="4" t="s">
        <v>21</v>
      </c>
      <c r="C14" s="27">
        <v>80</v>
      </c>
      <c r="K14" s="12"/>
      <c r="L14" s="12"/>
      <c r="M14" s="12"/>
      <c r="N14" s="12"/>
      <c r="O14" s="12"/>
      <c r="P14" s="12"/>
      <c r="Q14" s="12"/>
      <c r="R14" s="12"/>
    </row>
    <row r="15" spans="2:18" s="2" customFormat="1" ht="13.8" x14ac:dyDescent="0.25">
      <c r="B15" s="4" t="s">
        <v>22</v>
      </c>
      <c r="C15" s="27">
        <v>20</v>
      </c>
      <c r="K15" s="28"/>
      <c r="L15" s="28"/>
      <c r="M15" s="28"/>
      <c r="N15" s="28"/>
      <c r="O15" s="28"/>
      <c r="P15" s="28"/>
      <c r="Q15" s="28"/>
      <c r="R15" s="28"/>
    </row>
    <row r="16" spans="2:18" s="2" customFormat="1" ht="13.8" x14ac:dyDescent="0.25">
      <c r="B16" s="4" t="s">
        <v>86</v>
      </c>
      <c r="C16" s="109">
        <v>0.03</v>
      </c>
      <c r="K16" s="28"/>
      <c r="L16" s="28"/>
      <c r="M16" s="28"/>
      <c r="N16" s="28"/>
      <c r="O16" s="28"/>
      <c r="P16" s="28"/>
      <c r="Q16" s="28"/>
      <c r="R16" s="28"/>
    </row>
    <row r="17" spans="2:18" s="2" customFormat="1" ht="13.8" x14ac:dyDescent="0.25">
      <c r="B17" s="4" t="s">
        <v>102</v>
      </c>
      <c r="C17" s="110" t="s">
        <v>103</v>
      </c>
      <c r="K17" s="28"/>
      <c r="L17" s="28"/>
      <c r="M17" s="28"/>
      <c r="N17" s="28"/>
      <c r="O17" s="28"/>
      <c r="P17" s="28"/>
      <c r="Q17" s="28"/>
      <c r="R17" s="28"/>
    </row>
    <row r="18" spans="2:18" s="2" customFormat="1" ht="13.8" x14ac:dyDescent="0.25">
      <c r="B18" s="4"/>
      <c r="C18" s="27"/>
      <c r="K18" s="28"/>
      <c r="L18" s="28"/>
      <c r="M18" s="28"/>
      <c r="N18" s="28"/>
      <c r="O18" s="28"/>
      <c r="P18" s="28"/>
      <c r="Q18" s="28"/>
      <c r="R18" s="28"/>
    </row>
    <row r="19" spans="2:18" s="2" customFormat="1" ht="14.4" thickBot="1" x14ac:dyDescent="0.3">
      <c r="B19" s="3" t="s">
        <v>23</v>
      </c>
      <c r="C19" s="22">
        <v>0</v>
      </c>
      <c r="D19" s="22">
        <v>1</v>
      </c>
      <c r="E19" s="22">
        <v>2</v>
      </c>
      <c r="F19" s="22">
        <v>3</v>
      </c>
      <c r="G19" s="22">
        <v>4</v>
      </c>
      <c r="H19" s="22">
        <v>5</v>
      </c>
      <c r="I19" s="22">
        <v>6</v>
      </c>
      <c r="J19" s="22">
        <v>7</v>
      </c>
      <c r="K19" s="22">
        <v>8</v>
      </c>
      <c r="L19" s="22">
        <v>9</v>
      </c>
      <c r="M19" s="22">
        <v>10</v>
      </c>
      <c r="N19" s="28"/>
      <c r="O19" s="28"/>
      <c r="P19" s="28"/>
      <c r="Q19" s="28"/>
      <c r="R19" s="28"/>
    </row>
    <row r="20" spans="2:18" s="2" customFormat="1" ht="13.8" x14ac:dyDescent="0.25">
      <c r="B20" s="4"/>
      <c r="C20" s="29">
        <v>0.9</v>
      </c>
      <c r="D20" s="29">
        <v>0.1</v>
      </c>
      <c r="E20" s="29">
        <v>0.02</v>
      </c>
      <c r="F20" s="29">
        <v>0.02</v>
      </c>
      <c r="G20" s="29">
        <v>0.02</v>
      </c>
      <c r="H20" s="29">
        <v>0.02</v>
      </c>
      <c r="I20" s="29">
        <v>0.02</v>
      </c>
      <c r="J20" s="29">
        <v>0.02</v>
      </c>
      <c r="K20" s="29">
        <v>0.02</v>
      </c>
      <c r="L20" s="29">
        <v>0.02</v>
      </c>
      <c r="M20" s="29">
        <v>0.02</v>
      </c>
      <c r="N20" s="28"/>
      <c r="O20" s="28"/>
      <c r="P20" s="28"/>
      <c r="Q20" s="28"/>
      <c r="R20" s="28"/>
    </row>
    <row r="21" spans="2:18" s="2" customFormat="1" ht="13.8" x14ac:dyDescent="0.25">
      <c r="B21" s="4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8"/>
      <c r="O21" s="28"/>
      <c r="P21" s="28"/>
      <c r="Q21" s="28"/>
      <c r="R21" s="28"/>
    </row>
    <row r="22" spans="2:18" s="2" customFormat="1" ht="13.8" x14ac:dyDescent="0.25">
      <c r="B22" s="4" t="s">
        <v>24</v>
      </c>
      <c r="C22" s="29">
        <v>0.75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8"/>
      <c r="O22" s="28"/>
      <c r="P22" s="28"/>
      <c r="Q22" s="28"/>
      <c r="R22" s="28"/>
    </row>
    <row r="23" spans="2:18" s="2" customFormat="1" ht="13.8" x14ac:dyDescent="0.25">
      <c r="B23" s="4" t="s">
        <v>25</v>
      </c>
      <c r="C23" s="29">
        <v>0.05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8"/>
      <c r="O23" s="28"/>
      <c r="P23" s="28"/>
      <c r="Q23" s="28"/>
      <c r="R23" s="28"/>
    </row>
    <row r="24" spans="2:18" x14ac:dyDescent="0.2">
      <c r="B24" s="4" t="s">
        <v>26</v>
      </c>
      <c r="C24" s="30">
        <v>10</v>
      </c>
    </row>
    <row r="25" spans="2:18" x14ac:dyDescent="0.2">
      <c r="B25" s="4" t="s">
        <v>27</v>
      </c>
      <c r="C25" s="31" t="s">
        <v>28</v>
      </c>
    </row>
    <row r="26" spans="2:18" x14ac:dyDescent="0.2">
      <c r="B26" s="4" t="s">
        <v>29</v>
      </c>
      <c r="C26" s="27">
        <v>15</v>
      </c>
    </row>
    <row r="27" spans="2:18" x14ac:dyDescent="0.2">
      <c r="B27" s="4" t="s">
        <v>30</v>
      </c>
      <c r="C27" s="25">
        <v>0.3</v>
      </c>
    </row>
    <row r="30" spans="2:18" ht="12.6" thickBot="1" x14ac:dyDescent="0.3">
      <c r="B30" s="3" t="s">
        <v>31</v>
      </c>
      <c r="C30" s="3">
        <v>14</v>
      </c>
      <c r="D30" s="3">
        <v>13</v>
      </c>
      <c r="E30" s="3">
        <v>11</v>
      </c>
      <c r="F30" s="3">
        <v>10</v>
      </c>
      <c r="G30" s="3">
        <v>10</v>
      </c>
      <c r="H30" s="3">
        <v>10</v>
      </c>
      <c r="I30" s="3">
        <v>9</v>
      </c>
      <c r="J30" s="3">
        <v>9</v>
      </c>
      <c r="K30" s="3">
        <v>9</v>
      </c>
      <c r="L30" s="3">
        <v>9</v>
      </c>
    </row>
    <row r="31" spans="2:18" ht="14.4" x14ac:dyDescent="0.3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2:18" ht="12.6" thickBot="1" x14ac:dyDescent="0.3">
      <c r="B32" s="3" t="s">
        <v>32</v>
      </c>
      <c r="C32" s="3">
        <v>88</v>
      </c>
      <c r="D32" s="3">
        <v>85</v>
      </c>
      <c r="E32" s="3">
        <v>84</v>
      </c>
      <c r="F32" s="3">
        <v>84</v>
      </c>
      <c r="G32" s="3">
        <v>83</v>
      </c>
      <c r="H32" s="3">
        <v>82</v>
      </c>
      <c r="I32" s="3">
        <v>82</v>
      </c>
      <c r="J32" s="3">
        <v>81</v>
      </c>
      <c r="K32" s="3">
        <v>80</v>
      </c>
      <c r="L32" s="3">
        <v>79</v>
      </c>
    </row>
    <row r="33" spans="2:16" ht="14.4" x14ac:dyDescent="0.3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</row>
    <row r="34" spans="2:16" ht="12.6" thickBot="1" x14ac:dyDescent="0.3">
      <c r="B34" s="3" t="s">
        <v>33</v>
      </c>
      <c r="C34" s="3">
        <v>22</v>
      </c>
      <c r="D34" s="3">
        <v>23</v>
      </c>
      <c r="E34" s="3">
        <v>25</v>
      </c>
      <c r="F34" s="3">
        <v>26</v>
      </c>
      <c r="G34" s="3">
        <v>28</v>
      </c>
      <c r="H34" s="3">
        <v>30</v>
      </c>
      <c r="I34" s="3">
        <v>33</v>
      </c>
      <c r="J34" s="3">
        <v>37</v>
      </c>
      <c r="K34" s="3">
        <v>39</v>
      </c>
      <c r="L34" s="3">
        <v>42</v>
      </c>
    </row>
    <row r="40" spans="2:16" ht="36.6" thickBot="1" x14ac:dyDescent="0.3">
      <c r="B40" s="3" t="s">
        <v>34</v>
      </c>
      <c r="C40" s="33" t="s">
        <v>35</v>
      </c>
      <c r="D40" s="33" t="s">
        <v>36</v>
      </c>
      <c r="E40" s="33" t="s">
        <v>37</v>
      </c>
      <c r="F40" s="33" t="s">
        <v>38</v>
      </c>
      <c r="G40" s="33" t="s">
        <v>39</v>
      </c>
      <c r="H40" s="33" t="s">
        <v>40</v>
      </c>
      <c r="I40" s="33" t="s">
        <v>41</v>
      </c>
    </row>
    <row r="41" spans="2:16" x14ac:dyDescent="0.2">
      <c r="B41" s="4" t="s">
        <v>42</v>
      </c>
      <c r="C41" s="26">
        <v>155</v>
      </c>
      <c r="D41" s="25">
        <f>C41/$C$44</f>
        <v>0.27097902097902099</v>
      </c>
      <c r="E41" s="26">
        <v>130</v>
      </c>
      <c r="F41" s="4">
        <v>0.85</v>
      </c>
      <c r="G41" s="34">
        <v>0.3</v>
      </c>
      <c r="H41" s="35">
        <f>F41/(1+((1-G41)*E41/C41))</f>
        <v>0.53556910569105698</v>
      </c>
      <c r="I41" s="35">
        <f>D41*H41</f>
        <v>0.14512799192677245</v>
      </c>
    </row>
    <row r="42" spans="2:16" x14ac:dyDescent="0.2">
      <c r="B42" s="4" t="s">
        <v>43</v>
      </c>
      <c r="C42" s="26">
        <v>215</v>
      </c>
      <c r="D42" s="25">
        <f t="shared" ref="D42:D43" si="0">C42/$C$44</f>
        <v>0.37587412587412589</v>
      </c>
      <c r="E42" s="26">
        <v>120</v>
      </c>
      <c r="F42" s="4">
        <v>0.9</v>
      </c>
      <c r="G42" s="34">
        <v>0.3</v>
      </c>
      <c r="H42" s="35">
        <f>F42/(1+((1-G42)*E42/C42))</f>
        <v>0.64715719063545152</v>
      </c>
      <c r="I42" s="35">
        <f t="shared" ref="I42:I43" si="1">D42*H42</f>
        <v>0.24324964333325538</v>
      </c>
    </row>
    <row r="43" spans="2:16" x14ac:dyDescent="0.2">
      <c r="B43" s="4" t="s">
        <v>44</v>
      </c>
      <c r="C43" s="26">
        <v>202</v>
      </c>
      <c r="D43" s="25">
        <f t="shared" si="0"/>
        <v>0.35314685314685312</v>
      </c>
      <c r="E43" s="26">
        <v>220</v>
      </c>
      <c r="F43" s="4">
        <v>1.25</v>
      </c>
      <c r="G43" s="36">
        <v>0.3</v>
      </c>
      <c r="H43" s="37">
        <f>F43/(1+((1-G43)*E43/C43))</f>
        <v>0.7092696629213483</v>
      </c>
      <c r="I43" s="37">
        <f t="shared" si="1"/>
        <v>0.25047634949320341</v>
      </c>
    </row>
    <row r="44" spans="2:16" x14ac:dyDescent="0.2">
      <c r="B44" s="38" t="s">
        <v>45</v>
      </c>
      <c r="C44" s="39">
        <f>SUM(C41:C43)</f>
        <v>572</v>
      </c>
      <c r="D44" s="40">
        <f>SUM(D41:D43)</f>
        <v>1</v>
      </c>
      <c r="E44" s="38"/>
      <c r="F44" s="38"/>
      <c r="I44" s="41">
        <f>SUM(I41:I43)</f>
        <v>0.6388539847532313</v>
      </c>
    </row>
    <row r="46" spans="2:16" ht="12" thickBot="1" x14ac:dyDescent="0.2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ht="12.6" thickTop="1" x14ac:dyDescent="0.25">
      <c r="B47" s="111" t="s">
        <v>104</v>
      </c>
    </row>
    <row r="49" spans="2:13" ht="12.6" thickBot="1" x14ac:dyDescent="0.3">
      <c r="B49" s="3" t="s">
        <v>1</v>
      </c>
      <c r="C49" s="3">
        <v>0</v>
      </c>
      <c r="D49" s="3">
        <v>1</v>
      </c>
      <c r="E49" s="3">
        <v>2</v>
      </c>
      <c r="F49" s="3">
        <v>3</v>
      </c>
      <c r="G49" s="3">
        <v>4</v>
      </c>
      <c r="H49" s="3">
        <v>5</v>
      </c>
      <c r="I49" s="3">
        <v>6</v>
      </c>
      <c r="J49" s="3">
        <v>7</v>
      </c>
      <c r="K49" s="3">
        <v>8</v>
      </c>
      <c r="L49" s="3">
        <v>9</v>
      </c>
      <c r="M49" s="3">
        <v>10</v>
      </c>
    </row>
    <row r="50" spans="2:13" ht="12" x14ac:dyDescent="0.25">
      <c r="B50" s="4" t="s">
        <v>2</v>
      </c>
      <c r="C50" s="5"/>
      <c r="D50" s="6">
        <f>'Operating Cash Flow'!D4</f>
        <v>69</v>
      </c>
      <c r="E50" s="6">
        <f>'Operating Cash Flow'!E4</f>
        <v>75.900000000000006</v>
      </c>
      <c r="F50" s="6">
        <f>'Operating Cash Flow'!F4</f>
        <v>83.490000000000009</v>
      </c>
      <c r="G50" s="6">
        <f>'Operating Cash Flow'!G4</f>
        <v>91.839000000000013</v>
      </c>
      <c r="H50" s="6">
        <f>'Operating Cash Flow'!H4</f>
        <v>101.02290000000002</v>
      </c>
      <c r="I50" s="6">
        <f>'Operating Cash Flow'!I4</f>
        <v>103.04335800000003</v>
      </c>
      <c r="J50" s="6">
        <f>'Operating Cash Flow'!J4</f>
        <v>105.10422516000003</v>
      </c>
      <c r="K50" s="6">
        <f>'Operating Cash Flow'!K4</f>
        <v>107.20630966320003</v>
      </c>
      <c r="L50" s="6">
        <f>'Operating Cash Flow'!L4</f>
        <v>109.35043585646403</v>
      </c>
      <c r="M50" s="6">
        <f>'Operating Cash Flow'!M4</f>
        <v>111.53744457359332</v>
      </c>
    </row>
    <row r="51" spans="2:13" ht="12" x14ac:dyDescent="0.25">
      <c r="B51" s="4" t="s">
        <v>3</v>
      </c>
      <c r="C51" s="5"/>
      <c r="D51" s="7">
        <f>'Operating Cash Flow'!D5</f>
        <v>-51.75</v>
      </c>
      <c r="E51" s="7">
        <f>'Operating Cash Flow'!E5</f>
        <v>-56.925000000000004</v>
      </c>
      <c r="F51" s="7">
        <f>'Operating Cash Flow'!F5</f>
        <v>-62.617500000000007</v>
      </c>
      <c r="G51" s="7">
        <f>'Operating Cash Flow'!G5</f>
        <v>-68.879250000000013</v>
      </c>
      <c r="H51" s="7">
        <f>'Operating Cash Flow'!H5</f>
        <v>-75.767175000000009</v>
      </c>
      <c r="I51" s="7">
        <f>'Operating Cash Flow'!I5</f>
        <v>-77.282518500000023</v>
      </c>
      <c r="J51" s="7">
        <f>'Operating Cash Flow'!J5</f>
        <v>-78.828168870000013</v>
      </c>
      <c r="K51" s="7">
        <f>'Operating Cash Flow'!K5</f>
        <v>-80.40473224740002</v>
      </c>
      <c r="L51" s="7">
        <f>'Operating Cash Flow'!L5</f>
        <v>-82.012826892348016</v>
      </c>
      <c r="M51" s="7">
        <f>'Operating Cash Flow'!M5</f>
        <v>-83.653083430194982</v>
      </c>
    </row>
    <row r="52" spans="2:13" x14ac:dyDescent="0.2">
      <c r="B52" s="8" t="s">
        <v>4</v>
      </c>
      <c r="C52" s="9">
        <v>0</v>
      </c>
      <c r="D52" s="10">
        <f>'Operating Cash Flow'!D6</f>
        <v>-3.45</v>
      </c>
      <c r="E52" s="10">
        <f>'Operating Cash Flow'!E6</f>
        <v>-3.7950000000000004</v>
      </c>
      <c r="F52" s="10">
        <f>'Operating Cash Flow'!F6</f>
        <v>-4.174500000000001</v>
      </c>
      <c r="G52" s="10">
        <f>'Operating Cash Flow'!G6</f>
        <v>-4.5919500000000006</v>
      </c>
      <c r="H52" s="10">
        <f>'Operating Cash Flow'!H6</f>
        <v>-5.0511450000000018</v>
      </c>
      <c r="I52" s="10">
        <f>'Operating Cash Flow'!I6</f>
        <v>-5.152167900000002</v>
      </c>
      <c r="J52" s="10">
        <f>'Operating Cash Flow'!J6</f>
        <v>-5.2552112580000019</v>
      </c>
      <c r="K52" s="10">
        <f>'Operating Cash Flow'!K6</f>
        <v>-5.3603154831600017</v>
      </c>
      <c r="L52" s="10">
        <f>'Operating Cash Flow'!L6</f>
        <v>-5.4675217928232023</v>
      </c>
      <c r="M52" s="10">
        <f>'Operating Cash Flow'!M6</f>
        <v>-5.5768722286796661</v>
      </c>
    </row>
    <row r="53" spans="2:13" ht="12" x14ac:dyDescent="0.25">
      <c r="B53" s="11" t="s">
        <v>5</v>
      </c>
      <c r="C53" s="12"/>
      <c r="D53" s="6">
        <f>SUM(D50:D52)</f>
        <v>13.8</v>
      </c>
      <c r="E53" s="6">
        <f t="shared" ref="E53:M53" si="2">SUM(E50:E52)</f>
        <v>15.180000000000001</v>
      </c>
      <c r="F53" s="6">
        <f t="shared" si="2"/>
        <v>16.698</v>
      </c>
      <c r="G53" s="6">
        <f t="shared" si="2"/>
        <v>18.367799999999999</v>
      </c>
      <c r="H53" s="6">
        <f t="shared" si="2"/>
        <v>20.204580000000011</v>
      </c>
      <c r="I53" s="6">
        <f t="shared" si="2"/>
        <v>20.608671600000001</v>
      </c>
      <c r="J53" s="6">
        <f t="shared" si="2"/>
        <v>21.020845032000011</v>
      </c>
      <c r="K53" s="6">
        <f t="shared" si="2"/>
        <v>21.44126193264001</v>
      </c>
      <c r="L53" s="6">
        <f t="shared" si="2"/>
        <v>21.870087171292813</v>
      </c>
      <c r="M53" s="6">
        <f t="shared" si="2"/>
        <v>22.307488914718672</v>
      </c>
    </row>
    <row r="54" spans="2:13" x14ac:dyDescent="0.2">
      <c r="B54" s="4" t="s">
        <v>6</v>
      </c>
      <c r="C54" s="12">
        <v>0</v>
      </c>
      <c r="D54" s="7">
        <f>'Operating Cash Flow'!D8</f>
        <v>-0.7200000000000002</v>
      </c>
      <c r="E54" s="7">
        <f>'Operating Cash Flow'!E8</f>
        <v>-0.89680596475571528</v>
      </c>
      <c r="F54" s="7">
        <f>'Operating Cash Flow'!F8</f>
        <v>-1.3568961084541016</v>
      </c>
      <c r="G54" s="7">
        <f>'Operating Cash Flow'!G8</f>
        <v>-1.8644669564634391</v>
      </c>
      <c r="H54" s="7">
        <f>'Operating Cash Flow'!H8</f>
        <v>-2.424130729913061</v>
      </c>
      <c r="I54" s="7">
        <f>'Operating Cash Flow'!I8</f>
        <v>-2.5560468765661652</v>
      </c>
      <c r="J54" s="7">
        <f>'Operating Cash Flow'!J8</f>
        <v>-2.6925082328188679</v>
      </c>
      <c r="K54" s="7">
        <f>'Operating Cash Flow'!K8</f>
        <v>-2.8336269094631485</v>
      </c>
      <c r="L54" s="7">
        <f>'Operating Cash Flow'!L8</f>
        <v>-2.9795178957048392</v>
      </c>
      <c r="M54" s="7">
        <f>'Operating Cash Flow'!M8</f>
        <v>-3.1302991358178218</v>
      </c>
    </row>
    <row r="55" spans="2:13" x14ac:dyDescent="0.2">
      <c r="B55" s="4" t="s">
        <v>7</v>
      </c>
      <c r="C55" s="12">
        <f>'Operating Cash Flow'!C10</f>
        <v>-90</v>
      </c>
      <c r="D55" s="7">
        <f>'Operating Cash Flow'!D10</f>
        <v>-10</v>
      </c>
      <c r="E55" s="7">
        <f>'Operating Cash Flow'!E10</f>
        <v>-2</v>
      </c>
      <c r="F55" s="7">
        <f>'Operating Cash Flow'!F10</f>
        <v>-2</v>
      </c>
      <c r="G55" s="7">
        <f>'Operating Cash Flow'!G10</f>
        <v>-2</v>
      </c>
      <c r="H55" s="7">
        <f>'Operating Cash Flow'!H10</f>
        <v>-2</v>
      </c>
      <c r="I55" s="7">
        <f>'Operating Cash Flow'!I10</f>
        <v>-2</v>
      </c>
      <c r="J55" s="7">
        <f>'Operating Cash Flow'!J10</f>
        <v>-2</v>
      </c>
      <c r="K55" s="7">
        <f>'Operating Cash Flow'!K10</f>
        <v>-2</v>
      </c>
      <c r="L55" s="7">
        <f>'Operating Cash Flow'!L10</f>
        <v>-2</v>
      </c>
      <c r="M55" s="7">
        <f>'Operating Cash Flow'!M10</f>
        <v>-2</v>
      </c>
    </row>
    <row r="56" spans="2:13" x14ac:dyDescent="0.2">
      <c r="B56" s="4" t="s">
        <v>8</v>
      </c>
      <c r="C56" s="12">
        <v>0</v>
      </c>
      <c r="D56" s="7">
        <f>'Operating Cash Flow'!D9</f>
        <v>-15.123287671232877</v>
      </c>
      <c r="E56" s="7">
        <f>'Operating Cash Flow'!E9</f>
        <v>-0.47260273972602818</v>
      </c>
      <c r="F56" s="7">
        <f>'Operating Cash Flow'!F9</f>
        <v>-0.41589041095890522</v>
      </c>
      <c r="G56" s="7">
        <f>'Operating Cash Flow'!G9</f>
        <v>-1.0979506849315079</v>
      </c>
      <c r="H56" s="7">
        <f>'Operating Cash Flow'!H9</f>
        <v>-0.88064794520547807</v>
      </c>
      <c r="I56" s="7">
        <f>'Operating Cash Flow'!I9</f>
        <v>0.48712412054794285</v>
      </c>
      <c r="J56" s="7">
        <f>'Operating Cash Flow'!J9</f>
        <v>0.80176201841095818</v>
      </c>
      <c r="K56" s="7">
        <f>'Operating Cash Flow'!K9</f>
        <v>1.1345497181654807</v>
      </c>
      <c r="L56" s="7">
        <f>'Operating Cash Flow'!L9</f>
        <v>0.58743183377095853</v>
      </c>
      <c r="M56" s="10">
        <f>'Operating Cash Flow'!M9</f>
        <v>0.92273792448741965</v>
      </c>
    </row>
    <row r="57" spans="2:13" ht="12" x14ac:dyDescent="0.25">
      <c r="B57" s="13" t="s">
        <v>9</v>
      </c>
      <c r="C57" s="14">
        <f>C55</f>
        <v>-90</v>
      </c>
      <c r="D57" s="15">
        <f>SUM(D53:D56)</f>
        <v>-12.043287671232877</v>
      </c>
      <c r="E57" s="15">
        <f t="shared" ref="E57:M57" si="3">SUM(E53:E56)</f>
        <v>11.810591295518257</v>
      </c>
      <c r="F57" s="15">
        <f t="shared" si="3"/>
        <v>12.925213480586994</v>
      </c>
      <c r="G57" s="15">
        <f t="shared" si="3"/>
        <v>13.405382358605053</v>
      </c>
      <c r="H57" s="15">
        <f t="shared" si="3"/>
        <v>14.899801324881473</v>
      </c>
      <c r="I57" s="15">
        <f t="shared" si="3"/>
        <v>16.53974884398178</v>
      </c>
      <c r="J57" s="15">
        <f t="shared" si="3"/>
        <v>17.130098817592103</v>
      </c>
      <c r="K57" s="15">
        <f t="shared" si="3"/>
        <v>17.742184741342342</v>
      </c>
      <c r="L57" s="15">
        <f t="shared" si="3"/>
        <v>17.478001109358935</v>
      </c>
      <c r="M57" s="15">
        <f t="shared" si="3"/>
        <v>18.099927703388268</v>
      </c>
    </row>
    <row r="58" spans="2:13" ht="12" x14ac:dyDescent="0.25">
      <c r="B58" s="16" t="s">
        <v>10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>
        <f>C26</f>
        <v>15</v>
      </c>
    </row>
    <row r="59" spans="2:13" ht="12" x14ac:dyDescent="0.25">
      <c r="B59" s="18" t="s">
        <v>11</v>
      </c>
      <c r="C59" s="15">
        <f>SUM(C57:C58)</f>
        <v>-90</v>
      </c>
      <c r="D59" s="15">
        <f t="shared" ref="D59:M59" si="4">SUM(D57:D58)</f>
        <v>-12.043287671232877</v>
      </c>
      <c r="E59" s="15">
        <f t="shared" si="4"/>
        <v>11.810591295518257</v>
      </c>
      <c r="F59" s="19">
        <f t="shared" si="4"/>
        <v>12.925213480586994</v>
      </c>
      <c r="G59" s="19">
        <f t="shared" si="4"/>
        <v>13.405382358605053</v>
      </c>
      <c r="H59" s="19">
        <f t="shared" si="4"/>
        <v>14.899801324881473</v>
      </c>
      <c r="I59" s="19">
        <f t="shared" si="4"/>
        <v>16.53974884398178</v>
      </c>
      <c r="J59" s="19">
        <f t="shared" si="4"/>
        <v>17.130098817592103</v>
      </c>
      <c r="K59" s="19">
        <f t="shared" si="4"/>
        <v>17.742184741342342</v>
      </c>
      <c r="L59" s="19">
        <f t="shared" si="4"/>
        <v>17.478001109358935</v>
      </c>
      <c r="M59" s="19">
        <f t="shared" si="4"/>
        <v>33.099927703388268</v>
      </c>
    </row>
    <row r="61" spans="2:13" ht="13.8" x14ac:dyDescent="0.25">
      <c r="B61" s="2"/>
      <c r="C61" s="2"/>
      <c r="D61" s="2"/>
      <c r="F61" s="12"/>
      <c r="G61" s="12"/>
      <c r="H61" s="12"/>
    </row>
    <row r="62" spans="2:13" ht="12" x14ac:dyDescent="0.25">
      <c r="B62" s="43" t="s">
        <v>46</v>
      </c>
      <c r="C62" s="44">
        <f>RATE(C67*C65,C68,-C64,C63)*2</f>
        <v>4.2475586769676166E-2</v>
      </c>
      <c r="E62" s="45" t="str">
        <f ca="1">_xlfn.FORMULATEXT(C62)</f>
        <v>=RATE(C67*C65,C68,-C64,C63)*2</v>
      </c>
    </row>
    <row r="63" spans="2:13" x14ac:dyDescent="0.2">
      <c r="B63" s="46" t="s">
        <v>47</v>
      </c>
      <c r="C63" s="47">
        <v>1000</v>
      </c>
    </row>
    <row r="64" spans="2:13" x14ac:dyDescent="0.2">
      <c r="B64" s="46" t="s">
        <v>48</v>
      </c>
      <c r="C64" s="47">
        <v>980</v>
      </c>
    </row>
    <row r="65" spans="2:12" x14ac:dyDescent="0.2">
      <c r="B65" s="46" t="s">
        <v>49</v>
      </c>
      <c r="C65" s="46">
        <v>2</v>
      </c>
    </row>
    <row r="66" spans="2:12" x14ac:dyDescent="0.2">
      <c r="B66" s="46" t="s">
        <v>50</v>
      </c>
      <c r="C66" s="23">
        <v>0.04</v>
      </c>
    </row>
    <row r="67" spans="2:12" x14ac:dyDescent="0.2">
      <c r="B67" s="46" t="s">
        <v>51</v>
      </c>
      <c r="C67" s="46">
        <v>10</v>
      </c>
    </row>
    <row r="68" spans="2:12" x14ac:dyDescent="0.2">
      <c r="B68" s="48" t="s">
        <v>52</v>
      </c>
      <c r="C68" s="26">
        <f>(C66*C63)/C65</f>
        <v>20</v>
      </c>
    </row>
    <row r="70" spans="2:12" ht="12" x14ac:dyDescent="0.25">
      <c r="B70" s="43" t="s">
        <v>16</v>
      </c>
      <c r="C70" s="44">
        <f>C9+C71*C10</f>
        <v>0.16138225710311396</v>
      </c>
    </row>
    <row r="71" spans="2:12" x14ac:dyDescent="0.2">
      <c r="B71" s="4" t="s">
        <v>53</v>
      </c>
      <c r="C71" s="41">
        <f>I44*(1+((1-C27)*C14/C15))</f>
        <v>2.4276451420622789</v>
      </c>
    </row>
    <row r="72" spans="2:12" ht="13.8" x14ac:dyDescent="0.25">
      <c r="B72" s="2"/>
      <c r="F72" s="12"/>
      <c r="J72" s="2"/>
      <c r="K72" s="2"/>
    </row>
    <row r="73" spans="2:12" ht="13.8" x14ac:dyDescent="0.25">
      <c r="B73" s="43" t="s">
        <v>54</v>
      </c>
      <c r="C73" s="44">
        <f>((C14/(C14+C15))*C62*(1-C27))+((C15/(C14+C15))*C70)</f>
        <v>5.6062780011641444E-2</v>
      </c>
      <c r="F73" s="2"/>
      <c r="J73" s="2"/>
      <c r="K73" s="2"/>
    </row>
    <row r="74" spans="2:12" x14ac:dyDescent="0.2">
      <c r="L74" s="25"/>
    </row>
    <row r="75" spans="2:12" ht="12" x14ac:dyDescent="0.25">
      <c r="B75" s="43" t="s">
        <v>55</v>
      </c>
      <c r="C75" s="49">
        <f>NPV(C73,D59:M59)+C59</f>
        <v>7.2461605044670705</v>
      </c>
      <c r="L75" s="25"/>
    </row>
    <row r="77" spans="2:12" ht="12" x14ac:dyDescent="0.25">
      <c r="B77" s="43" t="s">
        <v>56</v>
      </c>
      <c r="C77" s="44">
        <f>IRR(C59:M59)</f>
        <v>6.7936912996352961E-2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5071-A34B-4B99-B204-F7DB90E8930F}">
  <dimension ref="B1:L11"/>
  <sheetViews>
    <sheetView zoomScaleNormal="100" workbookViewId="0"/>
  </sheetViews>
  <sheetFormatPr defaultColWidth="9.109375" defaultRowHeight="11.4" x14ac:dyDescent="0.2"/>
  <cols>
    <col min="1" max="1" width="2" style="4" customWidth="1"/>
    <col min="2" max="2" width="30.33203125" style="4" bestFit="1" customWidth="1"/>
    <col min="3" max="3" width="18.5546875" style="4" bestFit="1" customWidth="1"/>
    <col min="4" max="12" width="14.109375" style="4" bestFit="1" customWidth="1"/>
    <col min="13" max="16384" width="9.109375" style="4"/>
  </cols>
  <sheetData>
    <row r="1" spans="2:12" ht="15.6" x14ac:dyDescent="0.3">
      <c r="B1" s="1" t="s">
        <v>12</v>
      </c>
    </row>
    <row r="2" spans="2:12" ht="15.6" x14ac:dyDescent="0.3">
      <c r="B2" s="1"/>
    </row>
    <row r="3" spans="2:12" ht="12.6" thickBot="1" x14ac:dyDescent="0.3">
      <c r="B3" s="50"/>
      <c r="C3" s="5"/>
    </row>
    <row r="4" spans="2:12" x14ac:dyDescent="0.2">
      <c r="B4" s="51" t="s">
        <v>57</v>
      </c>
      <c r="C4" s="52">
        <f>'Factory Project Drivers+Summary'!C4</f>
        <v>69</v>
      </c>
    </row>
    <row r="6" spans="2:12" ht="12.6" thickBot="1" x14ac:dyDescent="0.3">
      <c r="B6" s="5" t="s">
        <v>14</v>
      </c>
      <c r="C6" s="53">
        <v>1</v>
      </c>
      <c r="D6" s="53">
        <v>2</v>
      </c>
      <c r="E6" s="53">
        <v>3</v>
      </c>
      <c r="F6" s="53">
        <v>4</v>
      </c>
      <c r="G6" s="53">
        <v>5</v>
      </c>
      <c r="H6" s="53">
        <v>6</v>
      </c>
      <c r="I6" s="53">
        <v>7</v>
      </c>
      <c r="J6" s="53">
        <v>8</v>
      </c>
      <c r="K6" s="53">
        <v>9</v>
      </c>
      <c r="L6" s="53">
        <v>10</v>
      </c>
    </row>
    <row r="7" spans="2:12" x14ac:dyDescent="0.2">
      <c r="B7" s="51" t="s">
        <v>58</v>
      </c>
      <c r="C7" s="54" t="s">
        <v>15</v>
      </c>
      <c r="D7" s="55">
        <f>'Factory Project Drivers+Summary'!D6</f>
        <v>0.1</v>
      </c>
      <c r="E7" s="55">
        <f>'Factory Project Drivers+Summary'!E6</f>
        <v>0.1</v>
      </c>
      <c r="F7" s="55">
        <f>'Factory Project Drivers+Summary'!F6</f>
        <v>0.1</v>
      </c>
      <c r="G7" s="55">
        <f>'Factory Project Drivers+Summary'!G6</f>
        <v>0.1</v>
      </c>
      <c r="H7" s="55">
        <f>'Factory Project Drivers+Summary'!H6</f>
        <v>0.02</v>
      </c>
      <c r="I7" s="55">
        <f>'Factory Project Drivers+Summary'!I6</f>
        <v>0.02</v>
      </c>
      <c r="J7" s="55">
        <f>'Factory Project Drivers+Summary'!J6</f>
        <v>0.02</v>
      </c>
      <c r="K7" s="55">
        <f>'Factory Project Drivers+Summary'!K6</f>
        <v>0.02</v>
      </c>
      <c r="L7" s="55">
        <f>'Factory Project Drivers+Summary'!L6</f>
        <v>0.02</v>
      </c>
    </row>
    <row r="10" spans="2:12" ht="12.6" thickBot="1" x14ac:dyDescent="0.3">
      <c r="B10" s="5" t="s">
        <v>59</v>
      </c>
      <c r="C10" s="53">
        <v>1</v>
      </c>
      <c r="D10" s="53">
        <v>2</v>
      </c>
      <c r="E10" s="53">
        <v>3</v>
      </c>
      <c r="F10" s="53">
        <v>4</v>
      </c>
      <c r="G10" s="53">
        <v>5</v>
      </c>
      <c r="H10" s="53">
        <v>6</v>
      </c>
      <c r="I10" s="53">
        <v>7</v>
      </c>
      <c r="J10" s="53">
        <v>8</v>
      </c>
      <c r="K10" s="53">
        <v>9</v>
      </c>
      <c r="L10" s="53">
        <v>10</v>
      </c>
    </row>
    <row r="11" spans="2:12" x14ac:dyDescent="0.2">
      <c r="B11" s="51"/>
      <c r="C11" s="52">
        <f>'Factory Project Drivers+Summary'!C4</f>
        <v>69</v>
      </c>
      <c r="D11" s="52">
        <f t="shared" ref="D11:L11" si="0">C11*(1+D7)</f>
        <v>75.900000000000006</v>
      </c>
      <c r="E11" s="52">
        <f t="shared" si="0"/>
        <v>83.490000000000009</v>
      </c>
      <c r="F11" s="52">
        <f t="shared" si="0"/>
        <v>91.839000000000013</v>
      </c>
      <c r="G11" s="52">
        <f t="shared" si="0"/>
        <v>101.02290000000002</v>
      </c>
      <c r="H11" s="52">
        <f t="shared" si="0"/>
        <v>103.04335800000003</v>
      </c>
      <c r="I11" s="52">
        <f t="shared" si="0"/>
        <v>105.10422516000003</v>
      </c>
      <c r="J11" s="52">
        <f t="shared" si="0"/>
        <v>107.20630966320003</v>
      </c>
      <c r="K11" s="52">
        <f t="shared" si="0"/>
        <v>109.35043585646403</v>
      </c>
      <c r="L11" s="52">
        <f t="shared" si="0"/>
        <v>111.53744457359332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31BB-43B8-4A50-8DCB-D0B863058DA9}">
  <dimension ref="B1:M36"/>
  <sheetViews>
    <sheetView tabSelected="1" zoomScale="120" zoomScaleNormal="120" workbookViewId="0">
      <selection activeCell="D18" sqref="D18"/>
    </sheetView>
  </sheetViews>
  <sheetFormatPr defaultColWidth="9.109375" defaultRowHeight="13.8" x14ac:dyDescent="0.25"/>
  <cols>
    <col min="1" max="1" width="2" style="56" customWidth="1"/>
    <col min="2" max="2" width="32.88671875" style="56" customWidth="1"/>
    <col min="3" max="12" width="13.5546875" style="56" bestFit="1" customWidth="1"/>
    <col min="13" max="13" width="13.5546875" style="56" customWidth="1"/>
    <col min="14" max="16384" width="9.109375" style="56"/>
  </cols>
  <sheetData>
    <row r="1" spans="2:13" ht="15.6" x14ac:dyDescent="0.3">
      <c r="B1" s="1" t="s">
        <v>60</v>
      </c>
    </row>
    <row r="3" spans="2:13" ht="14.4" thickBot="1" x14ac:dyDescent="0.3">
      <c r="B3" s="57"/>
      <c r="C3" s="58"/>
    </row>
    <row r="4" spans="2:13" x14ac:dyDescent="0.25">
      <c r="B4" s="51" t="s">
        <v>61</v>
      </c>
      <c r="C4" s="59">
        <f>'Factory Project Drivers+Summary'!C13</f>
        <v>100</v>
      </c>
    </row>
    <row r="5" spans="2:13" x14ac:dyDescent="0.25">
      <c r="B5" s="60"/>
      <c r="C5" s="61"/>
    </row>
    <row r="6" spans="2:13" x14ac:dyDescent="0.25">
      <c r="B6" s="60" t="s">
        <v>105</v>
      </c>
      <c r="C6" s="62">
        <f>'Factory Project Drivers+Summary'!C24</f>
        <v>10</v>
      </c>
    </row>
    <row r="7" spans="2:13" x14ac:dyDescent="0.25">
      <c r="B7" s="60"/>
      <c r="C7" s="60"/>
    </row>
    <row r="8" spans="2:13" ht="14.4" thickBot="1" x14ac:dyDescent="0.3">
      <c r="B8" s="58" t="s">
        <v>62</v>
      </c>
      <c r="C8" s="63">
        <v>0</v>
      </c>
      <c r="D8" s="63">
        <v>1</v>
      </c>
      <c r="E8" s="63">
        <v>2</v>
      </c>
      <c r="F8" s="63">
        <v>3</v>
      </c>
      <c r="G8" s="63">
        <v>4</v>
      </c>
      <c r="H8" s="63">
        <v>5</v>
      </c>
      <c r="I8" s="63">
        <v>6</v>
      </c>
      <c r="J8" s="63">
        <v>7</v>
      </c>
      <c r="K8" s="63">
        <v>8</v>
      </c>
      <c r="L8" s="63">
        <v>9</v>
      </c>
      <c r="M8" s="63">
        <v>10</v>
      </c>
    </row>
    <row r="9" spans="2:13" x14ac:dyDescent="0.25">
      <c r="B9" s="64"/>
      <c r="C9" s="65">
        <f>'Factory Project Drivers+Summary'!C20</f>
        <v>0.9</v>
      </c>
      <c r="D9" s="65">
        <f>'Factory Project Drivers+Summary'!D20</f>
        <v>0.1</v>
      </c>
      <c r="E9" s="65">
        <f>'Factory Project Drivers+Summary'!E20</f>
        <v>0.02</v>
      </c>
      <c r="F9" s="65">
        <f>'Factory Project Drivers+Summary'!F20</f>
        <v>0.02</v>
      </c>
      <c r="G9" s="65">
        <f>'Factory Project Drivers+Summary'!G20</f>
        <v>0.02</v>
      </c>
      <c r="H9" s="65">
        <f>'Factory Project Drivers+Summary'!H20</f>
        <v>0.02</v>
      </c>
      <c r="I9" s="65">
        <f>'Factory Project Drivers+Summary'!I20</f>
        <v>0.02</v>
      </c>
      <c r="J9" s="65">
        <f>'Factory Project Drivers+Summary'!J20</f>
        <v>0.02</v>
      </c>
      <c r="K9" s="65">
        <f>'Factory Project Drivers+Summary'!K20</f>
        <v>0.02</v>
      </c>
      <c r="L9" s="65">
        <f>'Factory Project Drivers+Summary'!L20</f>
        <v>0.02</v>
      </c>
      <c r="M9" s="65">
        <f>'Factory Project Drivers+Summary'!M20</f>
        <v>0.02</v>
      </c>
    </row>
    <row r="11" spans="2:13" ht="14.4" thickBot="1" x14ac:dyDescent="0.3">
      <c r="B11" s="58" t="s">
        <v>63</v>
      </c>
      <c r="C11" s="63">
        <v>1</v>
      </c>
      <c r="D11" s="63">
        <v>2</v>
      </c>
      <c r="E11" s="63">
        <v>3</v>
      </c>
      <c r="F11" s="63">
        <v>4</v>
      </c>
      <c r="G11" s="63">
        <v>5</v>
      </c>
      <c r="H11" s="63">
        <v>6</v>
      </c>
      <c r="I11" s="63">
        <v>7</v>
      </c>
      <c r="J11" s="63">
        <v>8</v>
      </c>
      <c r="K11" s="63">
        <v>9</v>
      </c>
      <c r="L11" s="63">
        <v>10</v>
      </c>
    </row>
    <row r="12" spans="2:13" x14ac:dyDescent="0.25">
      <c r="B12" s="64" t="s">
        <v>64</v>
      </c>
      <c r="C12" s="90">
        <f>C9*C4</f>
        <v>90</v>
      </c>
      <c r="D12" s="90">
        <f>C15</f>
        <v>91</v>
      </c>
      <c r="E12" s="90">
        <f t="shared" ref="E12:L12" si="0">D15</f>
        <v>83</v>
      </c>
      <c r="F12" s="90">
        <f t="shared" si="0"/>
        <v>74.8</v>
      </c>
      <c r="G12" s="90">
        <f t="shared" si="0"/>
        <v>66.400000000000006</v>
      </c>
      <c r="H12" s="90">
        <f t="shared" si="0"/>
        <v>57.800000000000011</v>
      </c>
      <c r="I12" s="90">
        <f t="shared" si="0"/>
        <v>49.000000000000014</v>
      </c>
      <c r="J12" s="90">
        <f t="shared" si="0"/>
        <v>40.000000000000014</v>
      </c>
      <c r="K12" s="90">
        <f t="shared" si="0"/>
        <v>30.800000000000018</v>
      </c>
      <c r="L12" s="90">
        <f t="shared" si="0"/>
        <v>21.400000000000023</v>
      </c>
    </row>
    <row r="13" spans="2:13" x14ac:dyDescent="0.25">
      <c r="B13" s="60" t="s">
        <v>65</v>
      </c>
      <c r="C13" s="106">
        <f>D9*$C$4</f>
        <v>10</v>
      </c>
      <c r="D13" s="106">
        <f t="shared" ref="D13:L13" si="1">E9*$C$4</f>
        <v>2</v>
      </c>
      <c r="E13" s="106">
        <f t="shared" si="1"/>
        <v>2</v>
      </c>
      <c r="F13" s="106">
        <f t="shared" si="1"/>
        <v>2</v>
      </c>
      <c r="G13" s="106">
        <f t="shared" si="1"/>
        <v>2</v>
      </c>
      <c r="H13" s="106">
        <f t="shared" si="1"/>
        <v>2</v>
      </c>
      <c r="I13" s="106">
        <f t="shared" si="1"/>
        <v>2</v>
      </c>
      <c r="J13" s="106">
        <f t="shared" si="1"/>
        <v>2</v>
      </c>
      <c r="K13" s="106">
        <f t="shared" si="1"/>
        <v>2</v>
      </c>
      <c r="L13" s="106">
        <f t="shared" si="1"/>
        <v>2</v>
      </c>
    </row>
    <row r="14" spans="2:13" x14ac:dyDescent="0.25">
      <c r="B14" s="67" t="s">
        <v>66</v>
      </c>
      <c r="C14" s="105">
        <f>C28</f>
        <v>-9</v>
      </c>
      <c r="D14" s="105">
        <f t="shared" ref="D14:L14" si="2">D28</f>
        <v>-10</v>
      </c>
      <c r="E14" s="105">
        <f t="shared" si="2"/>
        <v>-10.199999999999999</v>
      </c>
      <c r="F14" s="105">
        <f t="shared" si="2"/>
        <v>-10.399999999999999</v>
      </c>
      <c r="G14" s="105">
        <f t="shared" si="2"/>
        <v>-10.599999999999998</v>
      </c>
      <c r="H14" s="105">
        <f t="shared" si="2"/>
        <v>-10.799999999999997</v>
      </c>
      <c r="I14" s="105">
        <f t="shared" si="2"/>
        <v>-10.999999999999996</v>
      </c>
      <c r="J14" s="105">
        <f t="shared" si="2"/>
        <v>-11.199999999999996</v>
      </c>
      <c r="K14" s="105">
        <f t="shared" si="2"/>
        <v>-11.399999999999995</v>
      </c>
      <c r="L14" s="105">
        <f t="shared" si="2"/>
        <v>-11.599999999999994</v>
      </c>
    </row>
    <row r="15" spans="2:13" ht="14.4" thickBot="1" x14ac:dyDescent="0.3">
      <c r="B15" s="58" t="s">
        <v>67</v>
      </c>
      <c r="C15" s="68">
        <f>SUM(C12:C14)</f>
        <v>91</v>
      </c>
      <c r="D15" s="68">
        <f t="shared" ref="D15:L15" si="3">SUM(D12:D14)</f>
        <v>83</v>
      </c>
      <c r="E15" s="68">
        <f t="shared" si="3"/>
        <v>74.8</v>
      </c>
      <c r="F15" s="68">
        <f t="shared" si="3"/>
        <v>66.400000000000006</v>
      </c>
      <c r="G15" s="68">
        <f t="shared" si="3"/>
        <v>57.800000000000011</v>
      </c>
      <c r="H15" s="68">
        <f t="shared" si="3"/>
        <v>49.000000000000014</v>
      </c>
      <c r="I15" s="68">
        <f t="shared" si="3"/>
        <v>40.000000000000014</v>
      </c>
      <c r="J15" s="68">
        <f t="shared" si="3"/>
        <v>30.800000000000018</v>
      </c>
      <c r="K15" s="68">
        <f t="shared" si="3"/>
        <v>21.400000000000023</v>
      </c>
      <c r="L15" s="68">
        <f t="shared" si="3"/>
        <v>11.800000000000029</v>
      </c>
    </row>
    <row r="16" spans="2:13" x14ac:dyDescent="0.25"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2:12" ht="14.4" thickBot="1" x14ac:dyDescent="0.3">
      <c r="B17" s="58" t="s">
        <v>68</v>
      </c>
      <c r="C17" s="63">
        <v>1</v>
      </c>
      <c r="D17" s="63">
        <v>2</v>
      </c>
      <c r="E17" s="63">
        <v>3</v>
      </c>
      <c r="F17" s="63">
        <v>4</v>
      </c>
      <c r="G17" s="63">
        <v>5</v>
      </c>
      <c r="H17" s="63">
        <v>6</v>
      </c>
      <c r="I17" s="63">
        <v>7</v>
      </c>
      <c r="J17" s="63">
        <v>8</v>
      </c>
      <c r="K17" s="63">
        <v>9</v>
      </c>
      <c r="L17" s="63">
        <v>10</v>
      </c>
    </row>
    <row r="18" spans="2:12" x14ac:dyDescent="0.25">
      <c r="B18" s="64" t="s">
        <v>69</v>
      </c>
      <c r="C18" s="102">
        <f>-$C$12/$C$6</f>
        <v>-9</v>
      </c>
      <c r="D18" s="102">
        <f t="shared" ref="D18:L18" si="4">-$C$12/$C$6</f>
        <v>-9</v>
      </c>
      <c r="E18" s="102">
        <f t="shared" si="4"/>
        <v>-9</v>
      </c>
      <c r="F18" s="102">
        <f t="shared" si="4"/>
        <v>-9</v>
      </c>
      <c r="G18" s="102">
        <f t="shared" si="4"/>
        <v>-9</v>
      </c>
      <c r="H18" s="102">
        <f t="shared" si="4"/>
        <v>-9</v>
      </c>
      <c r="I18" s="102">
        <f t="shared" si="4"/>
        <v>-9</v>
      </c>
      <c r="J18" s="102">
        <f t="shared" si="4"/>
        <v>-9</v>
      </c>
      <c r="K18" s="102">
        <f t="shared" si="4"/>
        <v>-9</v>
      </c>
      <c r="L18" s="102">
        <f t="shared" si="4"/>
        <v>-9</v>
      </c>
    </row>
    <row r="19" spans="2:12" x14ac:dyDescent="0.25">
      <c r="B19" s="60" t="s">
        <v>70</v>
      </c>
      <c r="C19" s="103"/>
      <c r="D19" s="103">
        <f>-$C$13/$C$6</f>
        <v>-1</v>
      </c>
      <c r="E19" s="103">
        <f t="shared" ref="E19:L19" si="5">-$C$13/$C$6</f>
        <v>-1</v>
      </c>
      <c r="F19" s="103">
        <f t="shared" si="5"/>
        <v>-1</v>
      </c>
      <c r="G19" s="103">
        <f t="shared" si="5"/>
        <v>-1</v>
      </c>
      <c r="H19" s="103">
        <f t="shared" si="5"/>
        <v>-1</v>
      </c>
      <c r="I19" s="103">
        <f t="shared" si="5"/>
        <v>-1</v>
      </c>
      <c r="J19" s="103">
        <f t="shared" si="5"/>
        <v>-1</v>
      </c>
      <c r="K19" s="103">
        <f t="shared" si="5"/>
        <v>-1</v>
      </c>
      <c r="L19" s="103">
        <f t="shared" si="5"/>
        <v>-1</v>
      </c>
    </row>
    <row r="20" spans="2:12" x14ac:dyDescent="0.25">
      <c r="B20" s="60" t="s">
        <v>71</v>
      </c>
      <c r="C20" s="103"/>
      <c r="D20" s="103"/>
      <c r="E20" s="103">
        <f>-$D$13/$C$6</f>
        <v>-0.2</v>
      </c>
      <c r="F20" s="103">
        <f t="shared" ref="F20:L20" si="6">-$D$13/$C$6</f>
        <v>-0.2</v>
      </c>
      <c r="G20" s="103">
        <f t="shared" si="6"/>
        <v>-0.2</v>
      </c>
      <c r="H20" s="103">
        <f t="shared" si="6"/>
        <v>-0.2</v>
      </c>
      <c r="I20" s="103">
        <f t="shared" si="6"/>
        <v>-0.2</v>
      </c>
      <c r="J20" s="103">
        <f t="shared" si="6"/>
        <v>-0.2</v>
      </c>
      <c r="K20" s="103">
        <f t="shared" si="6"/>
        <v>-0.2</v>
      </c>
      <c r="L20" s="103">
        <f t="shared" si="6"/>
        <v>-0.2</v>
      </c>
    </row>
    <row r="21" spans="2:12" x14ac:dyDescent="0.25">
      <c r="B21" s="60" t="s">
        <v>72</v>
      </c>
      <c r="C21" s="103"/>
      <c r="D21" s="103"/>
      <c r="E21" s="103"/>
      <c r="F21" s="103">
        <f>-$E$13/$C$6</f>
        <v>-0.2</v>
      </c>
      <c r="G21" s="103">
        <f t="shared" ref="G21:L21" si="7">-$E$13/$C$6</f>
        <v>-0.2</v>
      </c>
      <c r="H21" s="103">
        <f t="shared" si="7"/>
        <v>-0.2</v>
      </c>
      <c r="I21" s="103">
        <f t="shared" si="7"/>
        <v>-0.2</v>
      </c>
      <c r="J21" s="103">
        <f t="shared" si="7"/>
        <v>-0.2</v>
      </c>
      <c r="K21" s="103">
        <f t="shared" si="7"/>
        <v>-0.2</v>
      </c>
      <c r="L21" s="103">
        <f t="shared" si="7"/>
        <v>-0.2</v>
      </c>
    </row>
    <row r="22" spans="2:12" x14ac:dyDescent="0.25">
      <c r="B22" s="60" t="s">
        <v>73</v>
      </c>
      <c r="C22" s="103"/>
      <c r="D22" s="103"/>
      <c r="E22" s="103"/>
      <c r="F22" s="103"/>
      <c r="G22" s="103">
        <f>-$F$13/$C$6</f>
        <v>-0.2</v>
      </c>
      <c r="H22" s="103">
        <f t="shared" ref="H22:L22" si="8">-$F$13/$C$6</f>
        <v>-0.2</v>
      </c>
      <c r="I22" s="103">
        <f t="shared" si="8"/>
        <v>-0.2</v>
      </c>
      <c r="J22" s="103">
        <f t="shared" si="8"/>
        <v>-0.2</v>
      </c>
      <c r="K22" s="103">
        <f t="shared" si="8"/>
        <v>-0.2</v>
      </c>
      <c r="L22" s="103">
        <f t="shared" si="8"/>
        <v>-0.2</v>
      </c>
    </row>
    <row r="23" spans="2:12" x14ac:dyDescent="0.25">
      <c r="B23" s="60" t="s">
        <v>74</v>
      </c>
      <c r="C23" s="104"/>
      <c r="D23" s="103"/>
      <c r="E23" s="103"/>
      <c r="F23" s="103"/>
      <c r="G23" s="103"/>
      <c r="H23" s="103">
        <f>-$G$13/$C$6</f>
        <v>-0.2</v>
      </c>
      <c r="I23" s="103">
        <f t="shared" ref="I23:L23" si="9">-$G$13/$C$6</f>
        <v>-0.2</v>
      </c>
      <c r="J23" s="103">
        <f t="shared" si="9"/>
        <v>-0.2</v>
      </c>
      <c r="K23" s="103">
        <f t="shared" si="9"/>
        <v>-0.2</v>
      </c>
      <c r="L23" s="103">
        <f t="shared" si="9"/>
        <v>-0.2</v>
      </c>
    </row>
    <row r="24" spans="2:12" x14ac:dyDescent="0.25">
      <c r="B24" s="60" t="s">
        <v>75</v>
      </c>
      <c r="C24" s="103"/>
      <c r="D24" s="103"/>
      <c r="E24" s="103"/>
      <c r="F24" s="103"/>
      <c r="G24" s="103"/>
      <c r="H24" s="103"/>
      <c r="I24" s="103">
        <f>-$H$13/$C$6</f>
        <v>-0.2</v>
      </c>
      <c r="J24" s="103">
        <f t="shared" ref="J24:L24" si="10">-$H$13/$C$6</f>
        <v>-0.2</v>
      </c>
      <c r="K24" s="103">
        <f t="shared" si="10"/>
        <v>-0.2</v>
      </c>
      <c r="L24" s="103">
        <f t="shared" si="10"/>
        <v>-0.2</v>
      </c>
    </row>
    <row r="25" spans="2:12" x14ac:dyDescent="0.25">
      <c r="B25" s="60" t="s">
        <v>76</v>
      </c>
      <c r="C25" s="103"/>
      <c r="D25" s="103"/>
      <c r="E25" s="103"/>
      <c r="F25" s="103"/>
      <c r="G25" s="103"/>
      <c r="H25" s="103"/>
      <c r="I25" s="103"/>
      <c r="J25" s="103">
        <f>-$I$13/$C$6</f>
        <v>-0.2</v>
      </c>
      <c r="K25" s="103">
        <f t="shared" ref="K25:L25" si="11">-$I$13/$C$6</f>
        <v>-0.2</v>
      </c>
      <c r="L25" s="103">
        <f t="shared" si="11"/>
        <v>-0.2</v>
      </c>
    </row>
    <row r="26" spans="2:12" x14ac:dyDescent="0.25">
      <c r="B26" s="60" t="s">
        <v>77</v>
      </c>
      <c r="C26" s="103"/>
      <c r="D26" s="103"/>
      <c r="E26" s="103"/>
      <c r="F26" s="103"/>
      <c r="G26" s="103"/>
      <c r="H26" s="103"/>
      <c r="I26" s="103"/>
      <c r="J26" s="103"/>
      <c r="K26" s="103">
        <f>-$J$13/$C$6</f>
        <v>-0.2</v>
      </c>
      <c r="L26" s="103">
        <f>-$J$13/$C$6</f>
        <v>-0.2</v>
      </c>
    </row>
    <row r="27" spans="2:12" x14ac:dyDescent="0.25">
      <c r="B27" s="67" t="s">
        <v>78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>
        <f>-$K$13/$C$6</f>
        <v>-0.2</v>
      </c>
    </row>
    <row r="28" spans="2:12" ht="14.4" thickBot="1" x14ac:dyDescent="0.3">
      <c r="B28" s="58" t="s">
        <v>66</v>
      </c>
      <c r="C28" s="107">
        <f>SUM(C18:C27)</f>
        <v>-9</v>
      </c>
      <c r="D28" s="107">
        <f t="shared" ref="D28:L28" si="12">SUM(D18:D27)</f>
        <v>-10</v>
      </c>
      <c r="E28" s="107">
        <f t="shared" si="12"/>
        <v>-10.199999999999999</v>
      </c>
      <c r="F28" s="107">
        <f t="shared" si="12"/>
        <v>-10.399999999999999</v>
      </c>
      <c r="G28" s="107">
        <f t="shared" si="12"/>
        <v>-10.599999999999998</v>
      </c>
      <c r="H28" s="107">
        <f t="shared" si="12"/>
        <v>-10.799999999999997</v>
      </c>
      <c r="I28" s="107">
        <f t="shared" si="12"/>
        <v>-10.999999999999996</v>
      </c>
      <c r="J28" s="107">
        <f t="shared" si="12"/>
        <v>-11.199999999999996</v>
      </c>
      <c r="K28" s="107">
        <f t="shared" si="12"/>
        <v>-11.399999999999995</v>
      </c>
      <c r="L28" s="107">
        <f t="shared" si="12"/>
        <v>-11.599999999999994</v>
      </c>
    </row>
    <row r="29" spans="2:12" x14ac:dyDescent="0.25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6" spans="6:6" x14ac:dyDescent="0.25">
      <c r="F36" s="56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5F40-DA30-4A54-9B9B-3601AAA41570}">
  <dimension ref="B1:L16"/>
  <sheetViews>
    <sheetView zoomScale="120" zoomScaleNormal="120" workbookViewId="0">
      <selection activeCell="D27" sqref="D27"/>
    </sheetView>
  </sheetViews>
  <sheetFormatPr defaultColWidth="9.109375" defaultRowHeight="13.8" x14ac:dyDescent="0.25"/>
  <cols>
    <col min="1" max="1" width="2" style="56" customWidth="1"/>
    <col min="2" max="2" width="28.5546875" style="56" customWidth="1"/>
    <col min="3" max="11" width="13.5546875" style="56" bestFit="1" customWidth="1"/>
    <col min="12" max="12" width="12.33203125" style="56" customWidth="1"/>
    <col min="13" max="16384" width="9.109375" style="56"/>
  </cols>
  <sheetData>
    <row r="1" spans="2:12" ht="15.6" x14ac:dyDescent="0.3">
      <c r="B1" s="1" t="s">
        <v>80</v>
      </c>
    </row>
    <row r="3" spans="2:12" x14ac:dyDescent="0.25">
      <c r="B3" s="58"/>
    </row>
    <row r="4" spans="2:12" ht="14.4" thickBot="1" x14ac:dyDescent="0.3">
      <c r="B4" s="3" t="s">
        <v>31</v>
      </c>
      <c r="C4" s="3">
        <f>'Factory Project Drivers+Summary'!C30</f>
        <v>14</v>
      </c>
      <c r="D4" s="3">
        <f>'Factory Project Drivers+Summary'!D30</f>
        <v>13</v>
      </c>
      <c r="E4" s="3">
        <f>'Factory Project Drivers+Summary'!E30</f>
        <v>11</v>
      </c>
      <c r="F4" s="3">
        <f>'Factory Project Drivers+Summary'!F30</f>
        <v>10</v>
      </c>
      <c r="G4" s="3">
        <f>'Factory Project Drivers+Summary'!G30</f>
        <v>10</v>
      </c>
      <c r="H4" s="3">
        <f>'Factory Project Drivers+Summary'!H30</f>
        <v>10</v>
      </c>
      <c r="I4" s="3">
        <f>'Factory Project Drivers+Summary'!I30</f>
        <v>9</v>
      </c>
      <c r="J4" s="3">
        <f>'Factory Project Drivers+Summary'!J30</f>
        <v>9</v>
      </c>
      <c r="K4" s="3">
        <f>'Factory Project Drivers+Summary'!K30</f>
        <v>9</v>
      </c>
      <c r="L4" s="3">
        <f>'Factory Project Drivers+Summary'!L30</f>
        <v>9</v>
      </c>
    </row>
    <row r="5" spans="2:12" x14ac:dyDescent="0.25"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2:12" ht="14.4" thickBot="1" x14ac:dyDescent="0.3">
      <c r="B6" s="3" t="s">
        <v>32</v>
      </c>
      <c r="C6" s="3">
        <f>'Factory Project Drivers+Summary'!C32</f>
        <v>88</v>
      </c>
      <c r="D6" s="3">
        <f>'Factory Project Drivers+Summary'!D32</f>
        <v>85</v>
      </c>
      <c r="E6" s="3">
        <f>'Factory Project Drivers+Summary'!E32</f>
        <v>84</v>
      </c>
      <c r="F6" s="3">
        <f>'Factory Project Drivers+Summary'!F32</f>
        <v>84</v>
      </c>
      <c r="G6" s="3">
        <f>'Factory Project Drivers+Summary'!G32</f>
        <v>83</v>
      </c>
      <c r="H6" s="3">
        <f>'Factory Project Drivers+Summary'!H32</f>
        <v>82</v>
      </c>
      <c r="I6" s="3">
        <f>'Factory Project Drivers+Summary'!I32</f>
        <v>82</v>
      </c>
      <c r="J6" s="3">
        <f>'Factory Project Drivers+Summary'!J32</f>
        <v>81</v>
      </c>
      <c r="K6" s="3">
        <f>'Factory Project Drivers+Summary'!K32</f>
        <v>80</v>
      </c>
      <c r="L6" s="3">
        <f>'Factory Project Drivers+Summary'!L32</f>
        <v>79</v>
      </c>
    </row>
    <row r="7" spans="2:12" x14ac:dyDescent="0.25"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2:12" ht="14.4" thickBot="1" x14ac:dyDescent="0.3">
      <c r="B8" s="3" t="s">
        <v>33</v>
      </c>
      <c r="C8" s="3">
        <f>'Factory Project Drivers+Summary'!C34</f>
        <v>22</v>
      </c>
      <c r="D8" s="3">
        <f>'Factory Project Drivers+Summary'!D34</f>
        <v>23</v>
      </c>
      <c r="E8" s="3">
        <f>'Factory Project Drivers+Summary'!E34</f>
        <v>25</v>
      </c>
      <c r="F8" s="3">
        <f>'Factory Project Drivers+Summary'!F34</f>
        <v>26</v>
      </c>
      <c r="G8" s="3">
        <f>'Factory Project Drivers+Summary'!G34</f>
        <v>28</v>
      </c>
      <c r="H8" s="3">
        <f>'Factory Project Drivers+Summary'!H34</f>
        <v>30</v>
      </c>
      <c r="I8" s="3">
        <f>'Factory Project Drivers+Summary'!I34</f>
        <v>33</v>
      </c>
      <c r="J8" s="3">
        <f>'Factory Project Drivers+Summary'!J34</f>
        <v>37</v>
      </c>
      <c r="K8" s="3">
        <f>'Factory Project Drivers+Summary'!K34</f>
        <v>39</v>
      </c>
      <c r="L8" s="3">
        <f>'Factory Project Drivers+Summary'!L34</f>
        <v>42</v>
      </c>
    </row>
    <row r="12" spans="2:12" ht="14.4" thickBot="1" x14ac:dyDescent="0.3">
      <c r="B12" s="3" t="s">
        <v>81</v>
      </c>
      <c r="C12" s="70">
        <v>1</v>
      </c>
      <c r="D12" s="70">
        <v>2</v>
      </c>
      <c r="E12" s="70">
        <v>3</v>
      </c>
      <c r="F12" s="70">
        <v>4</v>
      </c>
      <c r="G12" s="70">
        <v>5</v>
      </c>
      <c r="H12" s="70">
        <v>6</v>
      </c>
      <c r="I12" s="70">
        <v>7</v>
      </c>
      <c r="J12" s="70">
        <v>8</v>
      </c>
      <c r="K12" s="70">
        <v>9</v>
      </c>
      <c r="L12" s="70">
        <v>10</v>
      </c>
    </row>
    <row r="13" spans="2:12" x14ac:dyDescent="0.25">
      <c r="B13" s="60" t="s">
        <v>2</v>
      </c>
      <c r="C13" s="100">
        <f>'Sales Forecast'!C11</f>
        <v>69</v>
      </c>
      <c r="D13" s="100">
        <f>'Sales Forecast'!D11</f>
        <v>75.900000000000006</v>
      </c>
      <c r="E13" s="100">
        <f>'Sales Forecast'!E11</f>
        <v>83.490000000000009</v>
      </c>
      <c r="F13" s="100">
        <f>'Sales Forecast'!F11</f>
        <v>91.839000000000013</v>
      </c>
      <c r="G13" s="100">
        <f>'Sales Forecast'!G11</f>
        <v>101.02290000000002</v>
      </c>
      <c r="H13" s="100">
        <f>'Sales Forecast'!H11</f>
        <v>103.04335800000003</v>
      </c>
      <c r="I13" s="100">
        <f>'Sales Forecast'!I11</f>
        <v>105.10422516000003</v>
      </c>
      <c r="J13" s="100">
        <f>'Sales Forecast'!J11</f>
        <v>107.20630966320003</v>
      </c>
      <c r="K13" s="100">
        <f>'Sales Forecast'!K11</f>
        <v>109.35043585646403</v>
      </c>
      <c r="L13" s="100">
        <f>'Sales Forecast'!L11</f>
        <v>111.53744457359332</v>
      </c>
    </row>
    <row r="14" spans="2:12" x14ac:dyDescent="0.25">
      <c r="B14" s="60" t="s">
        <v>82</v>
      </c>
      <c r="C14" s="100">
        <f t="shared" ref="C14:L14" si="0">C4+C6-C8</f>
        <v>80</v>
      </c>
      <c r="D14" s="100">
        <f t="shared" si="0"/>
        <v>75</v>
      </c>
      <c r="E14" s="100">
        <f t="shared" si="0"/>
        <v>70</v>
      </c>
      <c r="F14" s="100">
        <f t="shared" si="0"/>
        <v>68</v>
      </c>
      <c r="G14" s="100">
        <f t="shared" si="0"/>
        <v>65</v>
      </c>
      <c r="H14" s="100">
        <f t="shared" si="0"/>
        <v>62</v>
      </c>
      <c r="I14" s="100">
        <f t="shared" si="0"/>
        <v>58</v>
      </c>
      <c r="J14" s="100">
        <f t="shared" si="0"/>
        <v>53</v>
      </c>
      <c r="K14" s="100">
        <f t="shared" si="0"/>
        <v>50</v>
      </c>
      <c r="L14" s="100">
        <f t="shared" si="0"/>
        <v>46</v>
      </c>
    </row>
    <row r="15" spans="2:12" x14ac:dyDescent="0.25">
      <c r="B15" s="60" t="s">
        <v>80</v>
      </c>
      <c r="C15" s="100">
        <f>-C14/365*C13</f>
        <v>-15.123287671232877</v>
      </c>
      <c r="D15" s="100">
        <f t="shared" ref="D15:L15" si="1">-D14/365*D13</f>
        <v>-15.595890410958905</v>
      </c>
      <c r="E15" s="100">
        <f t="shared" si="1"/>
        <v>-16.01178082191781</v>
      </c>
      <c r="F15" s="100">
        <f t="shared" si="1"/>
        <v>-17.109731506849318</v>
      </c>
      <c r="G15" s="100">
        <f t="shared" si="1"/>
        <v>-17.990379452054796</v>
      </c>
      <c r="H15" s="100">
        <f t="shared" si="1"/>
        <v>-17.503255331506853</v>
      </c>
      <c r="I15" s="100">
        <f t="shared" si="1"/>
        <v>-16.701493313095895</v>
      </c>
      <c r="J15" s="100">
        <f t="shared" si="1"/>
        <v>-15.566943594930414</v>
      </c>
      <c r="K15" s="100">
        <f t="shared" si="1"/>
        <v>-14.979511761159456</v>
      </c>
      <c r="L15" s="100">
        <f t="shared" si="1"/>
        <v>-14.056773836672036</v>
      </c>
    </row>
    <row r="16" spans="2:12" ht="14.4" thickBot="1" x14ac:dyDescent="0.3">
      <c r="B16" s="71" t="s">
        <v>8</v>
      </c>
      <c r="C16" s="101">
        <f>C15</f>
        <v>-15.123287671232877</v>
      </c>
      <c r="D16" s="101">
        <f>D15-C15</f>
        <v>-0.47260273972602818</v>
      </c>
      <c r="E16" s="101">
        <f>E15-D15</f>
        <v>-0.41589041095890522</v>
      </c>
      <c r="F16" s="101">
        <f t="shared" ref="F16:L16" si="2">F15-E15</f>
        <v>-1.0979506849315079</v>
      </c>
      <c r="G16" s="101">
        <f t="shared" si="2"/>
        <v>-0.88064794520547807</v>
      </c>
      <c r="H16" s="101">
        <f t="shared" si="2"/>
        <v>0.48712412054794285</v>
      </c>
      <c r="I16" s="101">
        <f t="shared" si="2"/>
        <v>0.80176201841095818</v>
      </c>
      <c r="J16" s="101">
        <f t="shared" si="2"/>
        <v>1.1345497181654807</v>
      </c>
      <c r="K16" s="101">
        <f t="shared" si="2"/>
        <v>0.58743183377095853</v>
      </c>
      <c r="L16" s="101">
        <f t="shared" si="2"/>
        <v>0.92273792448741965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C56B-334A-4C5F-9FB9-9533324DD80D}">
  <dimension ref="B1:N20"/>
  <sheetViews>
    <sheetView zoomScale="120" zoomScaleNormal="120" workbookViewId="0">
      <selection activeCell="D26" sqref="D26"/>
    </sheetView>
  </sheetViews>
  <sheetFormatPr defaultColWidth="9.109375" defaultRowHeight="13.8" x14ac:dyDescent="0.25"/>
  <cols>
    <col min="1" max="1" width="2" style="56" customWidth="1"/>
    <col min="2" max="2" width="31" style="56" bestFit="1" customWidth="1"/>
    <col min="3" max="3" width="12.5546875" style="56" bestFit="1" customWidth="1"/>
    <col min="4" max="4" width="13.88671875" style="56" bestFit="1" customWidth="1"/>
    <col min="5" max="13" width="12" style="56" bestFit="1" customWidth="1"/>
    <col min="14" max="16384" width="9.109375" style="56"/>
  </cols>
  <sheetData>
    <row r="1" spans="2:14" ht="15.6" x14ac:dyDescent="0.3">
      <c r="B1" s="1" t="s">
        <v>19</v>
      </c>
      <c r="C1" s="72"/>
    </row>
    <row r="3" spans="2:14" x14ac:dyDescent="0.25">
      <c r="B3" s="60" t="s">
        <v>83</v>
      </c>
      <c r="C3" s="73">
        <f>'Fixed Asset Roll-Forward'!$C$12</f>
        <v>90</v>
      </c>
      <c r="D3" s="74"/>
      <c r="E3" s="74"/>
      <c r="F3" s="74"/>
      <c r="G3" s="74"/>
      <c r="H3" s="74"/>
      <c r="I3" s="74"/>
      <c r="J3" s="74"/>
      <c r="K3" s="74"/>
      <c r="L3" s="74"/>
    </row>
    <row r="5" spans="2:14" ht="14.4" thickBot="1" x14ac:dyDescent="0.3">
      <c r="B5" s="58" t="s">
        <v>84</v>
      </c>
      <c r="C5" s="75"/>
    </row>
    <row r="6" spans="2:14" x14ac:dyDescent="0.25">
      <c r="B6" s="64" t="s">
        <v>85</v>
      </c>
      <c r="C6" s="66">
        <f>'Factory Project Drivers+Summary'!C14</f>
        <v>80</v>
      </c>
    </row>
    <row r="7" spans="2:14" x14ac:dyDescent="0.25">
      <c r="B7" s="60" t="s">
        <v>86</v>
      </c>
      <c r="C7" s="76">
        <f>'Factory Project Drivers+Summary'!C16</f>
        <v>0.03</v>
      </c>
    </row>
    <row r="8" spans="2:14" x14ac:dyDescent="0.25">
      <c r="B8" s="60" t="s">
        <v>87</v>
      </c>
      <c r="C8" s="77" t="s">
        <v>88</v>
      </c>
    </row>
    <row r="9" spans="2:14" x14ac:dyDescent="0.25">
      <c r="B9" s="60"/>
      <c r="C9" s="77"/>
    </row>
    <row r="10" spans="2:14" ht="14.4" thickBot="1" x14ac:dyDescent="0.3">
      <c r="B10" s="58" t="s">
        <v>89</v>
      </c>
      <c r="C10" s="63">
        <v>0</v>
      </c>
      <c r="D10" s="63">
        <v>1</v>
      </c>
      <c r="E10" s="63">
        <v>2</v>
      </c>
      <c r="F10" s="63">
        <v>3</v>
      </c>
      <c r="G10" s="63">
        <v>4</v>
      </c>
      <c r="H10" s="63">
        <v>5</v>
      </c>
      <c r="I10" s="63">
        <v>6</v>
      </c>
      <c r="J10" s="63">
        <v>7</v>
      </c>
      <c r="K10" s="63">
        <v>8</v>
      </c>
      <c r="L10" s="63">
        <v>9</v>
      </c>
      <c r="M10" s="63">
        <v>10</v>
      </c>
    </row>
    <row r="11" spans="2:14" x14ac:dyDescent="0.25">
      <c r="B11" s="66" t="s">
        <v>90</v>
      </c>
      <c r="C11" s="90">
        <f>C6</f>
        <v>80</v>
      </c>
      <c r="D11" s="90">
        <f t="shared" ref="D11:M11" si="0">C14</f>
        <v>80</v>
      </c>
      <c r="E11" s="90">
        <f t="shared" si="0"/>
        <v>73.021559471587238</v>
      </c>
      <c r="F11" s="90">
        <f t="shared" si="0"/>
        <v>65.833765727322088</v>
      </c>
      <c r="G11" s="90">
        <f t="shared" si="0"/>
        <v>58.430338170728987</v>
      </c>
      <c r="H11" s="90">
        <f t="shared" si="0"/>
        <v>50.804807787438087</v>
      </c>
      <c r="I11" s="90">
        <f t="shared" si="0"/>
        <v>42.950511492648459</v>
      </c>
      <c r="J11" s="90">
        <f t="shared" si="0"/>
        <v>34.860586309015147</v>
      </c>
      <c r="K11" s="90">
        <f t="shared" si="0"/>
        <v>26.527963369872836</v>
      </c>
      <c r="L11" s="90">
        <f t="shared" si="0"/>
        <v>17.945361742556251</v>
      </c>
      <c r="M11" s="90">
        <f t="shared" si="0"/>
        <v>9.1052820664201715</v>
      </c>
      <c r="N11" s="66"/>
    </row>
    <row r="12" spans="2:14" ht="14.4" thickBot="1" x14ac:dyDescent="0.3">
      <c r="B12" s="74" t="s">
        <v>91</v>
      </c>
      <c r="C12" s="92">
        <f>-$C$11*C13</f>
        <v>0</v>
      </c>
      <c r="D12" s="108">
        <f>PPMT($C$7,D10,10,$C$6,0)</f>
        <v>-6.9784405284127677</v>
      </c>
      <c r="E12" s="108">
        <f t="shared" ref="E12:M12" si="1">PPMT($C$7,E10,10,$C$6,0)</f>
        <v>-7.1877937442651501</v>
      </c>
      <c r="F12" s="108">
        <f t="shared" si="1"/>
        <v>-7.4034275565931047</v>
      </c>
      <c r="G12" s="108">
        <f t="shared" si="1"/>
        <v>-7.6255303832908981</v>
      </c>
      <c r="H12" s="108">
        <f t="shared" si="1"/>
        <v>-7.8542962947896244</v>
      </c>
      <c r="I12" s="108">
        <f t="shared" si="1"/>
        <v>-8.0899251836333139</v>
      </c>
      <c r="J12" s="108">
        <f t="shared" si="1"/>
        <v>-8.332622939142313</v>
      </c>
      <c r="K12" s="108">
        <f t="shared" si="1"/>
        <v>-8.582601627316583</v>
      </c>
      <c r="L12" s="108">
        <f t="shared" si="1"/>
        <v>-8.8400796761360798</v>
      </c>
      <c r="M12" s="108">
        <f t="shared" si="1"/>
        <v>-9.1052820664201626</v>
      </c>
    </row>
    <row r="13" spans="2:14" ht="14.4" thickBot="1" x14ac:dyDescent="0.3">
      <c r="B13" s="74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2:14" x14ac:dyDescent="0.25">
      <c r="B14" s="79" t="s">
        <v>92</v>
      </c>
      <c r="C14" s="99">
        <f t="shared" ref="C14:M14" si="2">SUM(C11:C12)</f>
        <v>80</v>
      </c>
      <c r="D14" s="99">
        <f t="shared" si="2"/>
        <v>73.021559471587238</v>
      </c>
      <c r="E14" s="99">
        <f t="shared" si="2"/>
        <v>65.833765727322088</v>
      </c>
      <c r="F14" s="99">
        <f t="shared" si="2"/>
        <v>58.430338170728987</v>
      </c>
      <c r="G14" s="99">
        <f t="shared" si="2"/>
        <v>50.804807787438087</v>
      </c>
      <c r="H14" s="99">
        <f t="shared" si="2"/>
        <v>42.950511492648459</v>
      </c>
      <c r="I14" s="99">
        <f t="shared" si="2"/>
        <v>34.860586309015147</v>
      </c>
      <c r="J14" s="99">
        <f t="shared" si="2"/>
        <v>26.527963369872836</v>
      </c>
      <c r="K14" s="99">
        <f t="shared" si="2"/>
        <v>17.945361742556251</v>
      </c>
      <c r="L14" s="99">
        <f t="shared" si="2"/>
        <v>9.1052820664201715</v>
      </c>
      <c r="M14" s="99">
        <f t="shared" si="2"/>
        <v>0</v>
      </c>
    </row>
    <row r="15" spans="2:14" x14ac:dyDescent="0.25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14" x14ac:dyDescent="0.25">
      <c r="B16" s="81" t="s">
        <v>93</v>
      </c>
      <c r="C16" s="98">
        <f t="shared" ref="C16:M16" si="3">IF(C10=0,0,-C11*$C$7)</f>
        <v>0</v>
      </c>
      <c r="D16" s="98">
        <f>IF(D10=0,0,-D11*$C$7)</f>
        <v>-2.4</v>
      </c>
      <c r="E16" s="98">
        <f t="shared" si="3"/>
        <v>-2.1906467841476172</v>
      </c>
      <c r="F16" s="98">
        <f t="shared" si="3"/>
        <v>-1.9750129718196625</v>
      </c>
      <c r="G16" s="98">
        <f t="shared" si="3"/>
        <v>-1.7529101451218696</v>
      </c>
      <c r="H16" s="98">
        <f t="shared" si="3"/>
        <v>-1.5241442336231426</v>
      </c>
      <c r="I16" s="98">
        <f t="shared" si="3"/>
        <v>-1.2885153447794537</v>
      </c>
      <c r="J16" s="98">
        <f t="shared" si="3"/>
        <v>-1.0458175892704544</v>
      </c>
      <c r="K16" s="98">
        <f t="shared" si="3"/>
        <v>-0.79583890109618505</v>
      </c>
      <c r="L16" s="98">
        <f t="shared" si="3"/>
        <v>-0.53836085227668751</v>
      </c>
      <c r="M16" s="98">
        <f t="shared" si="3"/>
        <v>-0.27315846199260513</v>
      </c>
    </row>
    <row r="18" spans="4:13" x14ac:dyDescent="0.25"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4:13" x14ac:dyDescent="0.25">
      <c r="D19" s="82"/>
    </row>
    <row r="20" spans="4:13" x14ac:dyDescent="0.25">
      <c r="D20" s="8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4C58-6E9D-4554-9A3F-3243773A4F4F}">
  <dimension ref="B1:M18"/>
  <sheetViews>
    <sheetView zoomScale="120" zoomScaleNormal="120" workbookViewId="0">
      <selection activeCell="C26" sqref="C26"/>
    </sheetView>
  </sheetViews>
  <sheetFormatPr defaultColWidth="9.109375" defaultRowHeight="13.8" x14ac:dyDescent="0.25"/>
  <cols>
    <col min="1" max="1" width="2" style="56" customWidth="1"/>
    <col min="2" max="2" width="38.44140625" style="56" customWidth="1"/>
    <col min="3" max="3" width="22.44140625" style="56" customWidth="1"/>
    <col min="4" max="6" width="11.5546875" style="56" bestFit="1" customWidth="1"/>
    <col min="7" max="12" width="12.33203125" style="56" bestFit="1" customWidth="1"/>
    <col min="13" max="16384" width="9.109375" style="56"/>
  </cols>
  <sheetData>
    <row r="1" spans="2:13" ht="15.6" x14ac:dyDescent="0.3">
      <c r="B1" s="83" t="s">
        <v>94</v>
      </c>
      <c r="C1" s="72"/>
    </row>
    <row r="2" spans="2:13" ht="15.6" x14ac:dyDescent="0.3">
      <c r="B2" s="72"/>
      <c r="C2" s="72"/>
    </row>
    <row r="3" spans="2:13" ht="14.4" thickBot="1" x14ac:dyDescent="0.3">
      <c r="B3" s="58" t="s">
        <v>95</v>
      </c>
      <c r="C3" s="58"/>
    </row>
    <row r="4" spans="2:13" x14ac:dyDescent="0.25">
      <c r="B4" s="64" t="s">
        <v>24</v>
      </c>
      <c r="C4" s="65">
        <f>'Factory Project Drivers+Summary'!C22</f>
        <v>0.75</v>
      </c>
    </row>
    <row r="5" spans="2:13" x14ac:dyDescent="0.25">
      <c r="B5" s="60" t="s">
        <v>96</v>
      </c>
      <c r="C5" s="84">
        <f>'Factory Project Drivers+Summary'!C23</f>
        <v>0.05</v>
      </c>
    </row>
    <row r="7" spans="2:13" ht="14.4" thickBot="1" x14ac:dyDescent="0.3">
      <c r="B7" s="58" t="s">
        <v>89</v>
      </c>
      <c r="C7" s="63">
        <v>1</v>
      </c>
      <c r="D7" s="63">
        <v>2</v>
      </c>
      <c r="E7" s="63">
        <v>3</v>
      </c>
      <c r="F7" s="63">
        <v>4</v>
      </c>
      <c r="G7" s="63">
        <v>5</v>
      </c>
      <c r="H7" s="63">
        <v>6</v>
      </c>
      <c r="I7" s="63">
        <v>7</v>
      </c>
      <c r="J7" s="63">
        <v>8</v>
      </c>
      <c r="K7" s="63">
        <v>9</v>
      </c>
      <c r="L7" s="63">
        <v>10</v>
      </c>
    </row>
    <row r="8" spans="2:13" x14ac:dyDescent="0.25">
      <c r="B8" s="64" t="s">
        <v>2</v>
      </c>
      <c r="C8" s="90">
        <f>'Sales Forecast'!C11</f>
        <v>69</v>
      </c>
      <c r="D8" s="90">
        <f>'Sales Forecast'!D11</f>
        <v>75.900000000000006</v>
      </c>
      <c r="E8" s="90">
        <f>'Sales Forecast'!E11</f>
        <v>83.490000000000009</v>
      </c>
      <c r="F8" s="90">
        <f>'Sales Forecast'!F11</f>
        <v>91.839000000000013</v>
      </c>
      <c r="G8" s="90">
        <f>'Sales Forecast'!G11</f>
        <v>101.02290000000002</v>
      </c>
      <c r="H8" s="90">
        <f>'Sales Forecast'!H11</f>
        <v>103.04335800000003</v>
      </c>
      <c r="I8" s="90">
        <f>'Sales Forecast'!I11</f>
        <v>105.10422516000003</v>
      </c>
      <c r="J8" s="90">
        <f>'Sales Forecast'!J11</f>
        <v>107.20630966320003</v>
      </c>
      <c r="K8" s="90">
        <f>'Sales Forecast'!K11</f>
        <v>109.35043585646403</v>
      </c>
      <c r="L8" s="90">
        <f>'Sales Forecast'!L11</f>
        <v>111.53744457359332</v>
      </c>
    </row>
    <row r="9" spans="2:13" x14ac:dyDescent="0.25">
      <c r="B9" s="60" t="s">
        <v>3</v>
      </c>
      <c r="C9" s="92">
        <f>-C8*$C$4</f>
        <v>-51.75</v>
      </c>
      <c r="D9" s="92">
        <f t="shared" ref="D9:L9" si="0">-D8*$C$4</f>
        <v>-56.925000000000004</v>
      </c>
      <c r="E9" s="92">
        <f t="shared" si="0"/>
        <v>-62.617500000000007</v>
      </c>
      <c r="F9" s="92">
        <f t="shared" si="0"/>
        <v>-68.879250000000013</v>
      </c>
      <c r="G9" s="92">
        <f t="shared" si="0"/>
        <v>-75.767175000000009</v>
      </c>
      <c r="H9" s="92">
        <f t="shared" si="0"/>
        <v>-77.282518500000023</v>
      </c>
      <c r="I9" s="92">
        <f t="shared" si="0"/>
        <v>-78.828168870000013</v>
      </c>
      <c r="J9" s="92">
        <f t="shared" si="0"/>
        <v>-80.40473224740002</v>
      </c>
      <c r="K9" s="92">
        <f t="shared" si="0"/>
        <v>-82.012826892348016</v>
      </c>
      <c r="L9" s="92">
        <f t="shared" si="0"/>
        <v>-83.653083430194982</v>
      </c>
      <c r="M9" s="74"/>
    </row>
    <row r="10" spans="2:13" x14ac:dyDescent="0.25">
      <c r="B10" s="85" t="s">
        <v>4</v>
      </c>
      <c r="C10" s="93">
        <f>-C8*$C$5</f>
        <v>-3.45</v>
      </c>
      <c r="D10" s="93">
        <f t="shared" ref="D10:L10" si="1">-D8*$C$5</f>
        <v>-3.7950000000000004</v>
      </c>
      <c r="E10" s="93">
        <f t="shared" si="1"/>
        <v>-4.174500000000001</v>
      </c>
      <c r="F10" s="93">
        <f t="shared" si="1"/>
        <v>-4.5919500000000006</v>
      </c>
      <c r="G10" s="93">
        <f t="shared" si="1"/>
        <v>-5.0511450000000018</v>
      </c>
      <c r="H10" s="93">
        <f t="shared" si="1"/>
        <v>-5.152167900000002</v>
      </c>
      <c r="I10" s="93">
        <f t="shared" si="1"/>
        <v>-5.2552112580000019</v>
      </c>
      <c r="J10" s="93">
        <f t="shared" si="1"/>
        <v>-5.3603154831600017</v>
      </c>
      <c r="K10" s="93">
        <f t="shared" si="1"/>
        <v>-5.4675217928232023</v>
      </c>
      <c r="L10" s="93">
        <f t="shared" si="1"/>
        <v>-5.5768722286796661</v>
      </c>
      <c r="M10" s="74"/>
    </row>
    <row r="11" spans="2:13" x14ac:dyDescent="0.25">
      <c r="B11" s="60" t="s">
        <v>5</v>
      </c>
      <c r="C11" s="92">
        <f>SUM(C8:C10)</f>
        <v>13.8</v>
      </c>
      <c r="D11" s="92">
        <f t="shared" ref="D11:L11" si="2">SUM(D8:D10)</f>
        <v>15.180000000000001</v>
      </c>
      <c r="E11" s="92">
        <f t="shared" si="2"/>
        <v>16.698</v>
      </c>
      <c r="F11" s="92">
        <f t="shared" si="2"/>
        <v>18.367799999999999</v>
      </c>
      <c r="G11" s="92">
        <f t="shared" si="2"/>
        <v>20.204580000000011</v>
      </c>
      <c r="H11" s="92">
        <f t="shared" si="2"/>
        <v>20.608671600000001</v>
      </c>
      <c r="I11" s="92">
        <f t="shared" si="2"/>
        <v>21.020845032000011</v>
      </c>
      <c r="J11" s="92">
        <f t="shared" si="2"/>
        <v>21.44126193264001</v>
      </c>
      <c r="K11" s="92">
        <f t="shared" si="2"/>
        <v>21.870087171292813</v>
      </c>
      <c r="L11" s="92">
        <f t="shared" si="2"/>
        <v>22.307488914718672</v>
      </c>
    </row>
    <row r="12" spans="2:13" x14ac:dyDescent="0.25">
      <c r="B12" s="60" t="s">
        <v>66</v>
      </c>
      <c r="C12" s="92">
        <f>'Fixed Asset Roll-Forward'!C14</f>
        <v>-9</v>
      </c>
      <c r="D12" s="92">
        <f>'Fixed Asset Roll-Forward'!D14</f>
        <v>-10</v>
      </c>
      <c r="E12" s="92">
        <f>'Fixed Asset Roll-Forward'!E14</f>
        <v>-10.199999999999999</v>
      </c>
      <c r="F12" s="92">
        <f>'Fixed Asset Roll-Forward'!F14</f>
        <v>-10.399999999999999</v>
      </c>
      <c r="G12" s="92">
        <f>'Fixed Asset Roll-Forward'!G14</f>
        <v>-10.599999999999998</v>
      </c>
      <c r="H12" s="92">
        <f>'Fixed Asset Roll-Forward'!H14</f>
        <v>-10.799999999999997</v>
      </c>
      <c r="I12" s="92">
        <f>'Fixed Asset Roll-Forward'!I14</f>
        <v>-10.999999999999996</v>
      </c>
      <c r="J12" s="92">
        <f>'Fixed Asset Roll-Forward'!J14</f>
        <v>-11.199999999999996</v>
      </c>
      <c r="K12" s="92">
        <f>'Fixed Asset Roll-Forward'!K14</f>
        <v>-11.399999999999995</v>
      </c>
      <c r="L12" s="92">
        <f>'Fixed Asset Roll-Forward'!L14</f>
        <v>-11.599999999999994</v>
      </c>
    </row>
    <row r="13" spans="2:13" x14ac:dyDescent="0.25">
      <c r="B13" s="87" t="s">
        <v>97</v>
      </c>
      <c r="C13" s="94">
        <f>SUM(C11:C12)</f>
        <v>4.8000000000000007</v>
      </c>
      <c r="D13" s="94">
        <f t="shared" ref="D13:L13" si="3">SUM(D11:D12)</f>
        <v>5.1800000000000015</v>
      </c>
      <c r="E13" s="94">
        <f t="shared" si="3"/>
        <v>6.4980000000000011</v>
      </c>
      <c r="F13" s="94">
        <f t="shared" si="3"/>
        <v>7.9678000000000004</v>
      </c>
      <c r="G13" s="94">
        <f t="shared" si="3"/>
        <v>9.6045800000000128</v>
      </c>
      <c r="H13" s="94">
        <f t="shared" si="3"/>
        <v>9.8086716000000038</v>
      </c>
      <c r="I13" s="94">
        <f t="shared" si="3"/>
        <v>10.020845032000015</v>
      </c>
      <c r="J13" s="94">
        <f t="shared" si="3"/>
        <v>10.241261932640015</v>
      </c>
      <c r="K13" s="94">
        <f t="shared" si="3"/>
        <v>10.470087171292818</v>
      </c>
      <c r="L13" s="94">
        <f t="shared" si="3"/>
        <v>10.707488914718677</v>
      </c>
    </row>
    <row r="14" spans="2:13" x14ac:dyDescent="0.25">
      <c r="B14" s="60" t="s">
        <v>98</v>
      </c>
      <c r="C14" s="92">
        <f>Financing!D16</f>
        <v>-2.4</v>
      </c>
      <c r="D14" s="92">
        <f>Financing!E16</f>
        <v>-2.1906467841476172</v>
      </c>
      <c r="E14" s="92">
        <f>Financing!F16</f>
        <v>-1.9750129718196625</v>
      </c>
      <c r="F14" s="92">
        <f>Financing!G16</f>
        <v>-1.7529101451218696</v>
      </c>
      <c r="G14" s="92">
        <f>Financing!H16</f>
        <v>-1.5241442336231426</v>
      </c>
      <c r="H14" s="92">
        <f>Financing!I16</f>
        <v>-1.2885153447794537</v>
      </c>
      <c r="I14" s="92">
        <f>Financing!J16</f>
        <v>-1.0458175892704544</v>
      </c>
      <c r="J14" s="92">
        <f>Financing!K16</f>
        <v>-0.79583890109618505</v>
      </c>
      <c r="K14" s="92">
        <f>Financing!L16</f>
        <v>-0.53836085227668751</v>
      </c>
      <c r="L14" s="92">
        <f>Financing!M16</f>
        <v>-0.27315846199260513</v>
      </c>
    </row>
    <row r="15" spans="2:13" x14ac:dyDescent="0.25">
      <c r="B15" s="87" t="s">
        <v>99</v>
      </c>
      <c r="C15" s="94">
        <f t="shared" ref="C15:L15" si="4">SUM(C13:C14)</f>
        <v>2.4000000000000008</v>
      </c>
      <c r="D15" s="94">
        <f t="shared" si="4"/>
        <v>2.9893532158523843</v>
      </c>
      <c r="E15" s="94">
        <f t="shared" si="4"/>
        <v>4.5229870281803386</v>
      </c>
      <c r="F15" s="94">
        <f t="shared" si="4"/>
        <v>6.2148898548781304</v>
      </c>
      <c r="G15" s="94">
        <f t="shared" si="4"/>
        <v>8.0804357663768709</v>
      </c>
      <c r="H15" s="94">
        <f t="shared" si="4"/>
        <v>8.5201562552205505</v>
      </c>
      <c r="I15" s="94">
        <f t="shared" si="4"/>
        <v>8.9750274427295604</v>
      </c>
      <c r="J15" s="94">
        <f t="shared" si="4"/>
        <v>9.4454230315438288</v>
      </c>
      <c r="K15" s="94">
        <f t="shared" si="4"/>
        <v>9.9317263190161302</v>
      </c>
      <c r="L15" s="94">
        <f t="shared" si="4"/>
        <v>10.434330452726073</v>
      </c>
    </row>
    <row r="16" spans="2:13" ht="14.4" thickBot="1" x14ac:dyDescent="0.3">
      <c r="B16" s="60" t="s">
        <v>6</v>
      </c>
      <c r="C16" s="92">
        <f>IF(-'P&amp;L'!C15*'Factory Project Drivers+Summary'!$C$27&gt;0,0,-'P&amp;L'!C15*'Factory Project Drivers+Summary'!$C$27)</f>
        <v>-0.7200000000000002</v>
      </c>
      <c r="D16" s="92">
        <f>IF(-'P&amp;L'!D15*'Factory Project Drivers+Summary'!$C$27&gt;0,0,-'P&amp;L'!D15*'Factory Project Drivers+Summary'!$C$27)</f>
        <v>-0.89680596475571528</v>
      </c>
      <c r="E16" s="92">
        <f>IF(-'P&amp;L'!E15*'Factory Project Drivers+Summary'!$C$27&gt;0,0,-'P&amp;L'!E15*'Factory Project Drivers+Summary'!$C$27)</f>
        <v>-1.3568961084541016</v>
      </c>
      <c r="F16" s="92">
        <f>IF(-'P&amp;L'!F15*'Factory Project Drivers+Summary'!$C$27&gt;0,0,-'P&amp;L'!F15*'Factory Project Drivers+Summary'!$C$27)</f>
        <v>-1.8644669564634391</v>
      </c>
      <c r="G16" s="92">
        <f>IF(-'P&amp;L'!G15*'Factory Project Drivers+Summary'!$C$27&gt;0,0,-'P&amp;L'!G15*'Factory Project Drivers+Summary'!$C$27)</f>
        <v>-2.424130729913061</v>
      </c>
      <c r="H16" s="92">
        <f>IF(-'P&amp;L'!H15*'Factory Project Drivers+Summary'!$C$27&gt;0,0,-'P&amp;L'!H15*'Factory Project Drivers+Summary'!$C$27)</f>
        <v>-2.5560468765661652</v>
      </c>
      <c r="I16" s="92">
        <f>IF(-'P&amp;L'!I15*'Factory Project Drivers+Summary'!$C$27&gt;0,0,-'P&amp;L'!I15*'Factory Project Drivers+Summary'!$C$27)</f>
        <v>-2.6925082328188679</v>
      </c>
      <c r="J16" s="92">
        <f>IF(-'P&amp;L'!J15*'Factory Project Drivers+Summary'!$C$27&gt;0,0,-'P&amp;L'!J15*'Factory Project Drivers+Summary'!$C$27)</f>
        <v>-2.8336269094631485</v>
      </c>
      <c r="K16" s="92">
        <f>IF(-'P&amp;L'!K15*'Factory Project Drivers+Summary'!$C$27&gt;0,0,-'P&amp;L'!K15*'Factory Project Drivers+Summary'!$C$27)</f>
        <v>-2.9795178957048392</v>
      </c>
      <c r="L16" s="92">
        <f>IF(-'P&amp;L'!L15*'Factory Project Drivers+Summary'!$C$27&gt;0,0,-'P&amp;L'!L15*'Factory Project Drivers+Summary'!$C$27)</f>
        <v>-3.1302991358178218</v>
      </c>
    </row>
    <row r="17" spans="2:12" ht="14.4" thickBot="1" x14ac:dyDescent="0.3">
      <c r="B17" s="88" t="s">
        <v>100</v>
      </c>
      <c r="C17" s="97">
        <f>SUM(C15:C16)</f>
        <v>1.6800000000000006</v>
      </c>
      <c r="D17" s="97">
        <f t="shared" ref="D17:L17" si="5">SUM(D15:D16)</f>
        <v>2.0925472510966689</v>
      </c>
      <c r="E17" s="97">
        <f t="shared" si="5"/>
        <v>3.166090919726237</v>
      </c>
      <c r="F17" s="97">
        <f t="shared" si="5"/>
        <v>4.3504228984146911</v>
      </c>
      <c r="G17" s="97">
        <f t="shared" si="5"/>
        <v>5.6563050364638094</v>
      </c>
      <c r="H17" s="97">
        <f t="shared" si="5"/>
        <v>5.9641093786543848</v>
      </c>
      <c r="I17" s="97">
        <f t="shared" si="5"/>
        <v>6.2825192099106921</v>
      </c>
      <c r="J17" s="97">
        <f t="shared" si="5"/>
        <v>6.6117961220806798</v>
      </c>
      <c r="K17" s="97">
        <f t="shared" si="5"/>
        <v>6.9522084233112906</v>
      </c>
      <c r="L17" s="97">
        <f t="shared" si="5"/>
        <v>7.3040313169082509</v>
      </c>
    </row>
    <row r="18" spans="2:12" x14ac:dyDescent="0.25"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</sheetData>
  <pageMargins left="0.7" right="0.7" top="0.75" bottom="0.75" header="0.3" footer="0.3"/>
  <pageSetup orientation="portrait" r:id="rId1"/>
  <ignoredErrors>
    <ignoredError sqref="C14:L14 C1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5A06-16C9-4DF4-81B8-BC4E45522AC9}">
  <dimension ref="B1:O15"/>
  <sheetViews>
    <sheetView zoomScale="120" zoomScaleNormal="120" workbookViewId="0">
      <selection activeCell="H9" sqref="H9"/>
    </sheetView>
  </sheetViews>
  <sheetFormatPr defaultColWidth="9.109375" defaultRowHeight="11.4" x14ac:dyDescent="0.2"/>
  <cols>
    <col min="1" max="1" width="2" style="60" customWidth="1"/>
    <col min="2" max="2" width="23.33203125" style="60" bestFit="1" customWidth="1"/>
    <col min="3" max="3" width="6.6640625" style="60" bestFit="1" customWidth="1"/>
    <col min="4" max="7" width="7" style="60" bestFit="1" customWidth="1"/>
    <col min="8" max="13" width="7.33203125" style="60" bestFit="1" customWidth="1"/>
    <col min="14" max="14" width="3.109375" style="60" customWidth="1"/>
    <col min="15" max="15" width="12.44140625" style="60" bestFit="1" customWidth="1"/>
    <col min="16" max="16384" width="9.109375" style="60"/>
  </cols>
  <sheetData>
    <row r="1" spans="2:15" ht="15.6" x14ac:dyDescent="0.3">
      <c r="B1" s="83" t="s">
        <v>101</v>
      </c>
      <c r="C1" s="72"/>
      <c r="D1" s="58"/>
    </row>
    <row r="3" spans="2:15" ht="12.6" thickBot="1" x14ac:dyDescent="0.3">
      <c r="B3" s="58" t="s">
        <v>89</v>
      </c>
      <c r="C3" s="63">
        <v>0</v>
      </c>
      <c r="D3" s="63">
        <v>1</v>
      </c>
      <c r="E3" s="63">
        <v>2</v>
      </c>
      <c r="F3" s="63">
        <v>3</v>
      </c>
      <c r="G3" s="63">
        <v>4</v>
      </c>
      <c r="H3" s="63">
        <v>5</v>
      </c>
      <c r="I3" s="63">
        <v>6</v>
      </c>
      <c r="J3" s="63">
        <v>7</v>
      </c>
      <c r="K3" s="63">
        <v>8</v>
      </c>
      <c r="L3" s="63">
        <v>9</v>
      </c>
      <c r="M3" s="63">
        <v>10</v>
      </c>
      <c r="N3" s="58"/>
      <c r="O3" s="89" t="s">
        <v>10</v>
      </c>
    </row>
    <row r="4" spans="2:15" ht="12" x14ac:dyDescent="0.25">
      <c r="B4" s="64" t="s">
        <v>2</v>
      </c>
      <c r="C4" s="88"/>
      <c r="D4" s="90">
        <f>'Sales Forecast'!C11</f>
        <v>69</v>
      </c>
      <c r="E4" s="90">
        <f>'Sales Forecast'!D11</f>
        <v>75.900000000000006</v>
      </c>
      <c r="F4" s="90">
        <f>'Sales Forecast'!E11</f>
        <v>83.490000000000009</v>
      </c>
      <c r="G4" s="90">
        <f>'Sales Forecast'!F11</f>
        <v>91.839000000000013</v>
      </c>
      <c r="H4" s="90">
        <f>'Sales Forecast'!G11</f>
        <v>101.02290000000002</v>
      </c>
      <c r="I4" s="90">
        <f>'Sales Forecast'!H11</f>
        <v>103.04335800000003</v>
      </c>
      <c r="J4" s="90">
        <f>'Sales Forecast'!I11</f>
        <v>105.10422516000003</v>
      </c>
      <c r="K4" s="90">
        <f>'Sales Forecast'!J11</f>
        <v>107.20630966320003</v>
      </c>
      <c r="L4" s="90">
        <f>'Sales Forecast'!K11</f>
        <v>109.35043585646403</v>
      </c>
      <c r="M4" s="90">
        <f>'Sales Forecast'!L11</f>
        <v>111.53744457359332</v>
      </c>
      <c r="N4" s="58"/>
      <c r="O4" s="91"/>
    </row>
    <row r="5" spans="2:15" ht="12" x14ac:dyDescent="0.25">
      <c r="B5" s="60" t="s">
        <v>3</v>
      </c>
      <c r="C5" s="58"/>
      <c r="D5" s="92">
        <f>'P&amp;L'!C9</f>
        <v>-51.75</v>
      </c>
      <c r="E5" s="92">
        <f>'P&amp;L'!D9</f>
        <v>-56.925000000000004</v>
      </c>
      <c r="F5" s="92">
        <f>'P&amp;L'!E9</f>
        <v>-62.617500000000007</v>
      </c>
      <c r="G5" s="92">
        <f>'P&amp;L'!F9</f>
        <v>-68.879250000000013</v>
      </c>
      <c r="H5" s="92">
        <f>'P&amp;L'!G9</f>
        <v>-75.767175000000009</v>
      </c>
      <c r="I5" s="92">
        <f>'P&amp;L'!H9</f>
        <v>-77.282518500000023</v>
      </c>
      <c r="J5" s="92">
        <f>'P&amp;L'!I9</f>
        <v>-78.828168870000013</v>
      </c>
      <c r="K5" s="92">
        <f>'P&amp;L'!J9</f>
        <v>-80.40473224740002</v>
      </c>
      <c r="L5" s="92">
        <f>'P&amp;L'!K9</f>
        <v>-82.012826892348016</v>
      </c>
      <c r="M5" s="92">
        <f>'P&amp;L'!L9</f>
        <v>-83.653083430194982</v>
      </c>
      <c r="N5" s="58"/>
      <c r="O5" s="89"/>
    </row>
    <row r="6" spans="2:15" x14ac:dyDescent="0.2">
      <c r="B6" s="85" t="s">
        <v>4</v>
      </c>
      <c r="C6" s="86">
        <v>0</v>
      </c>
      <c r="D6" s="93">
        <f>'P&amp;L'!C10</f>
        <v>-3.45</v>
      </c>
      <c r="E6" s="93">
        <f>'P&amp;L'!D10</f>
        <v>-3.7950000000000004</v>
      </c>
      <c r="F6" s="93">
        <f>'P&amp;L'!E10</f>
        <v>-4.174500000000001</v>
      </c>
      <c r="G6" s="93">
        <f>'P&amp;L'!F10</f>
        <v>-4.5919500000000006</v>
      </c>
      <c r="H6" s="93">
        <f>'P&amp;L'!G10</f>
        <v>-5.0511450000000018</v>
      </c>
      <c r="I6" s="93">
        <f>'P&amp;L'!H10</f>
        <v>-5.152167900000002</v>
      </c>
      <c r="J6" s="93">
        <f>'P&amp;L'!I10</f>
        <v>-5.2552112580000019</v>
      </c>
      <c r="K6" s="93">
        <f>'P&amp;L'!J10</f>
        <v>-5.3603154831600017</v>
      </c>
      <c r="L6" s="93">
        <f>'P&amp;L'!K10</f>
        <v>-5.4675217928232023</v>
      </c>
      <c r="M6" s="93">
        <f>'P&amp;L'!L10</f>
        <v>-5.5768722286796661</v>
      </c>
      <c r="N6" s="74"/>
    </row>
    <row r="7" spans="2:15" ht="12" x14ac:dyDescent="0.25">
      <c r="B7" s="58" t="s">
        <v>5</v>
      </c>
      <c r="C7" s="74"/>
      <c r="D7" s="92">
        <f>SUM(D4:D6)</f>
        <v>13.8</v>
      </c>
      <c r="E7" s="92">
        <f t="shared" ref="E7:M7" si="0">SUM(E4:E6)</f>
        <v>15.180000000000001</v>
      </c>
      <c r="F7" s="92">
        <f t="shared" si="0"/>
        <v>16.698</v>
      </c>
      <c r="G7" s="92">
        <f t="shared" si="0"/>
        <v>18.367799999999999</v>
      </c>
      <c r="H7" s="92">
        <f t="shared" si="0"/>
        <v>20.204580000000011</v>
      </c>
      <c r="I7" s="92">
        <f t="shared" si="0"/>
        <v>20.608671600000001</v>
      </c>
      <c r="J7" s="92">
        <f t="shared" si="0"/>
        <v>21.020845032000011</v>
      </c>
      <c r="K7" s="92">
        <f t="shared" si="0"/>
        <v>21.44126193264001</v>
      </c>
      <c r="L7" s="92">
        <f t="shared" si="0"/>
        <v>21.870087171292813</v>
      </c>
      <c r="M7" s="92">
        <f t="shared" si="0"/>
        <v>22.307488914718672</v>
      </c>
      <c r="N7" s="74"/>
    </row>
    <row r="8" spans="2:15" x14ac:dyDescent="0.2">
      <c r="B8" s="60" t="s">
        <v>6</v>
      </c>
      <c r="C8" s="74">
        <v>0</v>
      </c>
      <c r="D8" s="92">
        <f>'P&amp;L'!C16</f>
        <v>-0.7200000000000002</v>
      </c>
      <c r="E8" s="92">
        <f>'P&amp;L'!D16</f>
        <v>-0.89680596475571528</v>
      </c>
      <c r="F8" s="92">
        <f>'P&amp;L'!E16</f>
        <v>-1.3568961084541016</v>
      </c>
      <c r="G8" s="92">
        <f>'P&amp;L'!F16</f>
        <v>-1.8644669564634391</v>
      </c>
      <c r="H8" s="92">
        <f>'P&amp;L'!G16</f>
        <v>-2.424130729913061</v>
      </c>
      <c r="I8" s="92">
        <f>'P&amp;L'!H16</f>
        <v>-2.5560468765661652</v>
      </c>
      <c r="J8" s="92">
        <f>'P&amp;L'!I16</f>
        <v>-2.6925082328188679</v>
      </c>
      <c r="K8" s="92">
        <f>'P&amp;L'!J16</f>
        <v>-2.8336269094631485</v>
      </c>
      <c r="L8" s="92">
        <f>'P&amp;L'!K16</f>
        <v>-2.9795178957048392</v>
      </c>
      <c r="M8" s="92">
        <f>'P&amp;L'!L16</f>
        <v>-3.1302991358178218</v>
      </c>
      <c r="N8" s="74"/>
    </row>
    <row r="9" spans="2:15" x14ac:dyDescent="0.2">
      <c r="B9" s="60" t="s">
        <v>8</v>
      </c>
      <c r="C9" s="74">
        <v>0</v>
      </c>
      <c r="D9" s="92">
        <f>'Working Capital'!C16</f>
        <v>-15.123287671232877</v>
      </c>
      <c r="E9" s="92">
        <f>'Working Capital'!D16</f>
        <v>-0.47260273972602818</v>
      </c>
      <c r="F9" s="92">
        <f>'Working Capital'!E16</f>
        <v>-0.41589041095890522</v>
      </c>
      <c r="G9" s="92">
        <f>'Working Capital'!F16</f>
        <v>-1.0979506849315079</v>
      </c>
      <c r="H9" s="92">
        <f>'Working Capital'!G16</f>
        <v>-0.88064794520547807</v>
      </c>
      <c r="I9" s="92">
        <f>'Working Capital'!H16</f>
        <v>0.48712412054794285</v>
      </c>
      <c r="J9" s="92">
        <f>'Working Capital'!I16</f>
        <v>0.80176201841095818</v>
      </c>
      <c r="K9" s="92">
        <f>'Working Capital'!J16</f>
        <v>1.1345497181654807</v>
      </c>
      <c r="L9" s="92">
        <f>'Working Capital'!K16</f>
        <v>0.58743183377095853</v>
      </c>
      <c r="M9" s="92">
        <f>'Working Capital'!L16</f>
        <v>0.92273792448741965</v>
      </c>
      <c r="N9" s="74"/>
    </row>
    <row r="10" spans="2:15" x14ac:dyDescent="0.2">
      <c r="B10" s="60" t="s">
        <v>65</v>
      </c>
      <c r="C10" s="74">
        <f>-'Fixed Asset Roll-Forward'!C12</f>
        <v>-90</v>
      </c>
      <c r="D10" s="92">
        <f>-'Fixed Asset Roll-Forward'!C13</f>
        <v>-10</v>
      </c>
      <c r="E10" s="92">
        <f>-'Fixed Asset Roll-Forward'!D13</f>
        <v>-2</v>
      </c>
      <c r="F10" s="92">
        <f>-'Fixed Asset Roll-Forward'!E13</f>
        <v>-2</v>
      </c>
      <c r="G10" s="92">
        <f>-'Fixed Asset Roll-Forward'!F13</f>
        <v>-2</v>
      </c>
      <c r="H10" s="92">
        <f>-'Fixed Asset Roll-Forward'!G13</f>
        <v>-2</v>
      </c>
      <c r="I10" s="92">
        <f>-'Fixed Asset Roll-Forward'!H13</f>
        <v>-2</v>
      </c>
      <c r="J10" s="92">
        <f>-'Fixed Asset Roll-Forward'!I13</f>
        <v>-2</v>
      </c>
      <c r="K10" s="92">
        <f>-'Fixed Asset Roll-Forward'!J13</f>
        <v>-2</v>
      </c>
      <c r="L10" s="92">
        <f>-'Fixed Asset Roll-Forward'!K13</f>
        <v>-2</v>
      </c>
      <c r="M10" s="92">
        <f>-'Fixed Asset Roll-Forward'!L13</f>
        <v>-2</v>
      </c>
      <c r="N10" s="74"/>
    </row>
    <row r="11" spans="2:15" ht="12.6" thickBot="1" x14ac:dyDescent="0.3">
      <c r="B11" s="87" t="s">
        <v>9</v>
      </c>
      <c r="C11" s="94">
        <f>SUM(C6:C10)</f>
        <v>-90</v>
      </c>
      <c r="D11" s="94">
        <f>SUM(D7:D10)</f>
        <v>-12.043287671232877</v>
      </c>
      <c r="E11" s="94">
        <f t="shared" ref="E11:M11" si="1">SUM(E7:E10)</f>
        <v>11.810591295518257</v>
      </c>
      <c r="F11" s="94">
        <f t="shared" si="1"/>
        <v>12.925213480586994</v>
      </c>
      <c r="G11" s="94">
        <f t="shared" si="1"/>
        <v>13.405382358605053</v>
      </c>
      <c r="H11" s="94">
        <f t="shared" si="1"/>
        <v>14.899801324881473</v>
      </c>
      <c r="I11" s="94">
        <f t="shared" si="1"/>
        <v>16.53974884398178</v>
      </c>
      <c r="J11" s="94">
        <f t="shared" si="1"/>
        <v>17.130098817592103</v>
      </c>
      <c r="K11" s="94">
        <f t="shared" si="1"/>
        <v>17.742184741342342</v>
      </c>
      <c r="L11" s="94">
        <f t="shared" si="1"/>
        <v>17.478001109358935</v>
      </c>
      <c r="M11" s="94">
        <f t="shared" si="1"/>
        <v>18.099927703388268</v>
      </c>
      <c r="N11" s="95"/>
      <c r="O11" s="68">
        <f>'Factory Project Drivers+Summary'!C26</f>
        <v>15</v>
      </c>
    </row>
    <row r="12" spans="2:15" ht="12" x14ac:dyDescent="0.25">
      <c r="B12" s="11"/>
      <c r="O12" s="64"/>
    </row>
    <row r="13" spans="2:15" x14ac:dyDescent="0.2">
      <c r="D13" s="96"/>
      <c r="E13" s="96"/>
      <c r="F13" s="96"/>
      <c r="G13" s="96"/>
      <c r="H13" s="96"/>
      <c r="I13" s="96"/>
      <c r="J13" s="96"/>
      <c r="K13" s="96"/>
      <c r="L13" s="96"/>
      <c r="M13" s="96"/>
    </row>
    <row r="15" spans="2:15" x14ac:dyDescent="0.2"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Factory Project Drivers+Summary</vt:lpstr>
      <vt:lpstr>Sales Forecast</vt:lpstr>
      <vt:lpstr>Fixed Asset Roll-Forward</vt:lpstr>
      <vt:lpstr>Working Capital</vt:lpstr>
      <vt:lpstr>Financing</vt:lpstr>
      <vt:lpstr>P&amp;L</vt:lpstr>
      <vt:lpstr>Operating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Jonas Wetzel</cp:lastModifiedBy>
  <dcterms:created xsi:type="dcterms:W3CDTF">2015-06-05T18:19:34Z</dcterms:created>
  <dcterms:modified xsi:type="dcterms:W3CDTF">2025-08-16T04:27:30Z</dcterms:modified>
</cp:coreProperties>
</file>