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tze\Desktop\365finance\controlling\fp&amp;a_project\"/>
    </mc:Choice>
  </mc:AlternateContent>
  <xr:revisionPtr revIDLastSave="0" documentId="13_ncr:1_{288C175A-9B47-4099-A5B6-09C590EF4F6C}" xr6:coauthVersionLast="47" xr6:coauthVersionMax="47" xr10:uidLastSave="{00000000-0000-0000-0000-000000000000}"/>
  <bookViews>
    <workbookView xWindow="-108" yWindow="-108" windowWidth="23256" windowHeight="13896" tabRatio="950" activeTab="3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Training &amp; Development Budget" sheetId="18" r:id="rId5"/>
    <sheet name="5-Y P&amp;L Budget" sheetId="15" r:id="rId6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4" l="1"/>
  <c r="I16" i="14"/>
  <c r="H16" i="14"/>
  <c r="G16" i="14"/>
  <c r="F16" i="14"/>
  <c r="E16" i="14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J8" i="18" s="1"/>
  <c r="I15" i="19"/>
  <c r="H15" i="19"/>
  <c r="G15" i="19"/>
  <c r="F15" i="19"/>
  <c r="F20" i="19" s="1"/>
  <c r="F8" i="18" s="1"/>
  <c r="E15" i="19"/>
  <c r="D15" i="19"/>
  <c r="D20" i="19" s="1"/>
  <c r="D8" i="18" s="1"/>
  <c r="C15" i="19"/>
  <c r="C20" i="19" s="1"/>
  <c r="C8" i="18" s="1"/>
  <c r="H20" i="19" l="1"/>
  <c r="H8" i="18" s="1"/>
  <c r="I20" i="19"/>
  <c r="I8" i="18" s="1"/>
  <c r="E20" i="19"/>
  <c r="E8" i="18" s="1"/>
  <c r="G20" i="19"/>
  <c r="G8" i="18" s="1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20" i="15"/>
  <c r="D18" i="15"/>
  <c r="D10" i="15"/>
  <c r="C10" i="18"/>
  <c r="C11" i="18" s="1"/>
  <c r="D22" i="15" s="1"/>
  <c r="D10" i="18"/>
  <c r="D11" i="18" s="1"/>
  <c r="E22" i="15" s="1"/>
  <c r="D35" i="15" l="1"/>
  <c r="G28" i="15" l="1"/>
  <c r="H28" i="15" s="1"/>
  <c r="I28" i="15" s="1"/>
  <c r="D15" i="14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D24" i="15"/>
  <c r="E20" i="15"/>
  <c r="E21" i="15" s="1"/>
  <c r="F18" i="15"/>
  <c r="E18" i="15"/>
  <c r="E19" i="15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J28" i="15"/>
  <c r="F19" i="15"/>
  <c r="G8" i="14"/>
  <c r="F15" i="14"/>
  <c r="H14" i="14"/>
  <c r="G18" i="15"/>
  <c r="H18" i="15"/>
  <c r="F12" i="15"/>
  <c r="J7" i="17"/>
  <c r="F7" i="19" s="1"/>
  <c r="F25" i="19" s="1"/>
  <c r="F13" i="15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E10" i="18"/>
  <c r="E11" i="18" s="1"/>
  <c r="F22" i="15" s="1"/>
  <c r="L5" i="17"/>
  <c r="G19" i="15"/>
  <c r="K28" i="15"/>
  <c r="H19" i="15"/>
  <c r="D26" i="15"/>
  <c r="D29" i="15" s="1"/>
  <c r="G9" i="14"/>
  <c r="H8" i="14" s="1"/>
  <c r="H7" i="14"/>
  <c r="I6" i="14" s="1"/>
  <c r="H15" i="14"/>
  <c r="I14" i="14"/>
  <c r="J78" i="17"/>
  <c r="F8" i="19" s="1"/>
  <c r="F26" i="19" s="1"/>
  <c r="F20" i="15"/>
  <c r="G10" i="15"/>
  <c r="E35" i="15"/>
  <c r="E24" i="15"/>
  <c r="E13" i="15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I18" i="15"/>
  <c r="I19" i="15" s="1"/>
  <c r="E25" i="15"/>
  <c r="F24" i="15"/>
  <c r="F21" i="15"/>
  <c r="D31" i="15"/>
  <c r="D32" i="15" s="1"/>
  <c r="H9" i="14"/>
  <c r="I8" i="14" s="1"/>
  <c r="I7" i="14"/>
  <c r="J6" i="14" s="1"/>
  <c r="I15" i="14"/>
  <c r="J14" i="14"/>
  <c r="K78" i="17"/>
  <c r="G8" i="19" s="1"/>
  <c r="G26" i="19" s="1"/>
  <c r="F35" i="15"/>
  <c r="H10" i="15"/>
  <c r="J7" i="14" l="1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J18" i="15"/>
  <c r="J19" i="15" s="1"/>
  <c r="F25" i="15"/>
  <c r="I9" i="14"/>
  <c r="J8" i="14" s="1"/>
  <c r="J15" i="14"/>
  <c r="L78" i="17"/>
  <c r="H8" i="19" s="1"/>
  <c r="H26" i="19" s="1"/>
  <c r="I10" i="15"/>
  <c r="D15" i="15"/>
  <c r="G20" i="15" l="1"/>
  <c r="G21" i="15" s="1"/>
  <c r="H11" i="19"/>
  <c r="H29" i="19" s="1"/>
  <c r="J114" i="17"/>
  <c r="G10" i="18"/>
  <c r="G11" i="18" s="1"/>
  <c r="H22" i="15" s="1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F10" i="18"/>
  <c r="F11" i="18" s="1"/>
  <c r="G22" i="15" s="1"/>
  <c r="N7" i="17"/>
  <c r="J7" i="19" s="1"/>
  <c r="J25" i="19" s="1"/>
  <c r="M89" i="17"/>
  <c r="I10" i="19" s="1"/>
  <c r="I28" i="19" s="1"/>
  <c r="K18" i="15"/>
  <c r="K19" i="15" s="1"/>
  <c r="J9" i="14"/>
  <c r="M78" i="17"/>
  <c r="I8" i="19" s="1"/>
  <c r="I26" i="19" s="1"/>
  <c r="J10" i="15"/>
  <c r="G24" i="15" l="1"/>
  <c r="G25" i="15" s="1"/>
  <c r="G35" i="15"/>
  <c r="I11" i="19"/>
  <c r="I29" i="19" s="1"/>
  <c r="K114" i="17"/>
  <c r="K10" i="15"/>
  <c r="H20" i="15"/>
  <c r="H24" i="15" s="1"/>
  <c r="H25" i="15" s="1"/>
  <c r="H10" i="18"/>
  <c r="H11" i="18" s="1"/>
  <c r="I22" i="15" s="1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I20" i="15" s="1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I24" i="15"/>
  <c r="I25" i="15" s="1"/>
  <c r="I10" i="18"/>
  <c r="I11" i="18" s="1"/>
  <c r="J22" i="15" s="1"/>
  <c r="H35" i="15"/>
  <c r="H21" i="15"/>
  <c r="I21" i="15"/>
  <c r="M110" i="17"/>
  <c r="M113" i="17"/>
  <c r="M111" i="17"/>
  <c r="M109" i="17"/>
  <c r="J20" i="15" s="1"/>
  <c r="M112" i="17"/>
  <c r="N113" i="17"/>
  <c r="N111" i="17"/>
  <c r="N109" i="17"/>
  <c r="N112" i="17"/>
  <c r="N110" i="17"/>
  <c r="L114" i="17"/>
  <c r="I35" i="15" s="1"/>
  <c r="J24" i="15" l="1"/>
  <c r="J25" i="15" s="1"/>
  <c r="N105" i="17"/>
  <c r="N108" i="17"/>
  <c r="N106" i="17"/>
  <c r="N104" i="17"/>
  <c r="N107" i="17"/>
  <c r="J21" i="15"/>
  <c r="M114" i="17"/>
  <c r="J35" i="15" s="1"/>
  <c r="F26" i="15"/>
  <c r="F29" i="15" s="1"/>
  <c r="F9" i="15"/>
  <c r="E26" i="15"/>
  <c r="E9" i="15"/>
  <c r="N114" i="17" l="1"/>
  <c r="K20" i="15"/>
  <c r="J10" i="18"/>
  <c r="J11" i="18" s="1"/>
  <c r="K22" i="15" s="1"/>
  <c r="E29" i="15"/>
  <c r="E31" i="15" s="1"/>
  <c r="F31" i="15"/>
  <c r="F32" i="15" s="1"/>
  <c r="F15" i="15"/>
  <c r="F14" i="15"/>
  <c r="E15" i="15"/>
  <c r="E14" i="15"/>
  <c r="K24" i="15" l="1"/>
  <c r="K25" i="15" s="1"/>
  <c r="K21" i="15"/>
  <c r="K35" i="15"/>
  <c r="E32" i="15"/>
  <c r="E33" i="15" s="1"/>
  <c r="F16" i="15"/>
  <c r="G16" i="15" s="1"/>
  <c r="H16" i="15" s="1"/>
  <c r="I16" i="15" s="1"/>
  <c r="J16" i="15" s="1"/>
  <c r="K16" i="15" s="1"/>
  <c r="E16" i="15"/>
  <c r="F33" i="15" l="1"/>
  <c r="G15" i="15"/>
  <c r="G8" i="15" s="1"/>
  <c r="H15" i="15" l="1"/>
  <c r="H8" i="15" s="1"/>
  <c r="I15" i="15" l="1"/>
  <c r="I8" i="15" s="1"/>
  <c r="J15" i="15" l="1"/>
  <c r="J8" i="15" s="1"/>
  <c r="K15" i="15" l="1"/>
  <c r="K8" i="15" s="1"/>
  <c r="G12" i="15" l="1"/>
  <c r="K13" i="15"/>
  <c r="H13" i="15"/>
  <c r="J12" i="15"/>
  <c r="I12" i="15"/>
  <c r="H12" i="15"/>
  <c r="K12" i="15"/>
  <c r="H26" i="15" l="1"/>
  <c r="H29" i="15" s="1"/>
  <c r="H31" i="15" s="1"/>
  <c r="H32" i="15" s="1"/>
  <c r="K26" i="15"/>
  <c r="K29" i="15" s="1"/>
  <c r="K31" i="15" s="1"/>
  <c r="K32" i="15" s="1"/>
  <c r="G13" i="15"/>
  <c r="G26" i="15" s="1"/>
  <c r="G29" i="15" s="1"/>
  <c r="G31" i="15" s="1"/>
  <c r="G32" i="15" s="1"/>
  <c r="G33" i="15" s="1"/>
  <c r="I13" i="15"/>
  <c r="I26" i="15" s="1"/>
  <c r="I29" i="15" s="1"/>
  <c r="I31" i="15" s="1"/>
  <c r="I32" i="15" s="1"/>
  <c r="J13" i="15"/>
  <c r="J26" i="15" s="1"/>
  <c r="J29" i="15" s="1"/>
  <c r="J31" i="15" s="1"/>
  <c r="J32" i="15" s="1"/>
  <c r="J10" i="14" l="1"/>
  <c r="J17" i="14" s="1"/>
  <c r="G10" i="14"/>
  <c r="G17" i="14" s="1"/>
  <c r="I33" i="15"/>
  <c r="J33" i="15"/>
  <c r="K33" i="15"/>
  <c r="H33" i="15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<sst xmlns="http://schemas.openxmlformats.org/spreadsheetml/2006/main" count="749" uniqueCount="220">
  <si>
    <t>Revenue</t>
  </si>
  <si>
    <t>Gross Profit</t>
  </si>
  <si>
    <t>=</t>
  </si>
  <si>
    <t>revenue</t>
  </si>
  <si>
    <t>gross profit</t>
  </si>
  <si>
    <t>Total operating expenses</t>
  </si>
  <si>
    <t>Y3</t>
  </si>
  <si>
    <t>Y2</t>
  </si>
  <si>
    <t>Y1</t>
  </si>
  <si>
    <t>Interest expense</t>
  </si>
  <si>
    <t>Operating profit (EBIT)</t>
  </si>
  <si>
    <t>Profit before tax (EBT)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</si>
  <si>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</si>
  <si>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</si>
  <si>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</si>
  <si>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</si>
  <si>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</si>
  <si>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</si>
  <si>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</si>
  <si>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</si>
  <si>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</si>
  <si>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</si>
  <si>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</si>
  <si>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</si>
  <si>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</si>
  <si>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</si>
  <si>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</si>
  <si>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</si>
  <si>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</si>
  <si>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</si>
  <si>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</si>
  <si>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</si>
  <si>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</si>
  <si>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</si>
  <si>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</si>
  <si>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</si>
  <si>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</si>
  <si>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</si>
  <si>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</si>
  <si>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</si>
  <si>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</si>
  <si>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</si>
  <si>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</si>
  <si>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</si>
  <si>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</si>
  <si>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</si>
  <si>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</si>
  <si>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</si>
  <si>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</si>
  <si>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</si>
  <si>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</si>
  <si>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</si>
  <si>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</si>
  <si>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</si>
  <si>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</si>
  <si>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</si>
  <si>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</si>
  <si>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</si>
  <si>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</si>
  <si>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</si>
  <si>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</si>
  <si>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</si>
  <si>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</si>
  <si>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</si>
  <si>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</si>
  <si>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</si>
  <si>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</si>
  <si>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</si>
  <si>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</si>
  <si>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</si>
  <si>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</si>
  <si>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</si>
  <si>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</si>
  <si>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</si>
  <si>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</si>
  <si>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</si>
  <si>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</si>
  <si>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</si>
  <si>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</si>
  <si>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</si>
  <si>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</si>
  <si>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</si>
  <si>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</si>
  <si>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</si>
  <si>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</si>
  <si>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</si>
  <si>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</si>
  <si>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</si>
  <si>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</si>
  <si>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</si>
  <si>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</si>
  <si>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</si>
  <si>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</si>
  <si>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</si>
  <si>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</si>
  <si>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</si>
  <si>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</si>
  <si>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</si>
  <si>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</si>
  <si>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</si>
  <si>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</si>
  <si>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</si>
  <si>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</si>
  <si>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</si>
  <si>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</si>
  <si>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</si>
  <si>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</si>
  <si>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</si>
  <si>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</si>
  <si>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</si>
  <si>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</si>
  <si>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</si>
  <si>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</si>
  <si>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</si>
  <si>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</si>
  <si>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</si>
  <si>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</si>
  <si>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</si>
  <si>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</si>
  <si>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</si>
  <si>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</si>
  <si>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</si>
  <si>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</si>
  <si>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</si>
  <si>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</si>
  <si>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</si>
  <si>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</si>
  <si>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</si>
  <si>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</si>
  <si>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</si>
  <si>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</si>
  <si>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</si>
  <si>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</si>
  <si>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Net Income</t>
  </si>
  <si>
    <t>COGS - Payroll</t>
  </si>
  <si>
    <t>COGS - Other</t>
  </si>
  <si>
    <t>Admin expenses - Payroll</t>
  </si>
  <si>
    <t>Selling expenses - Payroll</t>
  </si>
  <si>
    <t>P&amp;L Mapping</t>
  </si>
  <si>
    <t>Payroll cost check!</t>
  </si>
  <si>
    <t>Revenue growth %</t>
  </si>
  <si>
    <t>COGS growth %</t>
  </si>
  <si>
    <t>in USD thousands</t>
  </si>
  <si>
    <t>Other operating expenses - Training &amp; Development</t>
  </si>
  <si>
    <t>Total number of employees</t>
  </si>
  <si>
    <t>Allowance per employee</t>
  </si>
  <si>
    <t>T&amp;D budget - lump sum</t>
  </si>
  <si>
    <t>T&amp;D budget - variable portion</t>
  </si>
  <si>
    <t>Budget</t>
  </si>
  <si>
    <t>Actuals</t>
  </si>
  <si>
    <t>TOTAL T&amp;D Budget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</si>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</sst>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164" fontId="6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164" fontId="5" fillId="0" borderId="0" xfId="0" applyNumberFormat="1" applyFont="1"/>
    <xf numFmtId="0" fontId="5" fillId="0" borderId="5" xfId="0" applyFont="1" applyBorder="1"/>
    <xf numFmtId="0" fontId="6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2" fillId="0" borderId="0" xfId="2" applyNumberFormat="1" applyFont="1"/>
    <xf numFmtId="164" fontId="12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164" fontId="5" fillId="4" borderId="0" xfId="0" applyNumberFormat="1" applyFont="1" applyFill="1"/>
    <xf numFmtId="41" fontId="6" fillId="4" borderId="0" xfId="0" applyNumberFormat="1" applyFont="1" applyFill="1"/>
    <xf numFmtId="165" fontId="9" fillId="4" borderId="0" xfId="1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5</xdr:col>
      <xdr:colOff>296006</xdr:colOff>
      <xdr:row>84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6" t="s">
        <v>209</v>
      </c>
    </row>
    <row r="2" spans="2:2" ht="15.6" x14ac:dyDescent="0.3">
      <c r="B2" s="26" t="s">
        <v>210</v>
      </c>
    </row>
    <row r="4" spans="2:2" x14ac:dyDescent="0.3">
      <c r="B4" s="68" t="s">
        <v>194</v>
      </c>
    </row>
    <row r="5" spans="2:2" x14ac:dyDescent="0.3">
      <c r="B5" s="69" t="s">
        <v>213</v>
      </c>
    </row>
    <row r="6" spans="2:2" x14ac:dyDescent="0.3">
      <c r="B6" s="65" t="s">
        <v>195</v>
      </c>
    </row>
    <row r="7" spans="2:2" x14ac:dyDescent="0.3">
      <c r="B7" s="65" t="s">
        <v>196</v>
      </c>
    </row>
    <row r="8" spans="2:2" x14ac:dyDescent="0.3">
      <c r="B8" s="69" t="s">
        <v>214</v>
      </c>
    </row>
    <row r="9" spans="2:2" x14ac:dyDescent="0.3">
      <c r="B9" s="66" t="s">
        <v>197</v>
      </c>
    </row>
    <row r="10" spans="2:2" x14ac:dyDescent="0.3">
      <c r="B10" s="65" t="s">
        <v>216</v>
      </c>
    </row>
    <row r="11" spans="2:2" x14ac:dyDescent="0.3">
      <c r="B11" s="65" t="s">
        <v>217</v>
      </c>
    </row>
    <row r="12" spans="2:2" x14ac:dyDescent="0.3">
      <c r="B12" s="66" t="s">
        <v>198</v>
      </c>
    </row>
    <row r="13" spans="2:2" x14ac:dyDescent="0.3">
      <c r="B13" s="65" t="s">
        <v>218</v>
      </c>
    </row>
    <row r="14" spans="2:2" x14ac:dyDescent="0.3">
      <c r="B14" s="65" t="s">
        <v>199</v>
      </c>
    </row>
    <row r="15" spans="2:2" x14ac:dyDescent="0.3">
      <c r="B15" s="65" t="s">
        <v>200</v>
      </c>
    </row>
    <row r="16" spans="2:2" x14ac:dyDescent="0.3">
      <c r="B16" s="66" t="s">
        <v>201</v>
      </c>
    </row>
    <row r="17" spans="2:2" x14ac:dyDescent="0.3">
      <c r="B17" s="65" t="s">
        <v>219</v>
      </c>
    </row>
    <row r="18" spans="2:2" x14ac:dyDescent="0.3">
      <c r="B18" s="65"/>
    </row>
    <row r="19" spans="2:2" x14ac:dyDescent="0.3">
      <c r="B19" s="68" t="s">
        <v>202</v>
      </c>
    </row>
    <row r="20" spans="2:2" x14ac:dyDescent="0.3">
      <c r="B20" s="65" t="s">
        <v>203</v>
      </c>
    </row>
    <row r="21" spans="2:2" x14ac:dyDescent="0.3">
      <c r="B21" s="65" t="s">
        <v>204</v>
      </c>
    </row>
    <row r="22" spans="2:2" x14ac:dyDescent="0.3">
      <c r="B22" s="67" t="s">
        <v>205</v>
      </c>
    </row>
    <row r="23" spans="2:2" x14ac:dyDescent="0.3">
      <c r="B23" s="67" t="s">
        <v>206</v>
      </c>
    </row>
    <row r="24" spans="2:2" x14ac:dyDescent="0.3">
      <c r="B24" s="67"/>
    </row>
    <row r="25" spans="2:2" x14ac:dyDescent="0.3">
      <c r="B25" s="68" t="s">
        <v>181</v>
      </c>
    </row>
    <row r="26" spans="2:2" x14ac:dyDescent="0.3">
      <c r="B26" s="65" t="s">
        <v>211</v>
      </c>
    </row>
    <row r="27" spans="2:2" x14ac:dyDescent="0.3">
      <c r="B27" s="65" t="s">
        <v>212</v>
      </c>
    </row>
    <row r="28" spans="2:2" x14ac:dyDescent="0.3">
      <c r="B28" s="65"/>
    </row>
    <row r="29" spans="2:2" x14ac:dyDescent="0.3">
      <c r="B29" s="68" t="s">
        <v>9</v>
      </c>
    </row>
    <row r="30" spans="2:2" x14ac:dyDescent="0.3">
      <c r="B30" s="65" t="s">
        <v>207</v>
      </c>
    </row>
    <row r="31" spans="2:2" x14ac:dyDescent="0.3">
      <c r="B31" s="65"/>
    </row>
    <row r="32" spans="2:2" x14ac:dyDescent="0.3">
      <c r="B32" s="68" t="s">
        <v>132</v>
      </c>
    </row>
    <row r="33" spans="2:2" x14ac:dyDescent="0.3">
      <c r="B33" s="65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6" bestFit="1" customWidth="1"/>
    <col min="12" max="14" width="14.109375" style="56" bestFit="1" customWidth="1"/>
    <col min="15" max="16384" width="8.88671875" style="2"/>
  </cols>
  <sheetData>
    <row r="1" spans="2:14" ht="15.6" x14ac:dyDescent="0.3">
      <c r="B1" s="26" t="s">
        <v>209</v>
      </c>
    </row>
    <row r="2" spans="2:14" ht="15.6" x14ac:dyDescent="0.3">
      <c r="B2" s="26" t="s">
        <v>215</v>
      </c>
    </row>
    <row r="4" spans="2:14" ht="12.6" thickBot="1" x14ac:dyDescent="0.3">
      <c r="B4" s="12" t="s">
        <v>138</v>
      </c>
      <c r="C4" s="12" t="s">
        <v>35</v>
      </c>
      <c r="D4" s="12" t="s">
        <v>151</v>
      </c>
      <c r="E4" s="12" t="s">
        <v>152</v>
      </c>
      <c r="F4" s="12" t="s">
        <v>40</v>
      </c>
      <c r="G4" s="28" t="s">
        <v>8</v>
      </c>
      <c r="H4" s="28" t="s">
        <v>7</v>
      </c>
      <c r="I4" s="28" t="s">
        <v>6</v>
      </c>
      <c r="J4" s="47" t="s">
        <v>15</v>
      </c>
      <c r="K4" s="47" t="s">
        <v>16</v>
      </c>
      <c r="L4" s="47" t="s">
        <v>17</v>
      </c>
      <c r="M4" s="47" t="s">
        <v>20</v>
      </c>
      <c r="N4" s="47" t="s">
        <v>21</v>
      </c>
    </row>
    <row r="5" spans="2:14" x14ac:dyDescent="0.2">
      <c r="B5" s="2" t="s">
        <v>136</v>
      </c>
      <c r="C5" s="33" t="s">
        <v>32</v>
      </c>
      <c r="D5" s="33" t="s">
        <v>37</v>
      </c>
      <c r="E5" s="33" t="s">
        <v>24</v>
      </c>
      <c r="F5" s="33" t="s">
        <v>80</v>
      </c>
      <c r="G5" s="14">
        <v>7545.0167999999994</v>
      </c>
      <c r="H5" s="34">
        <v>8383.351999999999</v>
      </c>
      <c r="I5" s="34">
        <v>8724.9929999999986</v>
      </c>
      <c r="J5" s="70">
        <f>I5*1.07</f>
        <v>9335.7425099999982</v>
      </c>
      <c r="K5" s="70">
        <f t="shared" ref="K5:N5" si="0">J5*1.07</f>
        <v>9989.2444856999991</v>
      </c>
      <c r="L5" s="70">
        <f t="shared" si="0"/>
        <v>10688.491599699</v>
      </c>
      <c r="M5" s="70">
        <f t="shared" si="0"/>
        <v>11436.686011677932</v>
      </c>
      <c r="N5" s="70">
        <f t="shared" si="0"/>
        <v>12237.254032495388</v>
      </c>
    </row>
    <row r="6" spans="2:14" x14ac:dyDescent="0.2">
      <c r="B6" s="2" t="s">
        <v>136</v>
      </c>
      <c r="C6" s="33" t="s">
        <v>131</v>
      </c>
      <c r="D6" s="33" t="s">
        <v>37</v>
      </c>
      <c r="E6" s="33" t="s">
        <v>22</v>
      </c>
      <c r="F6" s="33" t="s">
        <v>84</v>
      </c>
      <c r="G6" s="14">
        <v>3806.7624000000001</v>
      </c>
      <c r="H6" s="34">
        <v>4229.7359999999999</v>
      </c>
      <c r="I6" s="34">
        <v>4229.7359999999999</v>
      </c>
      <c r="J6" s="70">
        <f t="shared" ref="J6:N6" si="1">I6*1.07</f>
        <v>4525.8175200000005</v>
      </c>
      <c r="K6" s="70">
        <f t="shared" si="1"/>
        <v>4842.6247464000007</v>
      </c>
      <c r="L6" s="70">
        <f t="shared" si="1"/>
        <v>5181.6084786480014</v>
      </c>
      <c r="M6" s="70">
        <f t="shared" si="1"/>
        <v>5544.3210721533615</v>
      </c>
      <c r="N6" s="70">
        <f t="shared" si="1"/>
        <v>5932.4235472040973</v>
      </c>
    </row>
    <row r="7" spans="2:14" x14ac:dyDescent="0.2">
      <c r="B7" s="2" t="s">
        <v>134</v>
      </c>
      <c r="C7" s="33" t="s">
        <v>32</v>
      </c>
      <c r="D7" s="33" t="s">
        <v>36</v>
      </c>
      <c r="E7" s="33" t="s">
        <v>12</v>
      </c>
      <c r="F7" s="33" t="s">
        <v>108</v>
      </c>
      <c r="G7" s="14">
        <v>41484.307500000003</v>
      </c>
      <c r="H7" s="35">
        <v>46093.675000000003</v>
      </c>
      <c r="I7" s="36">
        <v>48737.83</v>
      </c>
      <c r="J7" s="45">
        <f>I7*1.1</f>
        <v>53611.613000000005</v>
      </c>
      <c r="K7" s="45">
        <f t="shared" ref="K7:N7" si="2">J7*1.1</f>
        <v>58972.774300000012</v>
      </c>
      <c r="L7" s="45">
        <f t="shared" si="2"/>
        <v>64870.051730000021</v>
      </c>
      <c r="M7" s="45">
        <f t="shared" si="2"/>
        <v>71357.056903000033</v>
      </c>
      <c r="N7" s="45">
        <f t="shared" si="2"/>
        <v>78492.762593300038</v>
      </c>
    </row>
    <row r="8" spans="2:14" x14ac:dyDescent="0.2">
      <c r="B8" s="2" t="s">
        <v>136</v>
      </c>
      <c r="C8" s="33" t="s">
        <v>131</v>
      </c>
      <c r="D8" s="33" t="s">
        <v>37</v>
      </c>
      <c r="E8" s="33" t="s">
        <v>22</v>
      </c>
      <c r="F8" s="33" t="s">
        <v>85</v>
      </c>
      <c r="G8" s="14">
        <v>2738.6581500000002</v>
      </c>
      <c r="H8" s="34">
        <v>3042.9535000000001</v>
      </c>
      <c r="I8" s="34">
        <v>3484</v>
      </c>
      <c r="J8" s="70">
        <f t="shared" ref="J8:N8" si="3">I8*1.07</f>
        <v>3727.88</v>
      </c>
      <c r="K8" s="70">
        <f t="shared" si="3"/>
        <v>3988.8316000000004</v>
      </c>
      <c r="L8" s="70">
        <f t="shared" si="3"/>
        <v>4268.0498120000011</v>
      </c>
      <c r="M8" s="70">
        <f t="shared" si="3"/>
        <v>4566.8132988400012</v>
      </c>
      <c r="N8" s="70">
        <f t="shared" si="3"/>
        <v>4886.4902297588014</v>
      </c>
    </row>
    <row r="9" spans="2:14" x14ac:dyDescent="0.2">
      <c r="B9" s="2" t="s">
        <v>136</v>
      </c>
      <c r="C9" s="33" t="s">
        <v>131</v>
      </c>
      <c r="D9" s="33" t="s">
        <v>37</v>
      </c>
      <c r="E9" s="33" t="s">
        <v>22</v>
      </c>
      <c r="F9" s="33" t="s">
        <v>69</v>
      </c>
      <c r="G9" s="14">
        <v>2613.35115</v>
      </c>
      <c r="H9" s="34">
        <v>2903.7235000000001</v>
      </c>
      <c r="I9" s="34">
        <v>3100</v>
      </c>
      <c r="J9" s="70">
        <f t="shared" ref="J9:N9" si="4">I9*1.07</f>
        <v>3317</v>
      </c>
      <c r="K9" s="70">
        <f t="shared" si="4"/>
        <v>3549.19</v>
      </c>
      <c r="L9" s="70">
        <f t="shared" si="4"/>
        <v>3797.6333000000004</v>
      </c>
      <c r="M9" s="70">
        <f t="shared" si="4"/>
        <v>4063.4676310000009</v>
      </c>
      <c r="N9" s="70">
        <f t="shared" si="4"/>
        <v>4347.9103651700016</v>
      </c>
    </row>
    <row r="10" spans="2:14" x14ac:dyDescent="0.2">
      <c r="B10" s="2" t="s">
        <v>134</v>
      </c>
      <c r="C10" s="33" t="s">
        <v>131</v>
      </c>
      <c r="D10" s="2" t="s">
        <v>36</v>
      </c>
      <c r="E10" s="33" t="s">
        <v>22</v>
      </c>
      <c r="F10" s="33" t="s">
        <v>122</v>
      </c>
      <c r="G10" s="14">
        <v>29987.743499999997</v>
      </c>
      <c r="H10" s="35">
        <v>33319.714999999997</v>
      </c>
      <c r="I10" s="36">
        <v>35953.15</v>
      </c>
      <c r="J10" s="45">
        <f t="shared" ref="J10:N10" si="5">I10*1.1</f>
        <v>39548.465000000004</v>
      </c>
      <c r="K10" s="45">
        <f t="shared" si="5"/>
        <v>43503.311500000011</v>
      </c>
      <c r="L10" s="45">
        <f t="shared" si="5"/>
        <v>47853.642650000016</v>
      </c>
      <c r="M10" s="45">
        <f t="shared" si="5"/>
        <v>52639.00691500002</v>
      </c>
      <c r="N10" s="45">
        <f t="shared" si="5"/>
        <v>57902.907606500026</v>
      </c>
    </row>
    <row r="11" spans="2:14" x14ac:dyDescent="0.2">
      <c r="B11" s="2" t="s">
        <v>136</v>
      </c>
      <c r="C11" s="33" t="s">
        <v>33</v>
      </c>
      <c r="D11" s="33" t="s">
        <v>37</v>
      </c>
      <c r="E11" s="33" t="s">
        <v>22</v>
      </c>
      <c r="F11" s="33" t="s">
        <v>87</v>
      </c>
      <c r="G11" s="14">
        <v>1973.8071000000002</v>
      </c>
      <c r="H11" s="34">
        <v>2193.1190000000001</v>
      </c>
      <c r="I11" s="34">
        <v>2193.1190000000001</v>
      </c>
      <c r="J11" s="70">
        <f t="shared" ref="J11:N11" si="6">I11*1.07</f>
        <v>2346.6373300000005</v>
      </c>
      <c r="K11" s="70">
        <f t="shared" si="6"/>
        <v>2510.9019431000006</v>
      </c>
      <c r="L11" s="70">
        <f t="shared" si="6"/>
        <v>2686.6650791170009</v>
      </c>
      <c r="M11" s="70">
        <f t="shared" si="6"/>
        <v>2874.7316346551911</v>
      </c>
      <c r="N11" s="70">
        <f t="shared" si="6"/>
        <v>3075.9628490810546</v>
      </c>
    </row>
    <row r="12" spans="2:14" x14ac:dyDescent="0.2">
      <c r="B12" s="2" t="s">
        <v>136</v>
      </c>
      <c r="C12" s="33" t="s">
        <v>131</v>
      </c>
      <c r="D12" s="33" t="s">
        <v>37</v>
      </c>
      <c r="E12" s="33" t="s">
        <v>22</v>
      </c>
      <c r="F12" s="33" t="s">
        <v>86</v>
      </c>
      <c r="G12" s="14">
        <v>1972.4975999999999</v>
      </c>
      <c r="H12" s="34">
        <v>2191.6639999999998</v>
      </c>
      <c r="I12" s="34">
        <v>2191.6639999999998</v>
      </c>
      <c r="J12" s="70">
        <f t="shared" ref="J12:N12" si="7">I12*1.07</f>
        <v>2345.0804800000001</v>
      </c>
      <c r="K12" s="70">
        <f t="shared" si="7"/>
        <v>2509.2361136000004</v>
      </c>
      <c r="L12" s="70">
        <f t="shared" si="7"/>
        <v>2684.8826415520007</v>
      </c>
      <c r="M12" s="70">
        <f t="shared" si="7"/>
        <v>2872.824426460641</v>
      </c>
      <c r="N12" s="70">
        <f t="shared" si="7"/>
        <v>3073.9221363128859</v>
      </c>
    </row>
    <row r="13" spans="2:14" x14ac:dyDescent="0.2">
      <c r="B13" s="2" t="s">
        <v>136</v>
      </c>
      <c r="C13" s="33" t="s">
        <v>33</v>
      </c>
      <c r="D13" s="33" t="s">
        <v>37</v>
      </c>
      <c r="E13" s="33" t="s">
        <v>22</v>
      </c>
      <c r="F13" s="33" t="s">
        <v>74</v>
      </c>
      <c r="G13" s="14">
        <v>1936.6735499999998</v>
      </c>
      <c r="H13" s="34">
        <v>2151.8594999999996</v>
      </c>
      <c r="I13" s="34">
        <v>2151.8594999999996</v>
      </c>
      <c r="J13" s="70">
        <f t="shared" ref="J13:N14" si="8">I13*1.07</f>
        <v>2302.4896649999996</v>
      </c>
      <c r="K13" s="70">
        <f t="shared" si="8"/>
        <v>2463.6639415499999</v>
      </c>
      <c r="L13" s="70">
        <f t="shared" si="8"/>
        <v>2636.1204174585</v>
      </c>
      <c r="M13" s="70">
        <f t="shared" si="8"/>
        <v>2820.6488466805954</v>
      </c>
      <c r="N13" s="70">
        <f t="shared" si="8"/>
        <v>3018.0942659482371</v>
      </c>
    </row>
    <row r="14" spans="2:14" x14ac:dyDescent="0.2">
      <c r="B14" s="2" t="s">
        <v>137</v>
      </c>
      <c r="C14" s="33" t="s">
        <v>32</v>
      </c>
      <c r="D14" s="33" t="s">
        <v>38</v>
      </c>
      <c r="E14" s="33" t="s">
        <v>22</v>
      </c>
      <c r="F14" s="33" t="s">
        <v>63</v>
      </c>
      <c r="G14" s="14">
        <v>6591.6371250000002</v>
      </c>
      <c r="H14" s="34">
        <v>7324.0412500000002</v>
      </c>
      <c r="I14" s="34">
        <v>8102.5812500000002</v>
      </c>
      <c r="J14" s="70">
        <f>I14*1.1</f>
        <v>8912.8393750000014</v>
      </c>
      <c r="K14" s="70">
        <f t="shared" si="8"/>
        <v>9536.738131250002</v>
      </c>
      <c r="L14" s="70">
        <f>K14</f>
        <v>9536.738131250002</v>
      </c>
      <c r="M14" s="70">
        <f>L14</f>
        <v>9536.738131250002</v>
      </c>
      <c r="N14" s="70">
        <f>M14</f>
        <v>9536.738131250002</v>
      </c>
    </row>
    <row r="15" spans="2:14" x14ac:dyDescent="0.2">
      <c r="B15" s="2" t="s">
        <v>136</v>
      </c>
      <c r="C15" s="33" t="s">
        <v>33</v>
      </c>
      <c r="D15" s="33" t="s">
        <v>37</v>
      </c>
      <c r="E15" s="33" t="s">
        <v>22</v>
      </c>
      <c r="F15" s="33" t="s">
        <v>72</v>
      </c>
      <c r="G15" s="14">
        <v>1886.5183500000001</v>
      </c>
      <c r="H15" s="34">
        <v>2096.1315</v>
      </c>
      <c r="I15" s="34">
        <v>2911.8049999999994</v>
      </c>
      <c r="J15" s="70">
        <f t="shared" ref="J15:N15" si="9">I15*1.07</f>
        <v>3115.6313499999997</v>
      </c>
      <c r="K15" s="70">
        <f t="shared" si="9"/>
        <v>3333.7255444999996</v>
      </c>
      <c r="L15" s="70">
        <f t="shared" si="9"/>
        <v>3567.0863326149997</v>
      </c>
      <c r="M15" s="70">
        <f t="shared" si="9"/>
        <v>3816.7823758980498</v>
      </c>
      <c r="N15" s="70">
        <f t="shared" si="9"/>
        <v>4083.9571422109134</v>
      </c>
    </row>
    <row r="16" spans="2:14" x14ac:dyDescent="0.2">
      <c r="B16" s="2" t="s">
        <v>134</v>
      </c>
      <c r="C16" s="33" t="s">
        <v>34</v>
      </c>
      <c r="D16" s="2" t="s">
        <v>36</v>
      </c>
      <c r="E16" s="33" t="s">
        <v>22</v>
      </c>
      <c r="F16" s="33" t="s">
        <v>126</v>
      </c>
      <c r="G16" s="14">
        <v>18022.824000000001</v>
      </c>
      <c r="H16" s="35">
        <v>20025.36</v>
      </c>
      <c r="I16" s="36">
        <v>20122.294999999998</v>
      </c>
      <c r="J16" s="45">
        <f>I16*1.05</f>
        <v>21128.409749999999</v>
      </c>
      <c r="K16" s="45">
        <f t="shared" ref="K16:N16" si="10">J16*1.05</f>
        <v>22184.830237499998</v>
      </c>
      <c r="L16" s="45">
        <f t="shared" si="10"/>
        <v>23294.071749374998</v>
      </c>
      <c r="M16" s="45">
        <f t="shared" si="10"/>
        <v>24458.775336843748</v>
      </c>
      <c r="N16" s="45">
        <f t="shared" si="10"/>
        <v>25681.714103685936</v>
      </c>
    </row>
    <row r="17" spans="2:14" x14ac:dyDescent="0.2">
      <c r="B17" s="2" t="s">
        <v>136</v>
      </c>
      <c r="C17" s="33" t="s">
        <v>33</v>
      </c>
      <c r="D17" s="33" t="s">
        <v>37</v>
      </c>
      <c r="E17" s="33" t="s">
        <v>22</v>
      </c>
      <c r="F17" s="33" t="s">
        <v>89</v>
      </c>
      <c r="G17" s="14">
        <v>1725.47685</v>
      </c>
      <c r="H17" s="34">
        <v>1917.1965</v>
      </c>
      <c r="I17" s="34">
        <v>2136</v>
      </c>
      <c r="J17" s="70">
        <f t="shared" ref="J17:N18" si="11">I17*1.07</f>
        <v>2285.52</v>
      </c>
      <c r="K17" s="70">
        <f t="shared" si="11"/>
        <v>2445.5064000000002</v>
      </c>
      <c r="L17" s="70">
        <f t="shared" si="11"/>
        <v>2616.6918480000004</v>
      </c>
      <c r="M17" s="70">
        <f t="shared" si="11"/>
        <v>2799.8602773600005</v>
      </c>
      <c r="N17" s="70">
        <f t="shared" si="11"/>
        <v>2995.8504967752006</v>
      </c>
    </row>
    <row r="18" spans="2:14" x14ac:dyDescent="0.2">
      <c r="B18" s="2" t="s">
        <v>137</v>
      </c>
      <c r="C18" s="33" t="s">
        <v>131</v>
      </c>
      <c r="D18" s="33" t="s">
        <v>38</v>
      </c>
      <c r="E18" s="33" t="s">
        <v>22</v>
      </c>
      <c r="F18" s="33" t="s">
        <v>64</v>
      </c>
      <c r="G18" s="14">
        <v>6098.0625</v>
      </c>
      <c r="H18" s="34">
        <v>6775.625</v>
      </c>
      <c r="I18" s="34">
        <v>7706.25</v>
      </c>
      <c r="J18" s="70">
        <f>I18*1.1</f>
        <v>8476.875</v>
      </c>
      <c r="K18" s="70">
        <f t="shared" si="11"/>
        <v>9070.2562500000004</v>
      </c>
      <c r="L18" s="70">
        <f>K18</f>
        <v>9070.2562500000004</v>
      </c>
      <c r="M18" s="70">
        <f>L18</f>
        <v>9070.2562500000004</v>
      </c>
      <c r="N18" s="70">
        <f>M18</f>
        <v>9070.2562500000004</v>
      </c>
    </row>
    <row r="19" spans="2:14" x14ac:dyDescent="0.2">
      <c r="B19" s="2" t="s">
        <v>136</v>
      </c>
      <c r="C19" s="33" t="s">
        <v>33</v>
      </c>
      <c r="D19" s="33" t="s">
        <v>37</v>
      </c>
      <c r="E19" s="33" t="s">
        <v>12</v>
      </c>
      <c r="F19" s="33" t="s">
        <v>75</v>
      </c>
      <c r="G19" s="14">
        <v>1714.0887</v>
      </c>
      <c r="H19" s="34">
        <v>1904.5429999999999</v>
      </c>
      <c r="I19" s="34">
        <v>1904.5429999999999</v>
      </c>
      <c r="J19" s="70">
        <f t="shared" ref="J19:N19" si="12">I19*1.07</f>
        <v>2037.8610100000001</v>
      </c>
      <c r="K19" s="70">
        <f t="shared" si="12"/>
        <v>2180.5112807</v>
      </c>
      <c r="L19" s="70">
        <f t="shared" si="12"/>
        <v>2333.1470703490004</v>
      </c>
      <c r="M19" s="70">
        <f t="shared" si="12"/>
        <v>2496.4673652734305</v>
      </c>
      <c r="N19" s="70">
        <f t="shared" si="12"/>
        <v>2671.220080842571</v>
      </c>
    </row>
    <row r="20" spans="2:14" x14ac:dyDescent="0.2">
      <c r="B20" s="2" t="s">
        <v>137</v>
      </c>
      <c r="C20" s="33" t="s">
        <v>32</v>
      </c>
      <c r="D20" s="33" t="s">
        <v>39</v>
      </c>
      <c r="E20" s="33" t="s">
        <v>23</v>
      </c>
      <c r="F20" s="33" t="s">
        <v>91</v>
      </c>
      <c r="G20" s="14">
        <v>4264.8547500000013</v>
      </c>
      <c r="H20" s="34">
        <v>4738.7275000000009</v>
      </c>
      <c r="I20" s="34">
        <v>4738.7275000000009</v>
      </c>
      <c r="J20" s="71">
        <f>I20</f>
        <v>4738.7275000000009</v>
      </c>
      <c r="K20" s="71">
        <f t="shared" ref="K20:N20" si="13">J20</f>
        <v>4738.7275000000009</v>
      </c>
      <c r="L20" s="71">
        <f t="shared" si="13"/>
        <v>4738.7275000000009</v>
      </c>
      <c r="M20" s="71">
        <f t="shared" si="13"/>
        <v>4738.7275000000009</v>
      </c>
      <c r="N20" s="71">
        <f t="shared" si="13"/>
        <v>4738.7275000000009</v>
      </c>
    </row>
    <row r="21" spans="2:14" x14ac:dyDescent="0.2">
      <c r="B21" s="2" t="s">
        <v>136</v>
      </c>
      <c r="C21" s="33" t="s">
        <v>33</v>
      </c>
      <c r="D21" s="33" t="s">
        <v>37</v>
      </c>
      <c r="E21" s="33" t="s">
        <v>12</v>
      </c>
      <c r="F21" s="33" t="s">
        <v>88</v>
      </c>
      <c r="G21" s="14">
        <v>1693.7788499999999</v>
      </c>
      <c r="H21" s="34">
        <v>1881.9765</v>
      </c>
      <c r="I21" s="34">
        <v>2221</v>
      </c>
      <c r="J21" s="70">
        <f t="shared" ref="J21:N21" si="14">I21*1.07</f>
        <v>2376.4700000000003</v>
      </c>
      <c r="K21" s="70">
        <f t="shared" si="14"/>
        <v>2542.8229000000006</v>
      </c>
      <c r="L21" s="70">
        <f t="shared" si="14"/>
        <v>2720.8205030000008</v>
      </c>
      <c r="M21" s="70">
        <f t="shared" si="14"/>
        <v>2911.2779382100011</v>
      </c>
      <c r="N21" s="70">
        <f t="shared" si="14"/>
        <v>3115.0673938847012</v>
      </c>
    </row>
    <row r="22" spans="2:14" x14ac:dyDescent="0.2">
      <c r="B22" s="2" t="s">
        <v>136</v>
      </c>
      <c r="C22" s="33" t="s">
        <v>33</v>
      </c>
      <c r="D22" s="33" t="s">
        <v>37</v>
      </c>
      <c r="E22" s="33" t="s">
        <v>12</v>
      </c>
      <c r="F22" s="33" t="s">
        <v>73</v>
      </c>
      <c r="G22" s="14">
        <v>1664.6242499999998</v>
      </c>
      <c r="H22" s="34">
        <v>1849.5824999999998</v>
      </c>
      <c r="I22" s="34">
        <v>2520.3130000000001</v>
      </c>
      <c r="J22" s="70">
        <f t="shared" ref="J22:N22" si="15">I22*1.07</f>
        <v>2696.7349100000001</v>
      </c>
      <c r="K22" s="70">
        <f t="shared" si="15"/>
        <v>2885.5063537000001</v>
      </c>
      <c r="L22" s="70">
        <f t="shared" si="15"/>
        <v>3087.4917984590002</v>
      </c>
      <c r="M22" s="70">
        <f t="shared" si="15"/>
        <v>3303.6162243511303</v>
      </c>
      <c r="N22" s="70">
        <f t="shared" si="15"/>
        <v>3534.8693600557094</v>
      </c>
    </row>
    <row r="23" spans="2:14" x14ac:dyDescent="0.2">
      <c r="B23" s="2" t="s">
        <v>137</v>
      </c>
      <c r="C23" s="33" t="s">
        <v>131</v>
      </c>
      <c r="D23" s="33" t="s">
        <v>39</v>
      </c>
      <c r="E23" s="33" t="s">
        <v>12</v>
      </c>
      <c r="F23" s="33" t="s">
        <v>92</v>
      </c>
      <c r="G23" s="14">
        <v>4068.8966250000012</v>
      </c>
      <c r="H23" s="34">
        <v>4520.9962500000011</v>
      </c>
      <c r="I23" s="34">
        <v>4520.9962500000011</v>
      </c>
      <c r="J23" s="71">
        <f t="shared" ref="J23:N23" si="16">I23</f>
        <v>4520.9962500000011</v>
      </c>
      <c r="K23" s="71">
        <f t="shared" si="16"/>
        <v>4520.9962500000011</v>
      </c>
      <c r="L23" s="71">
        <f t="shared" si="16"/>
        <v>4520.9962500000011</v>
      </c>
      <c r="M23" s="71">
        <f t="shared" si="16"/>
        <v>4520.9962500000011</v>
      </c>
      <c r="N23" s="71">
        <f t="shared" si="16"/>
        <v>4520.9962500000011</v>
      </c>
    </row>
    <row r="24" spans="2:14" x14ac:dyDescent="0.2">
      <c r="B24" s="2" t="s">
        <v>137</v>
      </c>
      <c r="C24" s="33" t="s">
        <v>131</v>
      </c>
      <c r="D24" s="33" t="s">
        <v>38</v>
      </c>
      <c r="E24" s="33" t="s">
        <v>12</v>
      </c>
      <c r="F24" s="33" t="s">
        <v>65</v>
      </c>
      <c r="G24" s="14">
        <v>5628.4953750000004</v>
      </c>
      <c r="H24" s="34">
        <v>6253.88375</v>
      </c>
      <c r="I24" s="34">
        <v>6499.2887499999997</v>
      </c>
      <c r="J24" s="70">
        <f>I24*1.1</f>
        <v>7149.2176250000002</v>
      </c>
      <c r="K24" s="70">
        <f t="shared" ref="K24" si="17">J24*1.07</f>
        <v>7649.6628587500009</v>
      </c>
      <c r="L24" s="70">
        <f>K24</f>
        <v>7649.6628587500009</v>
      </c>
      <c r="M24" s="70">
        <f>L24</f>
        <v>7649.6628587500009</v>
      </c>
      <c r="N24" s="70">
        <f>M24</f>
        <v>7649.6628587500009</v>
      </c>
    </row>
    <row r="25" spans="2:14" x14ac:dyDescent="0.2">
      <c r="B25" s="2" t="s">
        <v>134</v>
      </c>
      <c r="C25" s="33" t="s">
        <v>131</v>
      </c>
      <c r="D25" s="2" t="s">
        <v>36</v>
      </c>
      <c r="E25" s="33" t="s">
        <v>12</v>
      </c>
      <c r="F25" s="33" t="s">
        <v>125</v>
      </c>
      <c r="G25" s="14">
        <v>32499.017999999996</v>
      </c>
      <c r="H25" s="35">
        <v>36110.019999999997</v>
      </c>
      <c r="I25" s="36">
        <v>37731.175000000003</v>
      </c>
      <c r="J25" s="45">
        <f t="shared" ref="J25:N25" si="18">I25*1.1</f>
        <v>41504.292500000003</v>
      </c>
      <c r="K25" s="45">
        <f t="shared" si="18"/>
        <v>45654.721750000004</v>
      </c>
      <c r="L25" s="45">
        <f t="shared" si="18"/>
        <v>50220.193925000007</v>
      </c>
      <c r="M25" s="45">
        <f t="shared" si="18"/>
        <v>55242.213317500013</v>
      </c>
      <c r="N25" s="45">
        <f t="shared" si="18"/>
        <v>60766.434649250019</v>
      </c>
    </row>
    <row r="26" spans="2:14" x14ac:dyDescent="0.2">
      <c r="B26" s="2" t="s">
        <v>134</v>
      </c>
      <c r="C26" s="33" t="s">
        <v>34</v>
      </c>
      <c r="D26" s="33" t="s">
        <v>36</v>
      </c>
      <c r="E26" s="33" t="s">
        <v>12</v>
      </c>
      <c r="F26" s="33" t="s">
        <v>111</v>
      </c>
      <c r="G26" s="14">
        <v>14182.56</v>
      </c>
      <c r="H26" s="35">
        <v>15758.4</v>
      </c>
      <c r="I26" s="36">
        <v>18070.799999999996</v>
      </c>
      <c r="J26" s="45">
        <f t="shared" ref="J26:N26" si="19">I26*1.05</f>
        <v>18974.339999999997</v>
      </c>
      <c r="K26" s="45">
        <f t="shared" si="19"/>
        <v>19923.056999999997</v>
      </c>
      <c r="L26" s="45">
        <f t="shared" si="19"/>
        <v>20919.209849999999</v>
      </c>
      <c r="M26" s="45">
        <f t="shared" si="19"/>
        <v>21965.170342500001</v>
      </c>
      <c r="N26" s="45">
        <f t="shared" si="19"/>
        <v>23063.428859625001</v>
      </c>
    </row>
    <row r="27" spans="2:14" x14ac:dyDescent="0.2">
      <c r="B27" s="2" t="s">
        <v>137</v>
      </c>
      <c r="C27" s="33" t="s">
        <v>131</v>
      </c>
      <c r="D27" s="33" t="s">
        <v>38</v>
      </c>
      <c r="E27" s="33" t="s">
        <v>12</v>
      </c>
      <c r="F27" s="33" t="s">
        <v>66</v>
      </c>
      <c r="G27" s="14">
        <v>5259.375</v>
      </c>
      <c r="H27" s="34">
        <v>5843.75</v>
      </c>
      <c r="I27" s="34">
        <v>6131.25</v>
      </c>
      <c r="J27" s="70">
        <f>I27*1.1</f>
        <v>6744.3750000000009</v>
      </c>
      <c r="K27" s="70">
        <f t="shared" ref="K27" si="20">J27*1.07</f>
        <v>7216.4812500000016</v>
      </c>
      <c r="L27" s="70">
        <f>K27</f>
        <v>7216.4812500000016</v>
      </c>
      <c r="M27" s="70">
        <f>L27</f>
        <v>7216.4812500000016</v>
      </c>
      <c r="N27" s="70">
        <f>M27</f>
        <v>7216.4812500000016</v>
      </c>
    </row>
    <row r="28" spans="2:14" x14ac:dyDescent="0.2">
      <c r="B28" s="2" t="s">
        <v>134</v>
      </c>
      <c r="C28" s="33" t="s">
        <v>131</v>
      </c>
      <c r="D28" s="2" t="s">
        <v>36</v>
      </c>
      <c r="E28" s="33" t="s">
        <v>12</v>
      </c>
      <c r="F28" s="33" t="s">
        <v>42</v>
      </c>
      <c r="G28" s="14">
        <v>22546.786500000002</v>
      </c>
      <c r="H28" s="35">
        <v>25051.985000000001</v>
      </c>
      <c r="I28" s="36">
        <v>27708.37</v>
      </c>
      <c r="J28" s="45">
        <f t="shared" ref="J28:N28" si="21">I28*1.1</f>
        <v>30479.207000000002</v>
      </c>
      <c r="K28" s="45">
        <f t="shared" si="21"/>
        <v>33527.127700000005</v>
      </c>
      <c r="L28" s="45">
        <f t="shared" si="21"/>
        <v>36879.84047000001</v>
      </c>
      <c r="M28" s="45">
        <f t="shared" si="21"/>
        <v>40567.824517000015</v>
      </c>
      <c r="N28" s="45">
        <f t="shared" si="21"/>
        <v>44624.60696870002</v>
      </c>
    </row>
    <row r="29" spans="2:14" x14ac:dyDescent="0.2">
      <c r="B29" s="2" t="s">
        <v>134</v>
      </c>
      <c r="C29" s="33" t="s">
        <v>34</v>
      </c>
      <c r="D29" s="33" t="s">
        <v>36</v>
      </c>
      <c r="E29" s="33" t="s">
        <v>12</v>
      </c>
      <c r="F29" s="33" t="s">
        <v>109</v>
      </c>
      <c r="G29" s="14">
        <v>13439.943000000001</v>
      </c>
      <c r="H29" s="35">
        <v>14933.27</v>
      </c>
      <c r="I29" s="36">
        <v>19909.219999999998</v>
      </c>
      <c r="J29" s="45">
        <f t="shared" ref="J29:N29" si="22">I29*1.05</f>
        <v>20904.680999999997</v>
      </c>
      <c r="K29" s="45">
        <f t="shared" si="22"/>
        <v>21949.915049999996</v>
      </c>
      <c r="L29" s="45">
        <f t="shared" si="22"/>
        <v>23047.410802499995</v>
      </c>
      <c r="M29" s="45">
        <f t="shared" si="22"/>
        <v>24199.781342624996</v>
      </c>
      <c r="N29" s="45">
        <f t="shared" si="22"/>
        <v>25409.770409756245</v>
      </c>
    </row>
    <row r="30" spans="2:14" x14ac:dyDescent="0.2">
      <c r="B30" s="2" t="s">
        <v>134</v>
      </c>
      <c r="C30" s="33" t="s">
        <v>34</v>
      </c>
      <c r="D30" s="2" t="s">
        <v>36</v>
      </c>
      <c r="E30" s="33" t="s">
        <v>12</v>
      </c>
      <c r="F30" s="33" t="s">
        <v>112</v>
      </c>
      <c r="G30" s="14">
        <v>13260.829500000002</v>
      </c>
      <c r="H30" s="35">
        <v>14734.255000000001</v>
      </c>
      <c r="I30" s="36">
        <v>17524.010000000002</v>
      </c>
      <c r="J30" s="45">
        <f t="shared" ref="J30:N30" si="23">I30*1.05</f>
        <v>18400.210500000005</v>
      </c>
      <c r="K30" s="45">
        <f t="shared" si="23"/>
        <v>19320.221025000006</v>
      </c>
      <c r="L30" s="45">
        <f t="shared" si="23"/>
        <v>20286.232076250006</v>
      </c>
      <c r="M30" s="45">
        <f t="shared" si="23"/>
        <v>21300.543680062507</v>
      </c>
      <c r="N30" s="45">
        <f t="shared" si="23"/>
        <v>22365.570864065634</v>
      </c>
    </row>
    <row r="31" spans="2:14" x14ac:dyDescent="0.2">
      <c r="B31" s="2" t="s">
        <v>137</v>
      </c>
      <c r="C31" s="33" t="s">
        <v>33</v>
      </c>
      <c r="D31" s="33" t="s">
        <v>38</v>
      </c>
      <c r="E31" s="33" t="s">
        <v>12</v>
      </c>
      <c r="F31" s="33" t="s">
        <v>47</v>
      </c>
      <c r="G31" s="14">
        <v>4033.4141250000002</v>
      </c>
      <c r="H31" s="34">
        <v>4481.57125</v>
      </c>
      <c r="I31" s="34">
        <v>5041.6125000000002</v>
      </c>
      <c r="J31" s="70">
        <f>I31*1.1</f>
        <v>5545.7737500000003</v>
      </c>
      <c r="K31" s="70">
        <f t="shared" ref="K31" si="24">J31*1.07</f>
        <v>5933.9779125000005</v>
      </c>
      <c r="L31" s="70">
        <f>K31</f>
        <v>5933.9779125000005</v>
      </c>
      <c r="M31" s="70">
        <f>L31</f>
        <v>5933.9779125000005</v>
      </c>
      <c r="N31" s="70">
        <f>M31</f>
        <v>5933.9779125000005</v>
      </c>
    </row>
    <row r="32" spans="2:14" x14ac:dyDescent="0.2">
      <c r="B32" s="2" t="s">
        <v>134</v>
      </c>
      <c r="C32" s="33" t="s">
        <v>131</v>
      </c>
      <c r="D32" s="33" t="s">
        <v>36</v>
      </c>
      <c r="E32" s="33" t="s">
        <v>12</v>
      </c>
      <c r="F32" s="33" t="s">
        <v>41</v>
      </c>
      <c r="G32" s="14">
        <v>20531.245500000001</v>
      </c>
      <c r="H32" s="35">
        <v>22812.494999999999</v>
      </c>
      <c r="I32" s="36">
        <v>23691.805</v>
      </c>
      <c r="J32" s="45">
        <f t="shared" ref="J32:N32" si="25">I32*1.1</f>
        <v>26060.985500000003</v>
      </c>
      <c r="K32" s="45">
        <f t="shared" si="25"/>
        <v>28667.084050000005</v>
      </c>
      <c r="L32" s="45">
        <f t="shared" si="25"/>
        <v>31533.79245500001</v>
      </c>
      <c r="M32" s="45">
        <f t="shared" si="25"/>
        <v>34687.17170050001</v>
      </c>
      <c r="N32" s="45">
        <f t="shared" si="25"/>
        <v>38155.888870550014</v>
      </c>
    </row>
    <row r="33" spans="2:14" x14ac:dyDescent="0.2">
      <c r="B33" s="2" t="s">
        <v>136</v>
      </c>
      <c r="C33" s="33" t="s">
        <v>33</v>
      </c>
      <c r="D33" s="33" t="s">
        <v>37</v>
      </c>
      <c r="E33" s="33" t="s">
        <v>12</v>
      </c>
      <c r="F33" s="33" t="s">
        <v>76</v>
      </c>
      <c r="G33" s="14">
        <v>1128.1518000000001</v>
      </c>
      <c r="H33" s="34">
        <v>1253.502</v>
      </c>
      <c r="I33" s="34">
        <v>1712</v>
      </c>
      <c r="J33" s="70">
        <f t="shared" ref="J33:N34" si="26">I33*1.07</f>
        <v>1831.8400000000001</v>
      </c>
      <c r="K33" s="70">
        <f t="shared" si="26"/>
        <v>1960.0688000000002</v>
      </c>
      <c r="L33" s="70">
        <f t="shared" si="26"/>
        <v>2097.2736160000004</v>
      </c>
      <c r="M33" s="70">
        <f t="shared" si="26"/>
        <v>2244.0827691200006</v>
      </c>
      <c r="N33" s="70">
        <f t="shared" si="26"/>
        <v>2401.1685629584008</v>
      </c>
    </row>
    <row r="34" spans="2:14" x14ac:dyDescent="0.2">
      <c r="B34" s="2" t="s">
        <v>137</v>
      </c>
      <c r="C34" s="33" t="s">
        <v>33</v>
      </c>
      <c r="D34" s="33" t="s">
        <v>38</v>
      </c>
      <c r="E34" s="33" t="s">
        <v>12</v>
      </c>
      <c r="F34" s="33" t="s">
        <v>48</v>
      </c>
      <c r="G34" s="14">
        <v>3803.64075</v>
      </c>
      <c r="H34" s="34">
        <v>4226.2674999999999</v>
      </c>
      <c r="I34" s="34">
        <v>4457.7487499999997</v>
      </c>
      <c r="J34" s="70">
        <f>I34*1.1</f>
        <v>4903.5236249999998</v>
      </c>
      <c r="K34" s="70">
        <f t="shared" si="26"/>
        <v>5246.7702787500002</v>
      </c>
      <c r="L34" s="70">
        <f>K34</f>
        <v>5246.7702787500002</v>
      </c>
      <c r="M34" s="70">
        <f>L34</f>
        <v>5246.7702787500002</v>
      </c>
      <c r="N34" s="70">
        <f>M34</f>
        <v>5246.7702787500002</v>
      </c>
    </row>
    <row r="35" spans="2:14" x14ac:dyDescent="0.2">
      <c r="B35" s="2" t="s">
        <v>136</v>
      </c>
      <c r="C35" s="33" t="s">
        <v>33</v>
      </c>
      <c r="D35" s="33" t="s">
        <v>37</v>
      </c>
      <c r="E35" s="33" t="s">
        <v>12</v>
      </c>
      <c r="F35" s="33" t="s">
        <v>83</v>
      </c>
      <c r="G35" s="14">
        <v>1079.01675</v>
      </c>
      <c r="H35" s="34">
        <v>1198.9075</v>
      </c>
      <c r="I35" s="34">
        <v>1198.9075</v>
      </c>
      <c r="J35" s="70">
        <f t="shared" ref="J35:N35" si="27">I35*1.07</f>
        <v>1282.8310250000002</v>
      </c>
      <c r="K35" s="70">
        <f t="shared" si="27"/>
        <v>1372.6291967500003</v>
      </c>
      <c r="L35" s="70">
        <f t="shared" si="27"/>
        <v>1468.7132405225004</v>
      </c>
      <c r="M35" s="70">
        <f t="shared" si="27"/>
        <v>1571.5231673590756</v>
      </c>
      <c r="N35" s="70">
        <f t="shared" si="27"/>
        <v>1681.5297890742111</v>
      </c>
    </row>
    <row r="36" spans="2:14" x14ac:dyDescent="0.2">
      <c r="B36" s="2" t="s">
        <v>134</v>
      </c>
      <c r="C36" s="33" t="s">
        <v>34</v>
      </c>
      <c r="D36" s="2" t="s">
        <v>36</v>
      </c>
      <c r="E36" s="33" t="s">
        <v>12</v>
      </c>
      <c r="F36" s="33" t="s">
        <v>113</v>
      </c>
      <c r="G36" s="14">
        <v>10693.242</v>
      </c>
      <c r="H36" s="35">
        <v>11881.38</v>
      </c>
      <c r="I36" s="36">
        <v>17401.11</v>
      </c>
      <c r="J36" s="45">
        <f t="shared" ref="J36:N36" si="28">I36*1.05</f>
        <v>18271.165500000003</v>
      </c>
      <c r="K36" s="45">
        <f t="shared" si="28"/>
        <v>19184.723775000002</v>
      </c>
      <c r="L36" s="45">
        <f t="shared" si="28"/>
        <v>20143.959963750003</v>
      </c>
      <c r="M36" s="45">
        <f t="shared" si="28"/>
        <v>21151.157961937504</v>
      </c>
      <c r="N36" s="45">
        <f t="shared" si="28"/>
        <v>22208.715860034379</v>
      </c>
    </row>
    <row r="37" spans="2:14" x14ac:dyDescent="0.2">
      <c r="B37" s="2" t="s">
        <v>136</v>
      </c>
      <c r="C37" s="33" t="s">
        <v>33</v>
      </c>
      <c r="D37" s="33" t="s">
        <v>37</v>
      </c>
      <c r="E37" s="33" t="s">
        <v>12</v>
      </c>
      <c r="F37" s="33" t="s">
        <v>90</v>
      </c>
      <c r="G37" s="14">
        <v>1056.1167</v>
      </c>
      <c r="H37" s="34">
        <v>1173.463</v>
      </c>
      <c r="I37" s="34">
        <v>1173.463</v>
      </c>
      <c r="J37" s="70">
        <f t="shared" ref="J37:N37" si="29">I37*1.07</f>
        <v>1255.6054100000001</v>
      </c>
      <c r="K37" s="70">
        <f t="shared" si="29"/>
        <v>1343.4977887000002</v>
      </c>
      <c r="L37" s="70">
        <f t="shared" si="29"/>
        <v>1437.5426339090004</v>
      </c>
      <c r="M37" s="70">
        <f t="shared" si="29"/>
        <v>1538.1706182826306</v>
      </c>
      <c r="N37" s="70">
        <f t="shared" si="29"/>
        <v>1645.8425615624149</v>
      </c>
    </row>
    <row r="38" spans="2:14" x14ac:dyDescent="0.2">
      <c r="B38" s="2" t="s">
        <v>134</v>
      </c>
      <c r="C38" s="33" t="s">
        <v>34</v>
      </c>
      <c r="D38" s="2" t="s">
        <v>36</v>
      </c>
      <c r="E38" s="33" t="s">
        <v>12</v>
      </c>
      <c r="F38" s="33" t="s">
        <v>123</v>
      </c>
      <c r="G38" s="14">
        <v>10550.322</v>
      </c>
      <c r="H38" s="35">
        <v>11722.58</v>
      </c>
      <c r="I38" s="35">
        <v>17050.25</v>
      </c>
      <c r="J38" s="45">
        <f t="shared" ref="J38:N38" si="30">I38*1.05</f>
        <v>17902.762500000001</v>
      </c>
      <c r="K38" s="45">
        <f t="shared" si="30"/>
        <v>18797.900625000002</v>
      </c>
      <c r="L38" s="45">
        <f t="shared" si="30"/>
        <v>19737.795656250004</v>
      </c>
      <c r="M38" s="45">
        <f t="shared" si="30"/>
        <v>20724.685439062505</v>
      </c>
      <c r="N38" s="45">
        <f t="shared" si="30"/>
        <v>21760.919711015631</v>
      </c>
    </row>
    <row r="39" spans="2:14" x14ac:dyDescent="0.2">
      <c r="B39" s="2" t="s">
        <v>134</v>
      </c>
      <c r="C39" s="33" t="s">
        <v>34</v>
      </c>
      <c r="D39" s="33" t="s">
        <v>36</v>
      </c>
      <c r="E39" s="33" t="s">
        <v>12</v>
      </c>
      <c r="F39" s="33" t="s">
        <v>110</v>
      </c>
      <c r="G39" s="14">
        <v>10526.228999999999</v>
      </c>
      <c r="H39" s="35">
        <v>11695.81</v>
      </c>
      <c r="I39" s="35">
        <v>16616.14</v>
      </c>
      <c r="J39" s="45">
        <f t="shared" ref="J39:N39" si="31">I39*1.05</f>
        <v>17446.947</v>
      </c>
      <c r="K39" s="45">
        <f t="shared" si="31"/>
        <v>18319.29435</v>
      </c>
      <c r="L39" s="45">
        <f t="shared" si="31"/>
        <v>19235.259067499999</v>
      </c>
      <c r="M39" s="45">
        <f t="shared" si="31"/>
        <v>20197.022020875</v>
      </c>
      <c r="N39" s="45">
        <f t="shared" si="31"/>
        <v>21206.87312191875</v>
      </c>
    </row>
    <row r="40" spans="2:14" x14ac:dyDescent="0.2">
      <c r="B40" s="2" t="s">
        <v>134</v>
      </c>
      <c r="C40" s="33" t="s">
        <v>34</v>
      </c>
      <c r="D40" s="2" t="s">
        <v>36</v>
      </c>
      <c r="E40" s="33" t="s">
        <v>12</v>
      </c>
      <c r="F40" s="33" t="s">
        <v>114</v>
      </c>
      <c r="G40" s="14">
        <v>10363.068000000001</v>
      </c>
      <c r="H40" s="35">
        <v>11514.52</v>
      </c>
      <c r="I40" s="35">
        <v>15764.644999999999</v>
      </c>
      <c r="J40" s="45">
        <f t="shared" ref="J40:N40" si="32">I40*1.05</f>
        <v>16552.877249999998</v>
      </c>
      <c r="K40" s="45">
        <f t="shared" si="32"/>
        <v>17380.521112499999</v>
      </c>
      <c r="L40" s="45">
        <f t="shared" si="32"/>
        <v>18249.547168124998</v>
      </c>
      <c r="M40" s="45">
        <f t="shared" si="32"/>
        <v>19162.024526531248</v>
      </c>
      <c r="N40" s="45">
        <f t="shared" si="32"/>
        <v>20120.12575285781</v>
      </c>
    </row>
    <row r="41" spans="2:14" x14ac:dyDescent="0.2">
      <c r="B41" s="2" t="s">
        <v>137</v>
      </c>
      <c r="C41" s="33" t="s">
        <v>33</v>
      </c>
      <c r="D41" s="33" t="s">
        <v>38</v>
      </c>
      <c r="E41" s="33" t="s">
        <v>12</v>
      </c>
      <c r="F41" s="33" t="s">
        <v>43</v>
      </c>
      <c r="G41" s="14">
        <v>4386.9059999999999</v>
      </c>
      <c r="H41" s="34">
        <v>4874.34</v>
      </c>
      <c r="I41" s="34">
        <v>4984.9212500000003</v>
      </c>
      <c r="J41" s="70">
        <f>I41*1.1</f>
        <v>5483.413375000001</v>
      </c>
      <c r="K41" s="70">
        <f t="shared" ref="K41" si="33">J41*1.07</f>
        <v>5867.2523112500012</v>
      </c>
      <c r="L41" s="70">
        <f>K41</f>
        <v>5867.2523112500012</v>
      </c>
      <c r="M41" s="70">
        <f>L41</f>
        <v>5867.2523112500012</v>
      </c>
      <c r="N41" s="70">
        <f>M41</f>
        <v>5867.2523112500012</v>
      </c>
    </row>
    <row r="42" spans="2:14" x14ac:dyDescent="0.2">
      <c r="B42" s="2" t="s">
        <v>134</v>
      </c>
      <c r="C42" s="33" t="s">
        <v>34</v>
      </c>
      <c r="D42" s="33" t="s">
        <v>36</v>
      </c>
      <c r="E42" s="33" t="s">
        <v>12</v>
      </c>
      <c r="F42" s="33" t="s">
        <v>107</v>
      </c>
      <c r="G42" s="14">
        <v>10314.531000000001</v>
      </c>
      <c r="H42" s="35">
        <v>11460.59</v>
      </c>
      <c r="I42" s="36">
        <v>19496.169999999998</v>
      </c>
      <c r="J42" s="45">
        <f t="shared" ref="J42:N42" si="34">I42*1.05</f>
        <v>20470.978499999997</v>
      </c>
      <c r="K42" s="45">
        <f t="shared" si="34"/>
        <v>21494.527424999997</v>
      </c>
      <c r="L42" s="45">
        <f t="shared" si="34"/>
        <v>22569.253796249999</v>
      </c>
      <c r="M42" s="45">
        <f t="shared" si="34"/>
        <v>23697.716486062502</v>
      </c>
      <c r="N42" s="45">
        <f t="shared" si="34"/>
        <v>24882.602310365626</v>
      </c>
    </row>
    <row r="43" spans="2:14" x14ac:dyDescent="0.2">
      <c r="B43" s="2" t="s">
        <v>136</v>
      </c>
      <c r="C43" s="33" t="s">
        <v>33</v>
      </c>
      <c r="D43" s="33" t="s">
        <v>37</v>
      </c>
      <c r="E43" s="33" t="s">
        <v>25</v>
      </c>
      <c r="F43" s="33" t="s">
        <v>81</v>
      </c>
      <c r="G43" s="14">
        <v>1031.2501500000001</v>
      </c>
      <c r="H43" s="34">
        <v>1145.8335</v>
      </c>
      <c r="I43" s="34">
        <v>1672.0355000000004</v>
      </c>
      <c r="J43" s="70"/>
      <c r="K43" s="70"/>
      <c r="L43" s="70"/>
      <c r="M43" s="70"/>
      <c r="N43" s="70"/>
    </row>
    <row r="44" spans="2:14" x14ac:dyDescent="0.2">
      <c r="B44" s="2" t="s">
        <v>137</v>
      </c>
      <c r="C44" s="33" t="s">
        <v>33</v>
      </c>
      <c r="D44" s="33" t="s">
        <v>39</v>
      </c>
      <c r="E44" s="33" t="s">
        <v>25</v>
      </c>
      <c r="F44" s="33" t="s">
        <v>100</v>
      </c>
      <c r="G44" s="14">
        <v>2570.0658749999998</v>
      </c>
      <c r="H44" s="34">
        <v>2855.6287499999999</v>
      </c>
      <c r="I44" s="34">
        <v>3540.6412499999997</v>
      </c>
      <c r="J44" s="71"/>
      <c r="K44" s="71"/>
      <c r="L44" s="71"/>
      <c r="M44" s="71"/>
      <c r="N44" s="71"/>
    </row>
    <row r="45" spans="2:14" x14ac:dyDescent="0.2">
      <c r="B45" s="2" t="s">
        <v>137</v>
      </c>
      <c r="C45" s="33" t="s">
        <v>33</v>
      </c>
      <c r="D45" s="33" t="s">
        <v>39</v>
      </c>
      <c r="E45" s="33" t="s">
        <v>25</v>
      </c>
      <c r="F45" s="33" t="s">
        <v>95</v>
      </c>
      <c r="G45" s="14">
        <v>3462.325875</v>
      </c>
      <c r="H45" s="34">
        <v>3847.0287499999999</v>
      </c>
      <c r="I45" s="34">
        <v>4238.2837499999996</v>
      </c>
      <c r="J45" s="71"/>
      <c r="K45" s="71"/>
      <c r="L45" s="71"/>
      <c r="M45" s="71"/>
      <c r="N45" s="71"/>
    </row>
    <row r="46" spans="2:14" x14ac:dyDescent="0.2">
      <c r="B46" s="2" t="s">
        <v>137</v>
      </c>
      <c r="C46" s="33" t="s">
        <v>33</v>
      </c>
      <c r="D46" s="33" t="s">
        <v>39</v>
      </c>
      <c r="E46" s="33" t="s">
        <v>25</v>
      </c>
      <c r="F46" s="33" t="s">
        <v>99</v>
      </c>
      <c r="G46" s="14">
        <v>2560.0477500000002</v>
      </c>
      <c r="H46" s="34">
        <v>2844.4974999999999</v>
      </c>
      <c r="I46" s="34">
        <v>3669.95</v>
      </c>
      <c r="J46" s="71"/>
      <c r="K46" s="71"/>
      <c r="L46" s="71"/>
      <c r="M46" s="71"/>
      <c r="N46" s="71"/>
    </row>
    <row r="47" spans="2:14" x14ac:dyDescent="0.2">
      <c r="B47" s="2" t="s">
        <v>136</v>
      </c>
      <c r="C47" s="33" t="s">
        <v>32</v>
      </c>
      <c r="D47" s="33" t="s">
        <v>37</v>
      </c>
      <c r="E47" s="33" t="s">
        <v>25</v>
      </c>
      <c r="F47" s="33" t="s">
        <v>77</v>
      </c>
      <c r="G47" s="14">
        <v>1016.2457999999998</v>
      </c>
      <c r="H47" s="34">
        <v>1129.1619999999998</v>
      </c>
      <c r="I47" s="34">
        <v>1129.1619999999998</v>
      </c>
      <c r="J47" s="70"/>
      <c r="K47" s="70"/>
      <c r="L47" s="70"/>
      <c r="M47" s="70"/>
      <c r="N47" s="70"/>
    </row>
    <row r="48" spans="2:14" x14ac:dyDescent="0.2">
      <c r="B48" s="2" t="s">
        <v>137</v>
      </c>
      <c r="C48" s="33" t="s">
        <v>131</v>
      </c>
      <c r="D48" s="33" t="s">
        <v>39</v>
      </c>
      <c r="E48" s="33" t="s">
        <v>25</v>
      </c>
      <c r="F48" s="33" t="s">
        <v>93</v>
      </c>
      <c r="G48" s="14">
        <v>3437.41725</v>
      </c>
      <c r="H48" s="34">
        <v>3819.3525</v>
      </c>
      <c r="I48" s="34">
        <v>4471.92</v>
      </c>
      <c r="J48" s="71"/>
      <c r="K48" s="71"/>
      <c r="L48" s="71"/>
      <c r="M48" s="71"/>
      <c r="N48" s="71"/>
    </row>
    <row r="49" spans="2:14" x14ac:dyDescent="0.2">
      <c r="B49" s="2" t="s">
        <v>137</v>
      </c>
      <c r="C49" s="33" t="s">
        <v>33</v>
      </c>
      <c r="D49" s="33" t="s">
        <v>38</v>
      </c>
      <c r="E49" s="33" t="s">
        <v>25</v>
      </c>
      <c r="F49" s="33" t="s">
        <v>50</v>
      </c>
      <c r="G49" s="14">
        <v>3425.8185000000003</v>
      </c>
      <c r="H49" s="34">
        <v>3806.4650000000001</v>
      </c>
      <c r="I49" s="34">
        <v>3916.3337499999998</v>
      </c>
      <c r="J49" s="70"/>
      <c r="K49" s="70"/>
      <c r="L49" s="70"/>
      <c r="M49" s="70"/>
      <c r="N49" s="70"/>
    </row>
    <row r="50" spans="2:14" x14ac:dyDescent="0.2">
      <c r="B50" s="2" t="s">
        <v>134</v>
      </c>
      <c r="C50" s="33" t="s">
        <v>34</v>
      </c>
      <c r="D50" s="2" t="s">
        <v>36</v>
      </c>
      <c r="E50" s="33" t="s">
        <v>25</v>
      </c>
      <c r="F50" s="33" t="s">
        <v>128</v>
      </c>
      <c r="G50" s="14">
        <v>10026.994500000001</v>
      </c>
      <c r="H50" s="35">
        <v>11141.105</v>
      </c>
      <c r="I50" s="35">
        <v>11572.655000000002</v>
      </c>
      <c r="J50" s="45"/>
      <c r="K50" s="45"/>
      <c r="L50" s="45"/>
      <c r="M50" s="45"/>
      <c r="N50" s="45"/>
    </row>
    <row r="51" spans="2:14" x14ac:dyDescent="0.2">
      <c r="B51" s="2" t="s">
        <v>134</v>
      </c>
      <c r="C51" s="33" t="s">
        <v>34</v>
      </c>
      <c r="D51" s="2" t="s">
        <v>36</v>
      </c>
      <c r="E51" s="33" t="s">
        <v>25</v>
      </c>
      <c r="F51" s="33" t="s">
        <v>117</v>
      </c>
      <c r="G51" s="14">
        <v>9969.2145</v>
      </c>
      <c r="H51" s="35">
        <v>11076.905000000001</v>
      </c>
      <c r="I51" s="35">
        <v>13589.950000000003</v>
      </c>
      <c r="J51" s="45"/>
      <c r="K51" s="45"/>
      <c r="L51" s="45"/>
      <c r="M51" s="45"/>
      <c r="N51" s="45"/>
    </row>
    <row r="52" spans="2:14" x14ac:dyDescent="0.2">
      <c r="B52" s="2" t="s">
        <v>137</v>
      </c>
      <c r="C52" s="33" t="s">
        <v>33</v>
      </c>
      <c r="D52" s="33" t="s">
        <v>39</v>
      </c>
      <c r="E52" s="33" t="s">
        <v>25</v>
      </c>
      <c r="F52" s="33" t="s">
        <v>98</v>
      </c>
      <c r="G52" s="14">
        <v>3376.0158750000001</v>
      </c>
      <c r="H52" s="34">
        <v>3751.1287499999999</v>
      </c>
      <c r="I52" s="34">
        <v>3751.1287499999999</v>
      </c>
      <c r="J52" s="71"/>
      <c r="K52" s="71"/>
      <c r="L52" s="71"/>
      <c r="M52" s="71"/>
      <c r="N52" s="71"/>
    </row>
    <row r="53" spans="2:14" x14ac:dyDescent="0.2">
      <c r="B53" s="2" t="s">
        <v>137</v>
      </c>
      <c r="C53" s="33" t="s">
        <v>33</v>
      </c>
      <c r="D53" s="33" t="s">
        <v>38</v>
      </c>
      <c r="E53" s="33" t="s">
        <v>25</v>
      </c>
      <c r="F53" s="33" t="s">
        <v>51</v>
      </c>
      <c r="G53" s="14">
        <v>3371.65425</v>
      </c>
      <c r="H53" s="34">
        <v>3746.2824999999998</v>
      </c>
      <c r="I53" s="34">
        <v>3746.2824999999998</v>
      </c>
      <c r="J53" s="70"/>
      <c r="K53" s="70"/>
      <c r="L53" s="70"/>
      <c r="M53" s="70"/>
      <c r="N53" s="70"/>
    </row>
    <row r="54" spans="2:14" x14ac:dyDescent="0.2">
      <c r="B54" s="2" t="s">
        <v>137</v>
      </c>
      <c r="C54" s="33" t="s">
        <v>33</v>
      </c>
      <c r="D54" s="33" t="s">
        <v>39</v>
      </c>
      <c r="E54" s="33" t="s">
        <v>25</v>
      </c>
      <c r="F54" s="33" t="s">
        <v>102</v>
      </c>
      <c r="G54" s="14">
        <v>2452.2266250000002</v>
      </c>
      <c r="H54" s="34">
        <v>2724.69625</v>
      </c>
      <c r="I54" s="34">
        <v>3304.8125</v>
      </c>
      <c r="J54" s="71"/>
      <c r="K54" s="71"/>
      <c r="L54" s="71"/>
      <c r="M54" s="71"/>
      <c r="N54" s="71"/>
    </row>
    <row r="55" spans="2:14" x14ac:dyDescent="0.2">
      <c r="B55" s="2" t="s">
        <v>137</v>
      </c>
      <c r="C55" s="33" t="s">
        <v>33</v>
      </c>
      <c r="D55" s="33" t="s">
        <v>39</v>
      </c>
      <c r="E55" s="33" t="s">
        <v>24</v>
      </c>
      <c r="F55" s="33" t="s">
        <v>104</v>
      </c>
      <c r="G55" s="14">
        <v>2444.5575000000003</v>
      </c>
      <c r="H55" s="34">
        <v>2716.1750000000002</v>
      </c>
      <c r="I55" s="34">
        <v>2866.1412500000001</v>
      </c>
      <c r="J55" s="71">
        <f t="shared" ref="J55:N55" si="35">I55</f>
        <v>2866.1412500000001</v>
      </c>
      <c r="K55" s="71">
        <f t="shared" si="35"/>
        <v>2866.1412500000001</v>
      </c>
      <c r="L55" s="71">
        <f t="shared" si="35"/>
        <v>2866.1412500000001</v>
      </c>
      <c r="M55" s="71">
        <f t="shared" si="35"/>
        <v>2866.1412500000001</v>
      </c>
      <c r="N55" s="71">
        <f t="shared" si="35"/>
        <v>2866.1412500000001</v>
      </c>
    </row>
    <row r="56" spans="2:14" x14ac:dyDescent="0.2">
      <c r="B56" s="2" t="s">
        <v>137</v>
      </c>
      <c r="C56" s="33" t="s">
        <v>33</v>
      </c>
      <c r="D56" s="33" t="s">
        <v>39</v>
      </c>
      <c r="E56" s="33" t="s">
        <v>24</v>
      </c>
      <c r="F56" s="33" t="s">
        <v>97</v>
      </c>
      <c r="G56" s="14">
        <v>2433.9926250000003</v>
      </c>
      <c r="H56" s="34">
        <v>2704.4362500000002</v>
      </c>
      <c r="I56" s="34">
        <v>3941.2737500000007</v>
      </c>
      <c r="J56" s="71">
        <f t="shared" ref="J56:N56" si="36">I56</f>
        <v>3941.2737500000007</v>
      </c>
      <c r="K56" s="71">
        <f t="shared" si="36"/>
        <v>3941.2737500000007</v>
      </c>
      <c r="L56" s="71">
        <f t="shared" si="36"/>
        <v>3941.2737500000007</v>
      </c>
      <c r="M56" s="71">
        <f t="shared" si="36"/>
        <v>3941.2737500000007</v>
      </c>
      <c r="N56" s="71">
        <f t="shared" si="36"/>
        <v>3941.2737500000007</v>
      </c>
    </row>
    <row r="57" spans="2:14" x14ac:dyDescent="0.2">
      <c r="B57" s="2" t="s">
        <v>137</v>
      </c>
      <c r="C57" s="33" t="s">
        <v>33</v>
      </c>
      <c r="D57" s="33" t="s">
        <v>39</v>
      </c>
      <c r="E57" s="33" t="s">
        <v>24</v>
      </c>
      <c r="F57" s="33" t="s">
        <v>96</v>
      </c>
      <c r="G57" s="14">
        <v>3407.4</v>
      </c>
      <c r="H57" s="34">
        <v>3786</v>
      </c>
      <c r="I57" s="34">
        <v>4019.6237499999997</v>
      </c>
      <c r="J57" s="71">
        <f t="shared" ref="J57:N57" si="37">I57</f>
        <v>4019.6237499999997</v>
      </c>
      <c r="K57" s="71">
        <f t="shared" si="37"/>
        <v>4019.6237499999997</v>
      </c>
      <c r="L57" s="71">
        <f t="shared" si="37"/>
        <v>4019.6237499999997</v>
      </c>
      <c r="M57" s="71">
        <f t="shared" si="37"/>
        <v>4019.6237499999997</v>
      </c>
      <c r="N57" s="71">
        <f t="shared" si="37"/>
        <v>4019.6237499999997</v>
      </c>
    </row>
    <row r="58" spans="2:14" x14ac:dyDescent="0.2">
      <c r="B58" s="2" t="s">
        <v>134</v>
      </c>
      <c r="C58" s="33" t="s">
        <v>34</v>
      </c>
      <c r="D58" s="2" t="s">
        <v>36</v>
      </c>
      <c r="E58" s="33" t="s">
        <v>24</v>
      </c>
      <c r="F58" s="33" t="s">
        <v>124</v>
      </c>
      <c r="G58" s="14">
        <v>9704.9340000000011</v>
      </c>
      <c r="H58" s="35">
        <v>10783.26</v>
      </c>
      <c r="I58" s="35">
        <v>11162.105</v>
      </c>
      <c r="J58" s="45">
        <f t="shared" ref="J58:N58" si="38">I58*1.05</f>
        <v>11720.21025</v>
      </c>
      <c r="K58" s="45">
        <f t="shared" si="38"/>
        <v>12306.220762500001</v>
      </c>
      <c r="L58" s="45">
        <f t="shared" si="38"/>
        <v>12921.531800625002</v>
      </c>
      <c r="M58" s="45">
        <f t="shared" si="38"/>
        <v>13567.608390656253</v>
      </c>
      <c r="N58" s="45">
        <f t="shared" si="38"/>
        <v>14245.988810189066</v>
      </c>
    </row>
    <row r="59" spans="2:14" x14ac:dyDescent="0.2">
      <c r="B59" s="2" t="s">
        <v>137</v>
      </c>
      <c r="C59" s="33" t="s">
        <v>33</v>
      </c>
      <c r="D59" s="33" t="s">
        <v>39</v>
      </c>
      <c r="E59" s="33" t="s">
        <v>24</v>
      </c>
      <c r="F59" s="33" t="s">
        <v>103</v>
      </c>
      <c r="G59" s="14">
        <v>2406.7597499999997</v>
      </c>
      <c r="H59" s="34">
        <v>2674.1774999999998</v>
      </c>
      <c r="I59" s="34">
        <v>3154.84</v>
      </c>
      <c r="J59" s="71">
        <f t="shared" ref="J59:N59" si="39">I59</f>
        <v>3154.84</v>
      </c>
      <c r="K59" s="71">
        <f t="shared" si="39"/>
        <v>3154.84</v>
      </c>
      <c r="L59" s="71">
        <f t="shared" si="39"/>
        <v>3154.84</v>
      </c>
      <c r="M59" s="71">
        <f t="shared" si="39"/>
        <v>3154.84</v>
      </c>
      <c r="N59" s="71">
        <f t="shared" si="39"/>
        <v>3154.84</v>
      </c>
    </row>
    <row r="60" spans="2:14" x14ac:dyDescent="0.2">
      <c r="B60" s="2" t="s">
        <v>137</v>
      </c>
      <c r="C60" s="33" t="s">
        <v>33</v>
      </c>
      <c r="D60" s="33" t="s">
        <v>38</v>
      </c>
      <c r="E60" s="33" t="s">
        <v>24</v>
      </c>
      <c r="F60" s="33" t="s">
        <v>57</v>
      </c>
      <c r="G60" s="14">
        <v>2391.1548750000002</v>
      </c>
      <c r="H60" s="34">
        <v>2656.8387500000003</v>
      </c>
      <c r="I60" s="34">
        <v>3540</v>
      </c>
      <c r="J60" s="70">
        <f>I60*1.1</f>
        <v>3894.0000000000005</v>
      </c>
      <c r="K60" s="70">
        <f t="shared" ref="K60" si="40">J60*1.07</f>
        <v>4166.5800000000008</v>
      </c>
      <c r="L60" s="70">
        <f>K60</f>
        <v>4166.5800000000008</v>
      </c>
      <c r="M60" s="70">
        <f>L60</f>
        <v>4166.5800000000008</v>
      </c>
      <c r="N60" s="70">
        <f>M60</f>
        <v>4166.5800000000008</v>
      </c>
    </row>
    <row r="61" spans="2:14" x14ac:dyDescent="0.2">
      <c r="B61" s="2" t="s">
        <v>137</v>
      </c>
      <c r="C61" s="33" t="s">
        <v>33</v>
      </c>
      <c r="D61" s="33" t="s">
        <v>39</v>
      </c>
      <c r="E61" s="33" t="s">
        <v>23</v>
      </c>
      <c r="F61" s="33" t="s">
        <v>101</v>
      </c>
      <c r="G61" s="14">
        <v>2382.1514999999999</v>
      </c>
      <c r="H61" s="34">
        <v>2646.835</v>
      </c>
      <c r="I61" s="34">
        <v>3481.2</v>
      </c>
      <c r="J61" s="71">
        <f t="shared" ref="J61:N61" si="41">I61</f>
        <v>3481.2</v>
      </c>
      <c r="K61" s="71">
        <f t="shared" si="41"/>
        <v>3481.2</v>
      </c>
      <c r="L61" s="71">
        <f t="shared" si="41"/>
        <v>3481.2</v>
      </c>
      <c r="M61" s="71">
        <f t="shared" si="41"/>
        <v>3481.2</v>
      </c>
      <c r="N61" s="71">
        <f t="shared" si="41"/>
        <v>3481.2</v>
      </c>
    </row>
    <row r="62" spans="2:14" x14ac:dyDescent="0.2">
      <c r="B62" s="2" t="s">
        <v>137</v>
      </c>
      <c r="C62" s="33" t="s">
        <v>33</v>
      </c>
      <c r="D62" s="33" t="s">
        <v>38</v>
      </c>
      <c r="E62" s="33" t="s">
        <v>23</v>
      </c>
      <c r="F62" s="33" t="s">
        <v>56</v>
      </c>
      <c r="G62" s="14">
        <v>2366.866125</v>
      </c>
      <c r="H62" s="34">
        <v>2629.8512499999997</v>
      </c>
      <c r="I62" s="34">
        <v>3681.6062499999998</v>
      </c>
      <c r="J62" s="70">
        <f>I62*1.1</f>
        <v>4049.7668750000003</v>
      </c>
      <c r="K62" s="70">
        <f t="shared" ref="K62" si="42">J62*1.07</f>
        <v>4333.250556250001</v>
      </c>
      <c r="L62" s="70">
        <f>K62</f>
        <v>4333.250556250001</v>
      </c>
      <c r="M62" s="70">
        <f>L62</f>
        <v>4333.250556250001</v>
      </c>
      <c r="N62" s="70">
        <f>M62</f>
        <v>4333.250556250001</v>
      </c>
    </row>
    <row r="63" spans="2:14" x14ac:dyDescent="0.2">
      <c r="B63" s="2" t="s">
        <v>134</v>
      </c>
      <c r="C63" s="33" t="s">
        <v>34</v>
      </c>
      <c r="D63" s="2" t="s">
        <v>36</v>
      </c>
      <c r="E63" s="33" t="s">
        <v>23</v>
      </c>
      <c r="F63" s="33" t="s">
        <v>118</v>
      </c>
      <c r="G63" s="14">
        <v>9401.7690000000021</v>
      </c>
      <c r="H63" s="35">
        <v>10446.410000000002</v>
      </c>
      <c r="I63" s="35">
        <v>13466.865000000002</v>
      </c>
      <c r="J63" s="45">
        <f t="shared" ref="J63:N63" si="43">I63*1.05</f>
        <v>14140.208250000001</v>
      </c>
      <c r="K63" s="45">
        <f t="shared" si="43"/>
        <v>14847.218662500001</v>
      </c>
      <c r="L63" s="45">
        <f t="shared" si="43"/>
        <v>15589.579595625002</v>
      </c>
      <c r="M63" s="45">
        <f t="shared" si="43"/>
        <v>16369.058575406252</v>
      </c>
      <c r="N63" s="45">
        <f t="shared" si="43"/>
        <v>17187.511504176564</v>
      </c>
    </row>
    <row r="64" spans="2:14" x14ac:dyDescent="0.2">
      <c r="B64" s="2" t="s">
        <v>136</v>
      </c>
      <c r="C64" s="33" t="s">
        <v>33</v>
      </c>
      <c r="D64" s="33" t="s">
        <v>37</v>
      </c>
      <c r="E64" s="33" t="s">
        <v>23</v>
      </c>
      <c r="F64" s="33" t="s">
        <v>44</v>
      </c>
      <c r="G64" s="14">
        <v>920.50604999999996</v>
      </c>
      <c r="H64" s="34">
        <v>1022.7845</v>
      </c>
      <c r="I64" s="34">
        <v>1250.3915</v>
      </c>
      <c r="J64" s="70">
        <f t="shared" ref="J64:N64" si="44">I64*1.07</f>
        <v>1337.918905</v>
      </c>
      <c r="K64" s="70">
        <f t="shared" si="44"/>
        <v>1431.5732283500001</v>
      </c>
      <c r="L64" s="70">
        <f t="shared" si="44"/>
        <v>1531.7833543345002</v>
      </c>
      <c r="M64" s="70">
        <f t="shared" si="44"/>
        <v>1639.0081891379155</v>
      </c>
      <c r="N64" s="70">
        <f t="shared" si="44"/>
        <v>1753.7387623775696</v>
      </c>
    </row>
    <row r="65" spans="2:14" x14ac:dyDescent="0.2">
      <c r="B65" s="2" t="s">
        <v>137</v>
      </c>
      <c r="C65" s="33" t="s">
        <v>33</v>
      </c>
      <c r="D65" s="33" t="s">
        <v>38</v>
      </c>
      <c r="E65" s="33" t="s">
        <v>23</v>
      </c>
      <c r="F65" s="33" t="s">
        <v>52</v>
      </c>
      <c r="G65" s="14">
        <v>3193.7973750000001</v>
      </c>
      <c r="H65" s="34">
        <v>3548.6637500000002</v>
      </c>
      <c r="I65" s="34">
        <v>3666.7562499999999</v>
      </c>
      <c r="J65" s="70">
        <f t="shared" ref="J65:J68" si="45">I65*1.1</f>
        <v>4033.4318750000002</v>
      </c>
      <c r="K65" s="70">
        <f t="shared" ref="K65" si="46">J65*1.07</f>
        <v>4315.7721062500004</v>
      </c>
      <c r="L65" s="70">
        <f t="shared" ref="L65:N65" si="47">K65</f>
        <v>4315.7721062500004</v>
      </c>
      <c r="M65" s="70">
        <f t="shared" si="47"/>
        <v>4315.7721062500004</v>
      </c>
      <c r="N65" s="70">
        <f t="shared" si="47"/>
        <v>4315.7721062500004</v>
      </c>
    </row>
    <row r="66" spans="2:14" x14ac:dyDescent="0.2">
      <c r="B66" s="2" t="s">
        <v>137</v>
      </c>
      <c r="C66" s="33" t="s">
        <v>33</v>
      </c>
      <c r="D66" s="33" t="s">
        <v>38</v>
      </c>
      <c r="E66" s="33" t="s">
        <v>23</v>
      </c>
      <c r="F66" s="33" t="s">
        <v>58</v>
      </c>
      <c r="G66" s="14">
        <v>2293.05375</v>
      </c>
      <c r="H66" s="34">
        <v>2547.8375000000001</v>
      </c>
      <c r="I66" s="34">
        <v>3627.0400000000004</v>
      </c>
      <c r="J66" s="70">
        <f t="shared" si="45"/>
        <v>3989.7440000000006</v>
      </c>
      <c r="K66" s="70">
        <f t="shared" ref="K66" si="48">J66*1.07</f>
        <v>4269.0260800000005</v>
      </c>
      <c r="L66" s="70">
        <f t="shared" ref="L66:N66" si="49">K66</f>
        <v>4269.0260800000005</v>
      </c>
      <c r="M66" s="70">
        <f t="shared" si="49"/>
        <v>4269.0260800000005</v>
      </c>
      <c r="N66" s="70">
        <f t="shared" si="49"/>
        <v>4269.0260800000005</v>
      </c>
    </row>
    <row r="67" spans="2:14" x14ac:dyDescent="0.2">
      <c r="B67" s="2" t="s">
        <v>137</v>
      </c>
      <c r="C67" s="33" t="s">
        <v>33</v>
      </c>
      <c r="D67" s="33" t="s">
        <v>38</v>
      </c>
      <c r="E67" s="33" t="s">
        <v>23</v>
      </c>
      <c r="F67" s="33" t="s">
        <v>53</v>
      </c>
      <c r="G67" s="14">
        <v>3177.723375</v>
      </c>
      <c r="H67" s="34">
        <v>3530.80375</v>
      </c>
      <c r="I67" s="34">
        <v>3604.2687499999997</v>
      </c>
      <c r="J67" s="70">
        <f t="shared" si="45"/>
        <v>3964.6956249999998</v>
      </c>
      <c r="K67" s="70">
        <f t="shared" ref="K67" si="50">J67*1.07</f>
        <v>4242.2243187499998</v>
      </c>
      <c r="L67" s="70">
        <f t="shared" ref="L67:N67" si="51">K67</f>
        <v>4242.2243187499998</v>
      </c>
      <c r="M67" s="70">
        <f t="shared" si="51"/>
        <v>4242.2243187499998</v>
      </c>
      <c r="N67" s="70">
        <f t="shared" si="51"/>
        <v>4242.2243187499998</v>
      </c>
    </row>
    <row r="68" spans="2:14" x14ac:dyDescent="0.2">
      <c r="B68" s="2" t="s">
        <v>137</v>
      </c>
      <c r="C68" s="33" t="s">
        <v>33</v>
      </c>
      <c r="D68" s="33" t="s">
        <v>38</v>
      </c>
      <c r="E68" s="33" t="s">
        <v>23</v>
      </c>
      <c r="F68" s="33" t="s">
        <v>59</v>
      </c>
      <c r="G68" s="14">
        <v>2248.5431250000001</v>
      </c>
      <c r="H68" s="34">
        <v>2498.3812499999999</v>
      </c>
      <c r="I68" s="34">
        <v>2697.9012499999999</v>
      </c>
      <c r="J68" s="70">
        <f t="shared" si="45"/>
        <v>2967.6913750000003</v>
      </c>
      <c r="K68" s="70">
        <f t="shared" ref="K68" si="52">J68*1.07</f>
        <v>3175.4297712500006</v>
      </c>
      <c r="L68" s="70">
        <f t="shared" ref="L68:N68" si="53">K68</f>
        <v>3175.4297712500006</v>
      </c>
      <c r="M68" s="70">
        <f t="shared" si="53"/>
        <v>3175.4297712500006</v>
      </c>
      <c r="N68" s="70">
        <f t="shared" si="53"/>
        <v>3175.4297712500006</v>
      </c>
    </row>
    <row r="69" spans="2:14" x14ac:dyDescent="0.2">
      <c r="B69" s="2" t="s">
        <v>134</v>
      </c>
      <c r="C69" s="33" t="s">
        <v>34</v>
      </c>
      <c r="D69" s="2" t="s">
        <v>36</v>
      </c>
      <c r="E69" s="33" t="s">
        <v>23</v>
      </c>
      <c r="F69" s="33" t="s">
        <v>116</v>
      </c>
      <c r="G69" s="14">
        <v>17644.266000000003</v>
      </c>
      <c r="H69" s="35">
        <v>19604.740000000002</v>
      </c>
      <c r="I69" s="35">
        <v>23932.03</v>
      </c>
      <c r="J69" s="45">
        <f t="shared" ref="J69:N69" si="54">I69*1.05</f>
        <v>25128.6315</v>
      </c>
      <c r="K69" s="45">
        <f t="shared" si="54"/>
        <v>26385.063075000002</v>
      </c>
      <c r="L69" s="45">
        <f t="shared" si="54"/>
        <v>27704.316228750002</v>
      </c>
      <c r="M69" s="45">
        <f t="shared" si="54"/>
        <v>29089.532040187503</v>
      </c>
      <c r="N69" s="45">
        <f t="shared" si="54"/>
        <v>30544.008642196881</v>
      </c>
    </row>
    <row r="70" spans="2:14" x14ac:dyDescent="0.2">
      <c r="B70" s="2" t="s">
        <v>137</v>
      </c>
      <c r="C70" s="33" t="s">
        <v>33</v>
      </c>
      <c r="D70" s="33" t="s">
        <v>39</v>
      </c>
      <c r="E70" s="33" t="s">
        <v>23</v>
      </c>
      <c r="F70" s="33" t="s">
        <v>106</v>
      </c>
      <c r="G70" s="14">
        <v>2125.7730000000001</v>
      </c>
      <c r="H70" s="34">
        <v>2361.9700000000003</v>
      </c>
      <c r="I70" s="34">
        <v>2361.9700000000003</v>
      </c>
      <c r="J70" s="71">
        <f t="shared" ref="J70:N70" si="55">I70</f>
        <v>2361.9700000000003</v>
      </c>
      <c r="K70" s="71">
        <f t="shared" si="55"/>
        <v>2361.9700000000003</v>
      </c>
      <c r="L70" s="71">
        <f t="shared" si="55"/>
        <v>2361.9700000000003</v>
      </c>
      <c r="M70" s="71">
        <f t="shared" si="55"/>
        <v>2361.9700000000003</v>
      </c>
      <c r="N70" s="71">
        <f t="shared" si="55"/>
        <v>2361.9700000000003</v>
      </c>
    </row>
    <row r="71" spans="2:14" x14ac:dyDescent="0.2">
      <c r="B71" s="2" t="s">
        <v>137</v>
      </c>
      <c r="C71" s="33" t="s">
        <v>131</v>
      </c>
      <c r="D71" s="33" t="s">
        <v>39</v>
      </c>
      <c r="E71" s="33" t="s">
        <v>23</v>
      </c>
      <c r="F71" s="33" t="s">
        <v>94</v>
      </c>
      <c r="G71" s="14">
        <v>4192.5566250000002</v>
      </c>
      <c r="H71" s="34">
        <v>4658.3962499999998</v>
      </c>
      <c r="I71" s="34">
        <v>4705.40625</v>
      </c>
      <c r="J71" s="71">
        <f t="shared" ref="J71:N71" si="56">I71</f>
        <v>4705.40625</v>
      </c>
      <c r="K71" s="71">
        <f t="shared" si="56"/>
        <v>4705.40625</v>
      </c>
      <c r="L71" s="71">
        <f t="shared" si="56"/>
        <v>4705.40625</v>
      </c>
      <c r="M71" s="71">
        <f t="shared" si="56"/>
        <v>4705.40625</v>
      </c>
      <c r="N71" s="71">
        <f t="shared" si="56"/>
        <v>4705.40625</v>
      </c>
    </row>
    <row r="72" spans="2:14" x14ac:dyDescent="0.2">
      <c r="B72" s="2" t="s">
        <v>137</v>
      </c>
      <c r="C72" s="33" t="s">
        <v>33</v>
      </c>
      <c r="D72" s="33" t="s">
        <v>38</v>
      </c>
      <c r="E72" s="33" t="s">
        <v>23</v>
      </c>
      <c r="F72" s="33" t="s">
        <v>67</v>
      </c>
      <c r="G72" s="14">
        <v>2784.9375</v>
      </c>
      <c r="H72" s="34">
        <v>3094.375</v>
      </c>
      <c r="I72" s="34">
        <v>3779.0625</v>
      </c>
      <c r="J72" s="70">
        <f>I72*1.1</f>
        <v>4156.96875</v>
      </c>
      <c r="K72" s="70">
        <f t="shared" ref="K72" si="57">J72*1.07</f>
        <v>4447.9565625000005</v>
      </c>
      <c r="L72" s="70">
        <f>K72</f>
        <v>4447.9565625000005</v>
      </c>
      <c r="M72" s="70">
        <f>L72</f>
        <v>4447.9565625000005</v>
      </c>
      <c r="N72" s="70">
        <f>M72</f>
        <v>4447.9565625000005</v>
      </c>
    </row>
    <row r="73" spans="2:14" x14ac:dyDescent="0.2">
      <c r="B73" s="2" t="s">
        <v>134</v>
      </c>
      <c r="C73" s="33" t="s">
        <v>34</v>
      </c>
      <c r="D73" s="2" t="s">
        <v>36</v>
      </c>
      <c r="E73" s="33" t="s">
        <v>23</v>
      </c>
      <c r="F73" s="33" t="s">
        <v>115</v>
      </c>
      <c r="G73" s="14">
        <v>16312.5</v>
      </c>
      <c r="H73" s="35">
        <v>18125</v>
      </c>
      <c r="I73" s="35">
        <v>18470</v>
      </c>
      <c r="J73" s="45">
        <f t="shared" ref="J73:N73" si="58">I73*1.05</f>
        <v>19393.5</v>
      </c>
      <c r="K73" s="45">
        <f t="shared" si="58"/>
        <v>20363.174999999999</v>
      </c>
      <c r="L73" s="45">
        <f t="shared" si="58"/>
        <v>21381.333750000002</v>
      </c>
      <c r="M73" s="45">
        <f t="shared" si="58"/>
        <v>22450.400437500004</v>
      </c>
      <c r="N73" s="45">
        <f t="shared" si="58"/>
        <v>23572.920459375004</v>
      </c>
    </row>
    <row r="74" spans="2:14" x14ac:dyDescent="0.2">
      <c r="B74" s="2" t="s">
        <v>137</v>
      </c>
      <c r="C74" s="33" t="s">
        <v>33</v>
      </c>
      <c r="D74" s="33" t="s">
        <v>38</v>
      </c>
      <c r="E74" s="33" t="s">
        <v>23</v>
      </c>
      <c r="F74" s="33" t="s">
        <v>54</v>
      </c>
      <c r="G74" s="14">
        <v>2605.5123750000002</v>
      </c>
      <c r="H74" s="34">
        <v>2895.0137500000001</v>
      </c>
      <c r="I74" s="34">
        <v>3289.2075</v>
      </c>
      <c r="J74" s="70">
        <f>I74*1.1</f>
        <v>3618.1282500000002</v>
      </c>
      <c r="K74" s="70">
        <f t="shared" ref="K74" si="59">J74*1.07</f>
        <v>3871.3972275000006</v>
      </c>
      <c r="L74" s="70">
        <f>K74</f>
        <v>3871.3972275000006</v>
      </c>
      <c r="M74" s="70">
        <f>L74</f>
        <v>3871.3972275000006</v>
      </c>
      <c r="N74" s="70">
        <f>M74</f>
        <v>3871.3972275000006</v>
      </c>
    </row>
    <row r="75" spans="2:14" x14ac:dyDescent="0.2">
      <c r="B75" s="2" t="s">
        <v>134</v>
      </c>
      <c r="C75" s="33" t="s">
        <v>34</v>
      </c>
      <c r="D75" s="2" t="s">
        <v>36</v>
      </c>
      <c r="E75" s="33" t="s">
        <v>23</v>
      </c>
      <c r="F75" s="33" t="s">
        <v>127</v>
      </c>
      <c r="G75" s="14">
        <v>15751.107</v>
      </c>
      <c r="H75" s="35">
        <v>17501.23</v>
      </c>
      <c r="I75" s="36">
        <v>19591.314999999999</v>
      </c>
      <c r="J75" s="45">
        <f t="shared" ref="J75:N75" si="60">I75*1.05</f>
        <v>20570.88075</v>
      </c>
      <c r="K75" s="45">
        <f t="shared" si="60"/>
        <v>21599.4247875</v>
      </c>
      <c r="L75" s="45">
        <f t="shared" si="60"/>
        <v>22679.396026875002</v>
      </c>
      <c r="M75" s="45">
        <f t="shared" si="60"/>
        <v>23813.365828218753</v>
      </c>
      <c r="N75" s="45">
        <f t="shared" si="60"/>
        <v>25004.03411962969</v>
      </c>
    </row>
    <row r="76" spans="2:14" x14ac:dyDescent="0.2">
      <c r="B76" s="2" t="s">
        <v>134</v>
      </c>
      <c r="C76" s="33" t="s">
        <v>34</v>
      </c>
      <c r="D76" s="2" t="s">
        <v>36</v>
      </c>
      <c r="E76" s="33" t="s">
        <v>23</v>
      </c>
      <c r="F76" s="33" t="s">
        <v>121</v>
      </c>
      <c r="G76" s="14">
        <v>15570</v>
      </c>
      <c r="H76" s="35">
        <v>17300</v>
      </c>
      <c r="I76" s="35">
        <v>17500</v>
      </c>
      <c r="J76" s="45">
        <f t="shared" ref="J76:N76" si="61">I76*1.05</f>
        <v>18375</v>
      </c>
      <c r="K76" s="45">
        <f t="shared" si="61"/>
        <v>19293.75</v>
      </c>
      <c r="L76" s="45">
        <f t="shared" si="61"/>
        <v>20258.4375</v>
      </c>
      <c r="M76" s="45">
        <f t="shared" si="61"/>
        <v>21271.359375</v>
      </c>
      <c r="N76" s="45">
        <f t="shared" si="61"/>
        <v>22334.927343750001</v>
      </c>
    </row>
    <row r="77" spans="2:14" x14ac:dyDescent="0.2">
      <c r="B77" s="2" t="s">
        <v>136</v>
      </c>
      <c r="C77" s="33" t="s">
        <v>33</v>
      </c>
      <c r="D77" s="33" t="s">
        <v>37</v>
      </c>
      <c r="E77" s="33" t="s">
        <v>23</v>
      </c>
      <c r="F77" s="33" t="s">
        <v>70</v>
      </c>
      <c r="G77" s="14">
        <v>1494</v>
      </c>
      <c r="H77" s="34">
        <v>1660</v>
      </c>
      <c r="I77" s="34">
        <v>1660</v>
      </c>
      <c r="J77" s="70">
        <f t="shared" ref="J77:N77" si="62">I77*1.07</f>
        <v>1776.2</v>
      </c>
      <c r="K77" s="70">
        <f t="shared" si="62"/>
        <v>1900.5340000000001</v>
      </c>
      <c r="L77" s="70">
        <f t="shared" si="62"/>
        <v>2033.5713800000003</v>
      </c>
      <c r="M77" s="70">
        <f t="shared" si="62"/>
        <v>2175.9213766000003</v>
      </c>
      <c r="N77" s="70">
        <f t="shared" si="62"/>
        <v>2328.2358729620005</v>
      </c>
    </row>
    <row r="78" spans="2:14" x14ac:dyDescent="0.2">
      <c r="B78" s="2" t="s">
        <v>137</v>
      </c>
      <c r="C78" s="33" t="s">
        <v>33</v>
      </c>
      <c r="D78" s="33" t="s">
        <v>38</v>
      </c>
      <c r="E78" s="33" t="s">
        <v>23</v>
      </c>
      <c r="F78" s="33" t="s">
        <v>62</v>
      </c>
      <c r="G78" s="14">
        <v>5062.8060000000005</v>
      </c>
      <c r="H78" s="34">
        <v>5625.34</v>
      </c>
      <c r="I78" s="34">
        <f>H78</f>
        <v>5625.34</v>
      </c>
      <c r="J78" s="70">
        <f t="shared" ref="J78:J79" si="63">I78*1.1</f>
        <v>6187.8740000000007</v>
      </c>
      <c r="K78" s="70">
        <f t="shared" ref="K78" si="64">J78*1.07</f>
        <v>6621.0251800000015</v>
      </c>
      <c r="L78" s="70">
        <f t="shared" ref="L78:N78" si="65">K78</f>
        <v>6621.0251800000015</v>
      </c>
      <c r="M78" s="70">
        <f t="shared" si="65"/>
        <v>6621.0251800000015</v>
      </c>
      <c r="N78" s="70">
        <f t="shared" si="65"/>
        <v>6621.0251800000015</v>
      </c>
    </row>
    <row r="79" spans="2:14" x14ac:dyDescent="0.2">
      <c r="B79" s="2" t="s">
        <v>137</v>
      </c>
      <c r="C79" s="33" t="s">
        <v>33</v>
      </c>
      <c r="D79" s="33" t="s">
        <v>38</v>
      </c>
      <c r="E79" s="33" t="s">
        <v>23</v>
      </c>
      <c r="F79" s="33" t="s">
        <v>55</v>
      </c>
      <c r="G79" s="14">
        <v>4923.5467500000004</v>
      </c>
      <c r="H79" s="34">
        <v>5470.6075000000001</v>
      </c>
      <c r="I79" s="34">
        <f>H79</f>
        <v>5470.6075000000001</v>
      </c>
      <c r="J79" s="70">
        <f t="shared" si="63"/>
        <v>6017.6682500000006</v>
      </c>
      <c r="K79" s="70">
        <f t="shared" ref="K79" si="66">J79*1.07</f>
        <v>6438.9050275000009</v>
      </c>
      <c r="L79" s="70">
        <f t="shared" ref="L79:N79" si="67">K79</f>
        <v>6438.9050275000009</v>
      </c>
      <c r="M79" s="70">
        <f t="shared" si="67"/>
        <v>6438.9050275000009</v>
      </c>
      <c r="N79" s="70">
        <f t="shared" si="67"/>
        <v>6438.9050275000009</v>
      </c>
    </row>
    <row r="80" spans="2:14" x14ac:dyDescent="0.2">
      <c r="B80" s="2" t="s">
        <v>136</v>
      </c>
      <c r="C80" s="33" t="s">
        <v>33</v>
      </c>
      <c r="D80" s="33" t="s">
        <v>37</v>
      </c>
      <c r="E80" s="33" t="s">
        <v>24</v>
      </c>
      <c r="F80" s="33" t="s">
        <v>71</v>
      </c>
      <c r="G80" s="14">
        <v>1417.5</v>
      </c>
      <c r="H80" s="34">
        <v>1575</v>
      </c>
      <c r="I80" s="34">
        <v>1575</v>
      </c>
      <c r="J80" s="70">
        <f t="shared" ref="J80:N80" si="68">I80*1.07</f>
        <v>1685.25</v>
      </c>
      <c r="K80" s="70">
        <f t="shared" si="68"/>
        <v>1803.2175000000002</v>
      </c>
      <c r="L80" s="70">
        <f t="shared" si="68"/>
        <v>1929.4427250000003</v>
      </c>
      <c r="M80" s="70">
        <f t="shared" si="68"/>
        <v>2064.5037157500005</v>
      </c>
      <c r="N80" s="70">
        <f t="shared" si="68"/>
        <v>2209.0189758525007</v>
      </c>
    </row>
    <row r="81" spans="2:14" x14ac:dyDescent="0.2">
      <c r="B81" s="2" t="s">
        <v>134</v>
      </c>
      <c r="C81" s="33" t="s">
        <v>34</v>
      </c>
      <c r="D81" s="2" t="s">
        <v>36</v>
      </c>
      <c r="E81" s="33" t="s">
        <v>24</v>
      </c>
      <c r="F81" s="33" t="s">
        <v>119</v>
      </c>
      <c r="G81" s="14">
        <v>14175</v>
      </c>
      <c r="H81" s="35">
        <v>15750</v>
      </c>
      <c r="I81" s="35">
        <v>18080</v>
      </c>
      <c r="J81" s="45">
        <f t="shared" ref="J81:N81" si="69">I81*1.05</f>
        <v>18984</v>
      </c>
      <c r="K81" s="45">
        <f t="shared" si="69"/>
        <v>19933.2</v>
      </c>
      <c r="L81" s="45">
        <f t="shared" si="69"/>
        <v>20929.86</v>
      </c>
      <c r="M81" s="45">
        <f t="shared" si="69"/>
        <v>21976.353000000003</v>
      </c>
      <c r="N81" s="45">
        <f t="shared" si="69"/>
        <v>23075.170650000004</v>
      </c>
    </row>
    <row r="82" spans="2:14" x14ac:dyDescent="0.2">
      <c r="B82" s="2" t="s">
        <v>137</v>
      </c>
      <c r="C82" s="33" t="s">
        <v>33</v>
      </c>
      <c r="D82" s="33" t="s">
        <v>38</v>
      </c>
      <c r="E82" s="33" t="s">
        <v>24</v>
      </c>
      <c r="F82" s="33" t="s">
        <v>49</v>
      </c>
      <c r="G82" s="14">
        <v>2182.0770000000002</v>
      </c>
      <c r="H82" s="34">
        <v>2424.5300000000002</v>
      </c>
      <c r="I82" s="34">
        <v>4099.3574999999992</v>
      </c>
      <c r="J82" s="70">
        <f>I82*1.1</f>
        <v>4509.2932499999997</v>
      </c>
      <c r="K82" s="70">
        <f t="shared" ref="K82" si="70">J82*1.07</f>
        <v>4824.9437774999997</v>
      </c>
      <c r="L82" s="70">
        <f>K82</f>
        <v>4824.9437774999997</v>
      </c>
      <c r="M82" s="70">
        <f>L82</f>
        <v>4824.9437774999997</v>
      </c>
      <c r="N82" s="70">
        <f>M82</f>
        <v>4824.9437774999997</v>
      </c>
    </row>
    <row r="83" spans="2:14" x14ac:dyDescent="0.2">
      <c r="B83" s="2" t="s">
        <v>134</v>
      </c>
      <c r="C83" s="33" t="s">
        <v>34</v>
      </c>
      <c r="D83" s="2" t="s">
        <v>36</v>
      </c>
      <c r="E83" s="33" t="s">
        <v>24</v>
      </c>
      <c r="F83" s="33" t="s">
        <v>129</v>
      </c>
      <c r="G83" s="14">
        <v>13913.019</v>
      </c>
      <c r="H83" s="35">
        <v>15458.91</v>
      </c>
      <c r="I83" s="35">
        <v>19015.73</v>
      </c>
      <c r="J83" s="45">
        <f t="shared" ref="J83:N83" si="71">I83*1.05</f>
        <v>19966.516500000002</v>
      </c>
      <c r="K83" s="45">
        <f t="shared" si="71"/>
        <v>20964.842325000001</v>
      </c>
      <c r="L83" s="45">
        <f t="shared" si="71"/>
        <v>22013.084441250001</v>
      </c>
      <c r="M83" s="45">
        <f t="shared" si="71"/>
        <v>23113.738663312502</v>
      </c>
      <c r="N83" s="45">
        <f t="shared" si="71"/>
        <v>24269.42559647813</v>
      </c>
    </row>
    <row r="84" spans="2:14" x14ac:dyDescent="0.2">
      <c r="B84" s="2" t="s">
        <v>136</v>
      </c>
      <c r="C84" s="33" t="s">
        <v>33</v>
      </c>
      <c r="D84" s="33" t="s">
        <v>37</v>
      </c>
      <c r="E84" s="33" t="s">
        <v>24</v>
      </c>
      <c r="F84" s="33" t="s">
        <v>78</v>
      </c>
      <c r="G84" s="14">
        <v>1334.25</v>
      </c>
      <c r="H84" s="34">
        <v>1482.5</v>
      </c>
      <c r="I84" s="34">
        <v>1482.5</v>
      </c>
      <c r="J84" s="70">
        <f t="shared" ref="J84:N84" si="72">I84*1.07</f>
        <v>1586.2750000000001</v>
      </c>
      <c r="K84" s="70">
        <f t="shared" si="72"/>
        <v>1697.3142500000001</v>
      </c>
      <c r="L84" s="70">
        <f t="shared" si="72"/>
        <v>1816.1262475000003</v>
      </c>
      <c r="M84" s="70">
        <f t="shared" si="72"/>
        <v>1943.2550848250005</v>
      </c>
      <c r="N84" s="70">
        <f t="shared" si="72"/>
        <v>2079.2829407627505</v>
      </c>
    </row>
    <row r="85" spans="2:14" x14ac:dyDescent="0.2">
      <c r="B85" s="2" t="s">
        <v>134</v>
      </c>
      <c r="C85" s="33" t="s">
        <v>34</v>
      </c>
      <c r="D85" s="2" t="s">
        <v>36</v>
      </c>
      <c r="E85" s="33" t="s">
        <v>24</v>
      </c>
      <c r="F85" s="33" t="s">
        <v>120</v>
      </c>
      <c r="G85" s="14">
        <v>13076.5005</v>
      </c>
      <c r="H85" s="35">
        <v>14529.445</v>
      </c>
      <c r="I85" s="35">
        <v>16029.64</v>
      </c>
      <c r="J85" s="45">
        <f t="shared" ref="J85:N85" si="73">I85*1.05</f>
        <v>16831.121999999999</v>
      </c>
      <c r="K85" s="45">
        <f t="shared" si="73"/>
        <v>17672.678100000001</v>
      </c>
      <c r="L85" s="45">
        <f t="shared" si="73"/>
        <v>18556.312005000003</v>
      </c>
      <c r="M85" s="45">
        <f t="shared" si="73"/>
        <v>19484.127605250003</v>
      </c>
      <c r="N85" s="45">
        <f t="shared" si="73"/>
        <v>20458.333985512505</v>
      </c>
    </row>
    <row r="86" spans="2:14" x14ac:dyDescent="0.2">
      <c r="B86" s="2" t="s">
        <v>137</v>
      </c>
      <c r="C86" s="33" t="s">
        <v>33</v>
      </c>
      <c r="D86" s="33" t="s">
        <v>38</v>
      </c>
      <c r="E86" s="33" t="s">
        <v>24</v>
      </c>
      <c r="F86" s="33" t="s">
        <v>60</v>
      </c>
      <c r="G86" s="14">
        <v>4607.5252499999997</v>
      </c>
      <c r="H86" s="34">
        <v>5119.4724999999999</v>
      </c>
      <c r="I86" s="34">
        <v>5119.4724999999999</v>
      </c>
      <c r="J86" s="70">
        <f t="shared" ref="J86:J87" si="74">I86*1.1</f>
        <v>5631.41975</v>
      </c>
      <c r="K86" s="70">
        <f t="shared" ref="K86" si="75">J86*1.07</f>
        <v>6025.6191325</v>
      </c>
      <c r="L86" s="70">
        <f t="shared" ref="L86:N86" si="76">K86</f>
        <v>6025.6191325</v>
      </c>
      <c r="M86" s="70">
        <f t="shared" si="76"/>
        <v>6025.6191325</v>
      </c>
      <c r="N86" s="70">
        <f t="shared" si="76"/>
        <v>6025.6191325</v>
      </c>
    </row>
    <row r="87" spans="2:14" x14ac:dyDescent="0.2">
      <c r="B87" s="2" t="s">
        <v>137</v>
      </c>
      <c r="C87" s="33" t="s">
        <v>33</v>
      </c>
      <c r="D87" s="33" t="s">
        <v>38</v>
      </c>
      <c r="E87" s="33" t="s">
        <v>24</v>
      </c>
      <c r="F87" s="33" t="s">
        <v>45</v>
      </c>
      <c r="G87" s="14">
        <v>1868.7273749999999</v>
      </c>
      <c r="H87" s="34">
        <v>2076.36375</v>
      </c>
      <c r="I87" s="34">
        <v>2796.5387500000002</v>
      </c>
      <c r="J87" s="70">
        <f t="shared" si="74"/>
        <v>3076.1926250000006</v>
      </c>
      <c r="K87" s="70">
        <f t="shared" ref="K87" si="77">J87*1.07</f>
        <v>3291.5261087500007</v>
      </c>
      <c r="L87" s="70">
        <f t="shared" ref="L87:N87" si="78">K87</f>
        <v>3291.5261087500007</v>
      </c>
      <c r="M87" s="70">
        <f t="shared" si="78"/>
        <v>3291.5261087500007</v>
      </c>
      <c r="N87" s="70">
        <f t="shared" si="78"/>
        <v>3291.5261087500007</v>
      </c>
    </row>
    <row r="88" spans="2:14" x14ac:dyDescent="0.2">
      <c r="B88" s="2" t="s">
        <v>136</v>
      </c>
      <c r="C88" s="33" t="s">
        <v>33</v>
      </c>
      <c r="D88" s="33" t="s">
        <v>37</v>
      </c>
      <c r="E88" s="33" t="s">
        <v>24</v>
      </c>
      <c r="F88" s="33" t="s">
        <v>79</v>
      </c>
      <c r="G88" s="14">
        <v>1274.4449999999999</v>
      </c>
      <c r="H88" s="34">
        <v>1416.05</v>
      </c>
      <c r="I88" s="34">
        <v>1416.05</v>
      </c>
      <c r="J88" s="70">
        <f t="shared" ref="J88:N88" si="79">I88*1.07</f>
        <v>1515.1735000000001</v>
      </c>
      <c r="K88" s="70">
        <f t="shared" si="79"/>
        <v>1621.2356450000002</v>
      </c>
      <c r="L88" s="70">
        <f t="shared" si="79"/>
        <v>1734.7221401500003</v>
      </c>
      <c r="M88" s="70">
        <f t="shared" si="79"/>
        <v>1856.1526899605005</v>
      </c>
      <c r="N88" s="70">
        <f t="shared" si="79"/>
        <v>1986.0833782577356</v>
      </c>
    </row>
    <row r="89" spans="2:14" x14ac:dyDescent="0.2">
      <c r="B89" s="2" t="s">
        <v>137</v>
      </c>
      <c r="C89" s="33" t="s">
        <v>33</v>
      </c>
      <c r="D89" s="33" t="s">
        <v>39</v>
      </c>
      <c r="E89" s="33" t="s">
        <v>24</v>
      </c>
      <c r="F89" s="33" t="s">
        <v>105</v>
      </c>
      <c r="G89" s="14">
        <v>3626.7558750000003</v>
      </c>
      <c r="H89" s="34">
        <v>4029.7287500000002</v>
      </c>
      <c r="I89" s="34">
        <f>H89</f>
        <v>4029.7287500000002</v>
      </c>
      <c r="J89" s="71">
        <f t="shared" ref="J89:N89" si="80">I89</f>
        <v>4029.7287500000002</v>
      </c>
      <c r="K89" s="71">
        <f t="shared" si="80"/>
        <v>4029.7287500000002</v>
      </c>
      <c r="L89" s="71">
        <f t="shared" si="80"/>
        <v>4029.7287500000002</v>
      </c>
      <c r="M89" s="71">
        <f t="shared" si="80"/>
        <v>4029.7287500000002</v>
      </c>
      <c r="N89" s="71">
        <f t="shared" si="80"/>
        <v>4029.7287500000002</v>
      </c>
    </row>
    <row r="90" spans="2:14" x14ac:dyDescent="0.2">
      <c r="B90" s="2" t="s">
        <v>136</v>
      </c>
      <c r="C90" s="33" t="s">
        <v>33</v>
      </c>
      <c r="D90" s="33" t="s">
        <v>37</v>
      </c>
      <c r="E90" s="33" t="s">
        <v>24</v>
      </c>
      <c r="F90" s="33" t="s">
        <v>82</v>
      </c>
      <c r="G90" s="14">
        <v>1131.2662500000001</v>
      </c>
      <c r="H90" s="34">
        <v>1256.9625000000001</v>
      </c>
      <c r="I90" s="34">
        <v>1441.4575</v>
      </c>
      <c r="J90" s="70">
        <f t="shared" ref="J90:N90" si="81">I90*1.07</f>
        <v>1542.3595250000001</v>
      </c>
      <c r="K90" s="70">
        <f t="shared" si="81"/>
        <v>1650.3246917500003</v>
      </c>
      <c r="L90" s="70">
        <f t="shared" si="81"/>
        <v>1765.8474201725005</v>
      </c>
      <c r="M90" s="70">
        <f t="shared" si="81"/>
        <v>1889.4567395845756</v>
      </c>
      <c r="N90" s="70">
        <f t="shared" si="81"/>
        <v>2021.718711355496</v>
      </c>
    </row>
    <row r="91" spans="2:14" x14ac:dyDescent="0.2">
      <c r="B91" s="2" t="s">
        <v>137</v>
      </c>
      <c r="C91" s="33" t="s">
        <v>33</v>
      </c>
      <c r="D91" s="33" t="s">
        <v>38</v>
      </c>
      <c r="E91" s="33" t="s">
        <v>24</v>
      </c>
      <c r="F91" s="33" t="s">
        <v>61</v>
      </c>
      <c r="G91" s="14">
        <v>4175.9853750000002</v>
      </c>
      <c r="H91" s="34">
        <v>4639.9837500000003</v>
      </c>
      <c r="I91" s="34">
        <f>H91</f>
        <v>4639.9837500000003</v>
      </c>
      <c r="J91" s="70">
        <f t="shared" ref="J91:J92" si="82">I91*1.1</f>
        <v>5103.9821250000005</v>
      </c>
      <c r="K91" s="70">
        <f t="shared" ref="K91" si="83">J91*1.07</f>
        <v>5461.2608737500004</v>
      </c>
      <c r="L91" s="70">
        <f t="shared" ref="L91:N91" si="84">K91</f>
        <v>5461.2608737500004</v>
      </c>
      <c r="M91" s="70">
        <f t="shared" si="84"/>
        <v>5461.2608737500004</v>
      </c>
      <c r="N91" s="70">
        <f t="shared" si="84"/>
        <v>5461.2608737500004</v>
      </c>
    </row>
    <row r="92" spans="2:14" x14ac:dyDescent="0.2">
      <c r="B92" s="2" t="s">
        <v>137</v>
      </c>
      <c r="C92" s="33" t="s">
        <v>33</v>
      </c>
      <c r="D92" s="33" t="s">
        <v>38</v>
      </c>
      <c r="E92" s="33" t="s">
        <v>24</v>
      </c>
      <c r="F92" s="33" t="s">
        <v>46</v>
      </c>
      <c r="G92" s="14">
        <v>4118.0040000000008</v>
      </c>
      <c r="H92" s="34">
        <v>4575.5600000000004</v>
      </c>
      <c r="I92" s="34">
        <f>H92</f>
        <v>4575.5600000000004</v>
      </c>
      <c r="J92" s="70">
        <f t="shared" si="82"/>
        <v>5033.1160000000009</v>
      </c>
      <c r="K92" s="70">
        <f t="shared" ref="K92:K93" si="85">J92*1.07</f>
        <v>5385.4341200000017</v>
      </c>
      <c r="L92" s="70">
        <f t="shared" ref="L92:N93" si="86">K92</f>
        <v>5385.4341200000017</v>
      </c>
      <c r="M92" s="70">
        <f t="shared" si="86"/>
        <v>5385.4341200000017</v>
      </c>
      <c r="N92" s="70">
        <f t="shared" si="86"/>
        <v>5385.4341200000017</v>
      </c>
    </row>
    <row r="93" spans="2:14" x14ac:dyDescent="0.2">
      <c r="B93" s="2" t="s">
        <v>137</v>
      </c>
      <c r="C93" s="33" t="s">
        <v>33</v>
      </c>
      <c r="D93" s="33" t="s">
        <v>38</v>
      </c>
      <c r="E93" s="33" t="s">
        <v>24</v>
      </c>
      <c r="F93" s="33" t="s">
        <v>68</v>
      </c>
      <c r="G93" s="14">
        <v>4089.9363749999998</v>
      </c>
      <c r="H93" s="34">
        <v>4544.3737499999997</v>
      </c>
      <c r="I93" s="34">
        <f>H93</f>
        <v>4544.3737499999997</v>
      </c>
      <c r="J93" s="70">
        <f t="shared" ref="J93" si="87">I93*1.1</f>
        <v>4998.8111250000002</v>
      </c>
      <c r="K93" s="70">
        <f t="shared" si="85"/>
        <v>5348.7279037500002</v>
      </c>
      <c r="L93" s="70">
        <f t="shared" si="86"/>
        <v>5348.7279037500002</v>
      </c>
      <c r="M93" s="70">
        <f t="shared" si="86"/>
        <v>5348.7279037500002</v>
      </c>
      <c r="N93" s="70">
        <f t="shared" si="86"/>
        <v>5348.7279037500002</v>
      </c>
    </row>
    <row r="94" spans="2:14" x14ac:dyDescent="0.2">
      <c r="B94" s="2" t="s">
        <v>137</v>
      </c>
      <c r="C94" s="33" t="s">
        <v>153</v>
      </c>
      <c r="D94" s="33" t="s">
        <v>38</v>
      </c>
      <c r="E94" s="33" t="s">
        <v>22</v>
      </c>
      <c r="F94" s="33" t="s">
        <v>154</v>
      </c>
      <c r="G94" s="14"/>
      <c r="H94" s="34"/>
      <c r="I94" s="34"/>
      <c r="J94" s="45">
        <f>'FTEs and average salary'!F$6</f>
        <v>8502.7204558333342</v>
      </c>
      <c r="K94" s="45">
        <f>'FTEs and average salary'!G$6</f>
        <v>9161.5680339916689</v>
      </c>
      <c r="L94" s="45">
        <f>'FTEs and average salary'!H$6</f>
        <v>9766.1205575012955</v>
      </c>
      <c r="M94" s="45">
        <f>'FTEs and average salary'!I$6</f>
        <v>10422.01884967847</v>
      </c>
      <c r="N94" s="45">
        <f>'FTEs and average salary'!J$6</f>
        <v>11133.852260324764</v>
      </c>
    </row>
    <row r="95" spans="2:14" x14ac:dyDescent="0.2">
      <c r="B95" s="2" t="s">
        <v>137</v>
      </c>
      <c r="C95" s="33" t="s">
        <v>153</v>
      </c>
      <c r="D95" s="33" t="s">
        <v>38</v>
      </c>
      <c r="E95" s="33" t="s">
        <v>22</v>
      </c>
      <c r="F95" s="33" t="s">
        <v>155</v>
      </c>
      <c r="G95" s="14"/>
      <c r="H95" s="34"/>
      <c r="I95" s="34"/>
      <c r="J95" s="45">
        <f>'FTEs and average salary'!F$6</f>
        <v>8502.7204558333342</v>
      </c>
      <c r="K95" s="45">
        <f>'FTEs and average salary'!G$6</f>
        <v>9161.5680339916689</v>
      </c>
      <c r="L95" s="45">
        <f>'FTEs and average salary'!H$6</f>
        <v>9766.1205575012955</v>
      </c>
      <c r="M95" s="45">
        <f>'FTEs and average salary'!I$6</f>
        <v>10422.01884967847</v>
      </c>
      <c r="N95" s="45">
        <f>'FTEs and average salary'!J$6</f>
        <v>11133.852260324764</v>
      </c>
    </row>
    <row r="96" spans="2:14" x14ac:dyDescent="0.2">
      <c r="B96" s="2" t="s">
        <v>137</v>
      </c>
      <c r="C96" s="33" t="s">
        <v>153</v>
      </c>
      <c r="D96" s="33" t="s">
        <v>38</v>
      </c>
      <c r="E96" s="33" t="s">
        <v>22</v>
      </c>
      <c r="F96" s="33" t="s">
        <v>156</v>
      </c>
      <c r="G96" s="14"/>
      <c r="H96" s="34"/>
      <c r="I96" s="34"/>
      <c r="J96" s="45">
        <f>'FTEs and average salary'!F$6</f>
        <v>8502.7204558333342</v>
      </c>
      <c r="K96" s="45">
        <f>'FTEs and average salary'!G$6</f>
        <v>9161.5680339916689</v>
      </c>
      <c r="L96" s="45">
        <f>'FTEs and average salary'!H$6</f>
        <v>9766.1205575012955</v>
      </c>
      <c r="M96" s="45">
        <f>'FTEs and average salary'!I$6</f>
        <v>10422.01884967847</v>
      </c>
      <c r="N96" s="45">
        <f>'FTEs and average salary'!J$6</f>
        <v>11133.852260324764</v>
      </c>
    </row>
    <row r="97" spans="2:14" x14ac:dyDescent="0.2">
      <c r="B97" s="2" t="s">
        <v>137</v>
      </c>
      <c r="C97" s="33" t="s">
        <v>153</v>
      </c>
      <c r="D97" s="33" t="s">
        <v>38</v>
      </c>
      <c r="E97" s="33" t="s">
        <v>22</v>
      </c>
      <c r="F97" s="33" t="s">
        <v>157</v>
      </c>
      <c r="G97" s="14"/>
      <c r="H97" s="34"/>
      <c r="I97" s="34"/>
      <c r="J97" s="45">
        <f>'FTEs and average salary'!F$6</f>
        <v>8502.7204558333342</v>
      </c>
      <c r="K97" s="45">
        <f>'FTEs and average salary'!G$6</f>
        <v>9161.5680339916689</v>
      </c>
      <c r="L97" s="45">
        <f>'FTEs and average salary'!H$6</f>
        <v>9766.1205575012955</v>
      </c>
      <c r="M97" s="45">
        <f>'FTEs and average salary'!I$6</f>
        <v>10422.01884967847</v>
      </c>
      <c r="N97" s="45">
        <f>'FTEs and average salary'!J$6</f>
        <v>11133.852260324764</v>
      </c>
    </row>
    <row r="98" spans="2:14" x14ac:dyDescent="0.2">
      <c r="B98" s="2" t="s">
        <v>137</v>
      </c>
      <c r="C98" s="33" t="s">
        <v>153</v>
      </c>
      <c r="D98" s="33" t="s">
        <v>38</v>
      </c>
      <c r="E98" s="33" t="s">
        <v>22</v>
      </c>
      <c r="F98" s="33" t="s">
        <v>158</v>
      </c>
      <c r="G98" s="14"/>
      <c r="H98" s="34"/>
      <c r="I98" s="34"/>
      <c r="J98" s="45">
        <f>'FTEs and average salary'!F$6</f>
        <v>8502.7204558333342</v>
      </c>
      <c r="K98" s="45">
        <f>'FTEs and average salary'!G$6</f>
        <v>9161.5680339916689</v>
      </c>
      <c r="L98" s="45">
        <f>'FTEs and average salary'!H$6</f>
        <v>9766.1205575012955</v>
      </c>
      <c r="M98" s="45">
        <f>'FTEs and average salary'!I$6</f>
        <v>10422.01884967847</v>
      </c>
      <c r="N98" s="45">
        <f>'FTEs and average salary'!J$6</f>
        <v>11133.852260324764</v>
      </c>
    </row>
    <row r="99" spans="2:14" x14ac:dyDescent="0.2">
      <c r="B99" s="2" t="s">
        <v>137</v>
      </c>
      <c r="C99" s="33" t="s">
        <v>153</v>
      </c>
      <c r="D99" s="33" t="s">
        <v>38</v>
      </c>
      <c r="E99" s="33" t="s">
        <v>12</v>
      </c>
      <c r="F99" s="33" t="s">
        <v>159</v>
      </c>
      <c r="G99" s="14"/>
      <c r="H99" s="34"/>
      <c r="I99" s="34"/>
      <c r="J99" s="45">
        <f>'FTEs and average salary'!F$7</f>
        <v>14433.695926250002</v>
      </c>
      <c r="K99" s="45">
        <f>'FTEs and average salary'!G$7</f>
        <v>15496.335222650001</v>
      </c>
      <c r="L99" s="45">
        <f>'FTEs and average salary'!H$7</f>
        <v>16553.028195171439</v>
      </c>
      <c r="M99" s="45">
        <f>'FTEs and average salary'!I$7</f>
        <v>17698.026965895941</v>
      </c>
      <c r="N99" s="45">
        <f>'FTEs and average salary'!J$7</f>
        <v>18939.272440877805</v>
      </c>
    </row>
    <row r="100" spans="2:14" x14ac:dyDescent="0.2">
      <c r="B100" s="2" t="s">
        <v>137</v>
      </c>
      <c r="C100" s="33" t="s">
        <v>153</v>
      </c>
      <c r="D100" s="33" t="s">
        <v>38</v>
      </c>
      <c r="E100" s="33" t="s">
        <v>12</v>
      </c>
      <c r="F100" s="33" t="s">
        <v>160</v>
      </c>
      <c r="G100" s="14"/>
      <c r="H100" s="34"/>
      <c r="I100" s="34"/>
      <c r="J100" s="45">
        <f>'FTEs and average salary'!F$7</f>
        <v>14433.695926250002</v>
      </c>
      <c r="K100" s="45">
        <f>'FTEs and average salary'!G$7</f>
        <v>15496.335222650001</v>
      </c>
      <c r="L100" s="45">
        <f>'FTEs and average salary'!H$7</f>
        <v>16553.028195171439</v>
      </c>
      <c r="M100" s="45">
        <f>'FTEs and average salary'!I$7</f>
        <v>17698.026965895941</v>
      </c>
      <c r="N100" s="45">
        <f>'FTEs and average salary'!J$7</f>
        <v>18939.272440877805</v>
      </c>
    </row>
    <row r="101" spans="2:14" x14ac:dyDescent="0.2">
      <c r="B101" s="2" t="s">
        <v>137</v>
      </c>
      <c r="C101" s="33" t="s">
        <v>153</v>
      </c>
      <c r="D101" s="33" t="s">
        <v>38</v>
      </c>
      <c r="E101" s="33" t="s">
        <v>12</v>
      </c>
      <c r="F101" s="33" t="s">
        <v>161</v>
      </c>
      <c r="G101" s="14"/>
      <c r="H101" s="34"/>
      <c r="I101" s="34"/>
      <c r="J101" s="45">
        <f>'FTEs and average salary'!F$7</f>
        <v>14433.695926250002</v>
      </c>
      <c r="K101" s="45">
        <f>'FTEs and average salary'!G$7</f>
        <v>15496.335222650001</v>
      </c>
      <c r="L101" s="45">
        <f>'FTEs and average salary'!H$7</f>
        <v>16553.028195171439</v>
      </c>
      <c r="M101" s="45">
        <f>'FTEs and average salary'!I$7</f>
        <v>17698.026965895941</v>
      </c>
      <c r="N101" s="45">
        <f>'FTEs and average salary'!J$7</f>
        <v>18939.272440877805</v>
      </c>
    </row>
    <row r="102" spans="2:14" x14ac:dyDescent="0.2">
      <c r="B102" s="2" t="s">
        <v>137</v>
      </c>
      <c r="C102" s="33" t="s">
        <v>153</v>
      </c>
      <c r="D102" s="33" t="s">
        <v>38</v>
      </c>
      <c r="E102" s="33" t="s">
        <v>12</v>
      </c>
      <c r="F102" s="33" t="s">
        <v>162</v>
      </c>
      <c r="G102" s="14"/>
      <c r="H102" s="34"/>
      <c r="I102" s="34"/>
      <c r="J102" s="45">
        <f>'FTEs and average salary'!F$7</f>
        <v>14433.695926250002</v>
      </c>
      <c r="K102" s="45">
        <f>'FTEs and average salary'!G$7</f>
        <v>15496.335222650001</v>
      </c>
      <c r="L102" s="45">
        <f>'FTEs and average salary'!H$7</f>
        <v>16553.028195171439</v>
      </c>
      <c r="M102" s="45">
        <f>'FTEs and average salary'!I$7</f>
        <v>17698.026965895941</v>
      </c>
      <c r="N102" s="45">
        <f>'FTEs and average salary'!J$7</f>
        <v>18939.272440877805</v>
      </c>
    </row>
    <row r="103" spans="2:14" x14ac:dyDescent="0.2">
      <c r="B103" s="2" t="s">
        <v>137</v>
      </c>
      <c r="C103" s="33" t="s">
        <v>153</v>
      </c>
      <c r="D103" s="33" t="s">
        <v>38</v>
      </c>
      <c r="E103" s="33" t="s">
        <v>12</v>
      </c>
      <c r="F103" s="33" t="s">
        <v>163</v>
      </c>
      <c r="G103" s="14"/>
      <c r="H103" s="34"/>
      <c r="I103" s="34"/>
      <c r="J103" s="45">
        <f>'FTEs and average salary'!F$7</f>
        <v>14433.695926250002</v>
      </c>
      <c r="K103" s="45">
        <f>'FTEs and average salary'!G$7</f>
        <v>15496.335222650001</v>
      </c>
      <c r="L103" s="45">
        <f>'FTEs and average salary'!H$7</f>
        <v>16553.028195171439</v>
      </c>
      <c r="M103" s="45">
        <f>'FTEs and average salary'!I$7</f>
        <v>17698.026965895941</v>
      </c>
      <c r="N103" s="45">
        <f>'FTEs and average salary'!J$7</f>
        <v>18939.272440877805</v>
      </c>
    </row>
    <row r="104" spans="2:14" x14ac:dyDescent="0.2">
      <c r="B104" s="2" t="s">
        <v>137</v>
      </c>
      <c r="C104" s="33" t="s">
        <v>153</v>
      </c>
      <c r="D104" s="33" t="s">
        <v>38</v>
      </c>
      <c r="E104" s="33" t="s">
        <v>23</v>
      </c>
      <c r="F104" s="33" t="s">
        <v>164</v>
      </c>
      <c r="G104" s="14"/>
      <c r="H104" s="34"/>
      <c r="I104" s="34"/>
      <c r="J104" s="45">
        <f>'FTEs and average salary'!F$8</f>
        <v>7749.7806077500009</v>
      </c>
      <c r="K104" s="45">
        <f>'FTEs and average salary'!G$8</f>
        <v>8141.1514666675012</v>
      </c>
      <c r="L104" s="45">
        <f>'FTEs and average salary'!H$8</f>
        <v>8409.0354207792261</v>
      </c>
      <c r="M104" s="45">
        <f>'FTEs and average salary'!I$8</f>
        <v>8690.5468201025215</v>
      </c>
      <c r="N104" s="45">
        <f>'FTEs and average salary'!J$8</f>
        <v>8986.383364223384</v>
      </c>
    </row>
    <row r="105" spans="2:14" x14ac:dyDescent="0.2">
      <c r="B105" s="2" t="s">
        <v>137</v>
      </c>
      <c r="C105" s="33" t="s">
        <v>153</v>
      </c>
      <c r="D105" s="33" t="s">
        <v>38</v>
      </c>
      <c r="E105" s="33" t="s">
        <v>23</v>
      </c>
      <c r="F105" s="33" t="s">
        <v>165</v>
      </c>
      <c r="G105" s="14"/>
      <c r="H105" s="34"/>
      <c r="I105" s="34"/>
      <c r="J105" s="45">
        <f>'FTEs and average salary'!F$8</f>
        <v>7749.7806077500009</v>
      </c>
      <c r="K105" s="45">
        <f>'FTEs and average salary'!G$8</f>
        <v>8141.1514666675012</v>
      </c>
      <c r="L105" s="45">
        <f>'FTEs and average salary'!H$8</f>
        <v>8409.0354207792261</v>
      </c>
      <c r="M105" s="45">
        <f>'FTEs and average salary'!I$8</f>
        <v>8690.5468201025215</v>
      </c>
      <c r="N105" s="45">
        <f>'FTEs and average salary'!J$8</f>
        <v>8986.383364223384</v>
      </c>
    </row>
    <row r="106" spans="2:14" x14ac:dyDescent="0.2">
      <c r="B106" s="2" t="s">
        <v>137</v>
      </c>
      <c r="C106" s="33" t="s">
        <v>153</v>
      </c>
      <c r="D106" s="33" t="s">
        <v>38</v>
      </c>
      <c r="E106" s="33" t="s">
        <v>23</v>
      </c>
      <c r="F106" s="33" t="s">
        <v>166</v>
      </c>
      <c r="G106" s="14"/>
      <c r="H106" s="34"/>
      <c r="I106" s="34"/>
      <c r="J106" s="45">
        <f>'FTEs and average salary'!F$8</f>
        <v>7749.7806077500009</v>
      </c>
      <c r="K106" s="45">
        <f>'FTEs and average salary'!G$8</f>
        <v>8141.1514666675012</v>
      </c>
      <c r="L106" s="45">
        <f>'FTEs and average salary'!H$8</f>
        <v>8409.0354207792261</v>
      </c>
      <c r="M106" s="45">
        <f>'FTEs and average salary'!I$8</f>
        <v>8690.5468201025215</v>
      </c>
      <c r="N106" s="45">
        <f>'FTEs and average salary'!J$8</f>
        <v>8986.383364223384</v>
      </c>
    </row>
    <row r="107" spans="2:14" x14ac:dyDescent="0.2">
      <c r="B107" s="2" t="s">
        <v>137</v>
      </c>
      <c r="C107" s="33" t="s">
        <v>153</v>
      </c>
      <c r="D107" s="33" t="s">
        <v>38</v>
      </c>
      <c r="E107" s="33" t="s">
        <v>23</v>
      </c>
      <c r="F107" s="33" t="s">
        <v>167</v>
      </c>
      <c r="G107" s="14"/>
      <c r="H107" s="34"/>
      <c r="I107" s="34"/>
      <c r="J107" s="45">
        <f>'FTEs and average salary'!F$8</f>
        <v>7749.7806077500009</v>
      </c>
      <c r="K107" s="45">
        <f>'FTEs and average salary'!G$8</f>
        <v>8141.1514666675012</v>
      </c>
      <c r="L107" s="45">
        <f>'FTEs and average salary'!H$8</f>
        <v>8409.0354207792261</v>
      </c>
      <c r="M107" s="45">
        <f>'FTEs and average salary'!I$8</f>
        <v>8690.5468201025215</v>
      </c>
      <c r="N107" s="45">
        <f>'FTEs and average salary'!J$8</f>
        <v>8986.383364223384</v>
      </c>
    </row>
    <row r="108" spans="2:14" x14ac:dyDescent="0.2">
      <c r="B108" s="2" t="s">
        <v>137</v>
      </c>
      <c r="C108" s="33" t="s">
        <v>153</v>
      </c>
      <c r="D108" s="33" t="s">
        <v>38</v>
      </c>
      <c r="E108" s="33" t="s">
        <v>23</v>
      </c>
      <c r="F108" s="33" t="s">
        <v>168</v>
      </c>
      <c r="G108" s="14"/>
      <c r="H108" s="34"/>
      <c r="I108" s="34"/>
      <c r="J108" s="45">
        <f>'FTEs and average salary'!F$8</f>
        <v>7749.7806077500009</v>
      </c>
      <c r="K108" s="45">
        <f>'FTEs and average salary'!G$8</f>
        <v>8141.1514666675012</v>
      </c>
      <c r="L108" s="45">
        <f>'FTEs and average salary'!H$8</f>
        <v>8409.0354207792261</v>
      </c>
      <c r="M108" s="45">
        <f>'FTEs and average salary'!I$8</f>
        <v>8690.5468201025215</v>
      </c>
      <c r="N108" s="45">
        <f>'FTEs and average salary'!J$8</f>
        <v>8986.383364223384</v>
      </c>
    </row>
    <row r="109" spans="2:14" x14ac:dyDescent="0.2">
      <c r="B109" s="2" t="s">
        <v>137</v>
      </c>
      <c r="C109" s="33" t="s">
        <v>153</v>
      </c>
      <c r="D109" s="33" t="s">
        <v>38</v>
      </c>
      <c r="E109" s="33" t="s">
        <v>24</v>
      </c>
      <c r="F109" s="33" t="s">
        <v>169</v>
      </c>
      <c r="G109" s="14"/>
      <c r="H109" s="34"/>
      <c r="I109" s="34"/>
      <c r="J109" s="45">
        <f>'FTEs and average salary'!F$10</f>
        <v>6353.5748409523803</v>
      </c>
      <c r="K109" s="45">
        <f>'FTEs and average salary'!G$10</f>
        <v>6673.9989131523807</v>
      </c>
      <c r="L109" s="45">
        <f>'FTEs and average salary'!H$10</f>
        <v>6898.6246569355471</v>
      </c>
      <c r="M109" s="45">
        <f>'FTEs and average salary'!I$10</f>
        <v>7135.5991103460356</v>
      </c>
      <c r="N109" s="45">
        <f>'FTEs and average salary'!J$10</f>
        <v>7385.617928435885</v>
      </c>
    </row>
    <row r="110" spans="2:14" x14ac:dyDescent="0.2">
      <c r="B110" s="2" t="s">
        <v>137</v>
      </c>
      <c r="C110" s="33" t="s">
        <v>153</v>
      </c>
      <c r="D110" s="33" t="s">
        <v>38</v>
      </c>
      <c r="E110" s="33" t="s">
        <v>24</v>
      </c>
      <c r="F110" s="33" t="s">
        <v>170</v>
      </c>
      <c r="G110" s="14"/>
      <c r="H110" s="34"/>
      <c r="I110" s="34"/>
      <c r="J110" s="45">
        <f>'FTEs and average salary'!F$10</f>
        <v>6353.5748409523803</v>
      </c>
      <c r="K110" s="45">
        <f>'FTEs and average salary'!G$10</f>
        <v>6673.9989131523807</v>
      </c>
      <c r="L110" s="45">
        <f>'FTEs and average salary'!H$10</f>
        <v>6898.6246569355471</v>
      </c>
      <c r="M110" s="45">
        <f>'FTEs and average salary'!I$10</f>
        <v>7135.5991103460356</v>
      </c>
      <c r="N110" s="45">
        <f>'FTEs and average salary'!J$10</f>
        <v>7385.617928435885</v>
      </c>
    </row>
    <row r="111" spans="2:14" x14ac:dyDescent="0.2">
      <c r="B111" s="2" t="s">
        <v>137</v>
      </c>
      <c r="C111" s="33" t="s">
        <v>153</v>
      </c>
      <c r="D111" s="33" t="s">
        <v>38</v>
      </c>
      <c r="E111" s="33" t="s">
        <v>24</v>
      </c>
      <c r="F111" s="33" t="s">
        <v>171</v>
      </c>
      <c r="G111" s="14"/>
      <c r="H111" s="34"/>
      <c r="I111" s="34"/>
      <c r="J111" s="45">
        <f>'FTEs and average salary'!F$10</f>
        <v>6353.5748409523803</v>
      </c>
      <c r="K111" s="45">
        <f>'FTEs and average salary'!G$10</f>
        <v>6673.9989131523807</v>
      </c>
      <c r="L111" s="45">
        <f>'FTEs and average salary'!H$10</f>
        <v>6898.6246569355471</v>
      </c>
      <c r="M111" s="45">
        <f>'FTEs and average salary'!I$10</f>
        <v>7135.5991103460356</v>
      </c>
      <c r="N111" s="45">
        <f>'FTEs and average salary'!J$10</f>
        <v>7385.617928435885</v>
      </c>
    </row>
    <row r="112" spans="2:14" x14ac:dyDescent="0.2">
      <c r="B112" s="2" t="s">
        <v>137</v>
      </c>
      <c r="C112" s="33" t="s">
        <v>153</v>
      </c>
      <c r="D112" s="33" t="s">
        <v>38</v>
      </c>
      <c r="E112" s="33" t="s">
        <v>24</v>
      </c>
      <c r="F112" s="33" t="s">
        <v>172</v>
      </c>
      <c r="G112" s="14"/>
      <c r="H112" s="34"/>
      <c r="I112" s="34"/>
      <c r="J112" s="45">
        <f>'FTEs and average salary'!F$10</f>
        <v>6353.5748409523803</v>
      </c>
      <c r="K112" s="45">
        <f>'FTEs and average salary'!G$10</f>
        <v>6673.9989131523807</v>
      </c>
      <c r="L112" s="45">
        <f>'FTEs and average salary'!H$10</f>
        <v>6898.6246569355471</v>
      </c>
      <c r="M112" s="45">
        <f>'FTEs and average salary'!I$10</f>
        <v>7135.5991103460356</v>
      </c>
      <c r="N112" s="45">
        <f>'FTEs and average salary'!J$10</f>
        <v>7385.617928435885</v>
      </c>
    </row>
    <row r="113" spans="2:14" x14ac:dyDescent="0.2">
      <c r="B113" s="2" t="s">
        <v>137</v>
      </c>
      <c r="C113" s="33" t="s">
        <v>153</v>
      </c>
      <c r="D113" s="33" t="s">
        <v>38</v>
      </c>
      <c r="E113" s="33" t="s">
        <v>24</v>
      </c>
      <c r="F113" s="33" t="s">
        <v>173</v>
      </c>
      <c r="G113" s="14"/>
      <c r="H113" s="34"/>
      <c r="I113" s="34"/>
      <c r="J113" s="45">
        <f>'FTEs and average salary'!F$10</f>
        <v>6353.5748409523803</v>
      </c>
      <c r="K113" s="45">
        <f>'FTEs and average salary'!G$10</f>
        <v>6673.9989131523807</v>
      </c>
      <c r="L113" s="45">
        <f>'FTEs and average salary'!H$10</f>
        <v>6898.6246569355471</v>
      </c>
      <c r="M113" s="45">
        <f>'FTEs and average salary'!I$10</f>
        <v>7135.5991103460356</v>
      </c>
      <c r="N113" s="45">
        <f>'FTEs and average salary'!J$10</f>
        <v>7385.617928435885</v>
      </c>
    </row>
    <row r="114" spans="2:14" ht="12" x14ac:dyDescent="0.25">
      <c r="C114" s="37" t="s">
        <v>130</v>
      </c>
      <c r="D114" s="37"/>
      <c r="E114" s="37"/>
      <c r="F114" s="37"/>
      <c r="G114" s="38">
        <f>SUM(G5:G113)</f>
        <v>592002.95400000014</v>
      </c>
      <c r="H114" s="38">
        <f t="shared" ref="H114:N114" si="88">SUM(H5:H113)</f>
        <v>657781.06000000017</v>
      </c>
      <c r="I114" s="38">
        <f t="shared" si="88"/>
        <v>747807.2482500003</v>
      </c>
      <c r="J114" s="72">
        <f t="shared" si="88"/>
        <v>922060.89066892897</v>
      </c>
      <c r="K114" s="72">
        <f t="shared" si="88"/>
        <v>982193.13644335745</v>
      </c>
      <c r="L114" s="72">
        <f t="shared" si="88"/>
        <v>1035651.9937372985</v>
      </c>
      <c r="M114" s="72">
        <f t="shared" si="88"/>
        <v>1093206.3498270756</v>
      </c>
      <c r="N114" s="72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175</v>
      </c>
    </row>
    <row r="4" spans="2:10" ht="12.6" thickBot="1" x14ac:dyDescent="0.3">
      <c r="C4" s="12" t="s">
        <v>149</v>
      </c>
      <c r="D4" s="12"/>
      <c r="E4" s="12"/>
      <c r="F4" s="47" t="s">
        <v>148</v>
      </c>
      <c r="G4" s="47"/>
      <c r="H4" s="47"/>
      <c r="I4" s="47"/>
      <c r="J4" s="47"/>
    </row>
    <row r="5" spans="2:10" ht="12.6" thickBot="1" x14ac:dyDescent="0.3">
      <c r="B5" s="28" t="s">
        <v>176</v>
      </c>
      <c r="C5" s="28" t="s">
        <v>8</v>
      </c>
      <c r="D5" s="28" t="s">
        <v>7</v>
      </c>
      <c r="E5" s="28" t="s">
        <v>6</v>
      </c>
      <c r="F5" s="47" t="s">
        <v>15</v>
      </c>
      <c r="G5" s="47" t="s">
        <v>16</v>
      </c>
      <c r="H5" s="47" t="s">
        <v>17</v>
      </c>
      <c r="I5" s="47" t="s">
        <v>20</v>
      </c>
      <c r="J5" s="47" t="s">
        <v>21</v>
      </c>
    </row>
    <row r="6" spans="2:10" x14ac:dyDescent="0.2">
      <c r="B6" s="2" t="s">
        <v>22</v>
      </c>
      <c r="C6" s="14">
        <f>IFERROR(AVERAGEIF('List of employees &amp; salaries'!$E$5:$E$93,$B6,'List of employees &amp; salaries'!G$5:G$93),"")</f>
        <v>6612.8343562500004</v>
      </c>
      <c r="D6" s="14">
        <f>IFERROR(AVERAGEIF('List of employees &amp; salaries'!$E$5:$E$93,$B6,'List of employees &amp; salaries'!H$5:H$93),"")</f>
        <v>7347.5937291666669</v>
      </c>
      <c r="E6" s="14">
        <f>IFERROR(AVERAGEIF('List of employees &amp; salaries'!$E$5:$E$93,$B6,'List of employees &amp; salaries'!I$5:I$93),"")</f>
        <v>7856.8716458333329</v>
      </c>
      <c r="F6" s="50">
        <f>IFERROR(AVERAGEIF('List of employees &amp; salaries'!$E$5:$E$93,$B6,'List of employees &amp; salaries'!J$5:J$93),"")</f>
        <v>8502.7204558333342</v>
      </c>
      <c r="G6" s="50">
        <f>IFERROR(AVERAGEIF('List of employees &amp; salaries'!$E$5:$E$93,$B6,'List of employees &amp; salaries'!K$5:K$93),"")</f>
        <v>9161.5680339916689</v>
      </c>
      <c r="H6" s="50">
        <f>IFERROR(AVERAGEIF('List of employees &amp; salaries'!$E$5:$E$93,$B6,'List of employees &amp; salaries'!L$5:L$93),"")</f>
        <v>9766.1205575012955</v>
      </c>
      <c r="I6" s="50">
        <f>IFERROR(AVERAGEIF('List of employees &amp; salaries'!$E$5:$E$93,$B6,'List of employees &amp; salaries'!M$5:M$93),"")</f>
        <v>10422.01884967847</v>
      </c>
      <c r="J6" s="50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12</v>
      </c>
      <c r="C7" s="14">
        <f>IFERROR(AVERAGEIF('List of employees &amp; salaries'!$E$5:$E$93,$B7,'List of employees &amp; salaries'!G$5:G$93),"")</f>
        <v>10246.191121874999</v>
      </c>
      <c r="D7" s="14">
        <f>IFERROR(AVERAGEIF('List of employees &amp; salaries'!$E$5:$E$93,$B7,'List of employees &amp; salaries'!H$5:H$93),"")</f>
        <v>11384.656802083331</v>
      </c>
      <c r="E7" s="14">
        <f>IFERROR(AVERAGEIF('List of employees &amp; salaries'!$E$5:$E$93,$B7,'List of employees &amp; salaries'!I$5:I$93),"")</f>
        <v>13419.482041666668</v>
      </c>
      <c r="F7" s="50">
        <f>IFERROR(AVERAGEIF('List of employees &amp; salaries'!$E$5:$E$93,$B7,'List of employees &amp; salaries'!J$5:J$93),"")</f>
        <v>14433.695926250002</v>
      </c>
      <c r="G7" s="50">
        <f>IFERROR(AVERAGEIF('List of employees &amp; salaries'!$E$5:$E$93,$B7,'List of employees &amp; salaries'!K$5:K$93),"")</f>
        <v>15496.335222650001</v>
      </c>
      <c r="H7" s="50">
        <f>IFERROR(AVERAGEIF('List of employees &amp; salaries'!$E$5:$E$93,$B7,'List of employees &amp; salaries'!L$5:L$93),"")</f>
        <v>16553.028195171439</v>
      </c>
      <c r="I7" s="50">
        <f>IFERROR(AVERAGEIF('List of employees &amp; salaries'!$E$5:$E$93,$B7,'List of employees &amp; salaries'!M$5:M$93),"")</f>
        <v>17698.026965895941</v>
      </c>
      <c r="J7" s="50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23</v>
      </c>
      <c r="C8" s="14">
        <f>IFERROR(AVERAGEIF('List of employees &amp; salaries'!$E$5:$E$93,$B8,'List of employees &amp; salaries'!G$5:G$93),"")</f>
        <v>5935.8135149999998</v>
      </c>
      <c r="D8" s="14">
        <f>IFERROR(AVERAGEIF('List of employees &amp; salaries'!$E$5:$E$93,$B8,'List of employees &amp; salaries'!H$5:H$93),"")</f>
        <v>6595.3483500000002</v>
      </c>
      <c r="E8" s="14">
        <f>IFERROR(AVERAGEIF('List of employees &amp; salaries'!$E$5:$E$93,$B8,'List of employees &amp; salaries'!I$5:I$93),"")</f>
        <v>7329.9847625000011</v>
      </c>
      <c r="F8" s="50">
        <f>IFERROR(AVERAGEIF('List of employees &amp; salaries'!$E$5:$E$93,$B8,'List of employees &amp; salaries'!J$5:J$93),"")</f>
        <v>7749.7806077500009</v>
      </c>
      <c r="G8" s="50">
        <f>IFERROR(AVERAGEIF('List of employees &amp; salaries'!$E$5:$E$93,$B8,'List of employees &amp; salaries'!K$5:K$93),"")</f>
        <v>8141.1514666675012</v>
      </c>
      <c r="H8" s="50">
        <f>IFERROR(AVERAGEIF('List of employees &amp; salaries'!$E$5:$E$93,$B8,'List of employees &amp; salaries'!L$5:L$93),"")</f>
        <v>8409.0354207792261</v>
      </c>
      <c r="I8" s="50">
        <f>IFERROR(AVERAGEIF('List of employees &amp; salaries'!$E$5:$E$93,$B8,'List of employees &amp; salaries'!M$5:M$93),"")</f>
        <v>8690.5468201025215</v>
      </c>
      <c r="J8" s="50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25</v>
      </c>
      <c r="C9" s="14">
        <f>IFERROR(AVERAGEIF('List of employees &amp; salaries'!$E$5:$E$93,$B9,'List of employees &amp; salaries'!G$5:G$93),"")</f>
        <v>3891.6064124999998</v>
      </c>
      <c r="D9" s="14">
        <f>IFERROR(AVERAGEIF('List of employees &amp; salaries'!$E$5:$E$93,$B9,'List of employees &amp; salaries'!H$5:H$93),"")</f>
        <v>4324.007125000001</v>
      </c>
      <c r="E9" s="14">
        <f>IFERROR(AVERAGEIF('List of employees &amp; salaries'!$E$5:$E$93,$B9,'List of employees &amp; salaries'!I$5:I$93),"")</f>
        <v>4883.5962499999996</v>
      </c>
      <c r="F9" s="50" t="str">
        <f>IFERROR(AVERAGEIF('List of employees &amp; salaries'!$E$5:$E$93,$B9,'List of employees &amp; salaries'!J$5:J$93),"")</f>
        <v/>
      </c>
      <c r="G9" s="50" t="str">
        <f>IFERROR(AVERAGEIF('List of employees &amp; salaries'!$E$5:$E$93,$B9,'List of employees &amp; salaries'!K$5:K$93),"")</f>
        <v/>
      </c>
      <c r="H9" s="50" t="str">
        <f>IFERROR(AVERAGEIF('List of employees &amp; salaries'!$E$5:$E$93,$B9,'List of employees &amp; salaries'!L$5:L$93),"")</f>
        <v/>
      </c>
      <c r="I9" s="50" t="str">
        <f>IFERROR(AVERAGEIF('List of employees &amp; salaries'!$E$5:$E$93,$B9,'List of employees &amp; salaries'!M$5:M$93),"")</f>
        <v/>
      </c>
      <c r="J9" s="50" t="str">
        <f>IFERROR(AVERAGEIF('List of employees &amp; salaries'!$E$5:$E$93,$B9,'List of employees &amp; salaries'!N$5:N$93),"")</f>
        <v/>
      </c>
    </row>
    <row r="10" spans="2:10" x14ac:dyDescent="0.2">
      <c r="B10" s="2" t="s">
        <v>24</v>
      </c>
      <c r="C10" s="14">
        <f>IFERROR(AVERAGEIF('List of employees &amp; salaries'!$E$5:$E$93,$B10,'List of employees &amp; salaries'!G$5:G$93),"")</f>
        <v>4824.9908357142867</v>
      </c>
      <c r="D10" s="14">
        <f>IFERROR(AVERAGEIF('List of employees &amp; salaries'!$E$5:$E$93,$B10,'List of employees &amp; salaries'!H$5:H$93),"")</f>
        <v>5361.100928571429</v>
      </c>
      <c r="E10" s="14">
        <f>IFERROR(AVERAGEIF('List of employees &amp; salaries'!$E$5:$E$93,$B10,'List of employees &amp; salaries'!I$5:I$93),"")</f>
        <v>6012.1128214285718</v>
      </c>
      <c r="F10" s="50">
        <f>IFERROR(AVERAGEIF('List of employees &amp; salaries'!$E$5:$E$93,$B10,'List of employees &amp; salaries'!J$5:J$93),"")</f>
        <v>6353.5748409523803</v>
      </c>
      <c r="G10" s="50">
        <f>IFERROR(AVERAGEIF('List of employees &amp; salaries'!$E$5:$E$93,$B10,'List of employees &amp; salaries'!K$5:K$93),"")</f>
        <v>6673.9989131523807</v>
      </c>
      <c r="H10" s="50">
        <f>IFERROR(AVERAGEIF('List of employees &amp; salaries'!$E$5:$E$93,$B10,'List of employees &amp; salaries'!L$5:L$93),"")</f>
        <v>6898.6246569355471</v>
      </c>
      <c r="I10" s="50">
        <f>IFERROR(AVERAGEIF('List of employees &amp; salaries'!$E$5:$E$93,$B10,'List of employees &amp; salaries'!M$5:M$93),"")</f>
        <v>7135.5991103460356</v>
      </c>
      <c r="J10" s="50">
        <f>IFERROR(AVERAGEIF('List of employees &amp; salaries'!$E$5:$E$93,$B10,'List of employees &amp; salaries'!N$5:N$93),"")</f>
        <v>7385.617928435885</v>
      </c>
    </row>
    <row r="11" spans="2:10" ht="12" x14ac:dyDescent="0.25">
      <c r="B11" s="43" t="s">
        <v>176</v>
      </c>
      <c r="C11" s="44">
        <f>AVERAGE(C6:C10)</f>
        <v>6302.2872482678576</v>
      </c>
      <c r="D11" s="44">
        <f t="shared" ref="D11:J11" si="0">AVERAGE(D6:D10)</f>
        <v>7002.5413869642853</v>
      </c>
      <c r="E11" s="44">
        <f t="shared" si="0"/>
        <v>7900.4095042857134</v>
      </c>
      <c r="F11" s="44">
        <f t="shared" si="0"/>
        <v>9259.9429576964285</v>
      </c>
      <c r="G11" s="44">
        <f t="shared" si="0"/>
        <v>9868.2634091153886</v>
      </c>
      <c r="H11" s="44">
        <f t="shared" si="0"/>
        <v>10406.702207596878</v>
      </c>
      <c r="I11" s="44">
        <f t="shared" si="0"/>
        <v>10986.547936505742</v>
      </c>
      <c r="J11" s="44">
        <f t="shared" si="0"/>
        <v>11611.28149846546</v>
      </c>
    </row>
    <row r="13" spans="2:10" ht="12.6" thickBot="1" x14ac:dyDescent="0.3">
      <c r="C13" s="12" t="s">
        <v>149</v>
      </c>
      <c r="D13" s="12"/>
      <c r="E13" s="12"/>
      <c r="F13" s="47" t="s">
        <v>148</v>
      </c>
      <c r="G13" s="47"/>
      <c r="H13" s="47"/>
      <c r="I13" s="47"/>
      <c r="J13" s="47"/>
    </row>
    <row r="14" spans="2:10" ht="24.6" thickBot="1" x14ac:dyDescent="0.3">
      <c r="B14" s="28" t="s">
        <v>177</v>
      </c>
      <c r="C14" s="28" t="s">
        <v>8</v>
      </c>
      <c r="D14" s="28" t="s">
        <v>7</v>
      </c>
      <c r="E14" s="28" t="s">
        <v>6</v>
      </c>
      <c r="F14" s="47" t="s">
        <v>15</v>
      </c>
      <c r="G14" s="47" t="s">
        <v>16</v>
      </c>
      <c r="H14" s="47" t="s">
        <v>17</v>
      </c>
      <c r="I14" s="47" t="s">
        <v>20</v>
      </c>
      <c r="J14" s="47" t="s">
        <v>21</v>
      </c>
    </row>
    <row r="15" spans="2:10" x14ac:dyDescent="0.2">
      <c r="B15" s="2" t="s">
        <v>22</v>
      </c>
      <c r="C15" s="14">
        <f>C35</f>
        <v>12</v>
      </c>
      <c r="D15" s="14">
        <f t="shared" ref="D15:J15" si="1">D35</f>
        <v>12</v>
      </c>
      <c r="E15" s="14">
        <f t="shared" si="1"/>
        <v>12</v>
      </c>
      <c r="F15" s="50">
        <f t="shared" si="1"/>
        <v>17</v>
      </c>
      <c r="G15" s="50">
        <f t="shared" si="1"/>
        <v>17</v>
      </c>
      <c r="H15" s="50">
        <f t="shared" si="1"/>
        <v>17</v>
      </c>
      <c r="I15" s="50">
        <f t="shared" si="1"/>
        <v>17</v>
      </c>
      <c r="J15" s="50">
        <f t="shared" si="1"/>
        <v>17</v>
      </c>
    </row>
    <row r="16" spans="2:10" x14ac:dyDescent="0.2">
      <c r="B16" s="2" t="s">
        <v>12</v>
      </c>
      <c r="C16" s="14">
        <f t="shared" ref="C16:J16" si="2">C36</f>
        <v>24</v>
      </c>
      <c r="D16" s="14">
        <f t="shared" si="2"/>
        <v>24</v>
      </c>
      <c r="E16" s="14">
        <f t="shared" si="2"/>
        <v>24</v>
      </c>
      <c r="F16" s="50">
        <f t="shared" si="2"/>
        <v>29</v>
      </c>
      <c r="G16" s="50">
        <f t="shared" si="2"/>
        <v>29</v>
      </c>
      <c r="H16" s="50">
        <f t="shared" si="2"/>
        <v>29</v>
      </c>
      <c r="I16" s="50">
        <f t="shared" si="2"/>
        <v>29</v>
      </c>
      <c r="J16" s="50">
        <f t="shared" si="2"/>
        <v>29</v>
      </c>
    </row>
    <row r="17" spans="2:10" x14ac:dyDescent="0.2">
      <c r="B17" s="2" t="s">
        <v>23</v>
      </c>
      <c r="C17" s="14">
        <f t="shared" ref="C17:J17" si="3">C37</f>
        <v>20</v>
      </c>
      <c r="D17" s="14">
        <f t="shared" si="3"/>
        <v>20</v>
      </c>
      <c r="E17" s="14">
        <f t="shared" si="3"/>
        <v>20</v>
      </c>
      <c r="F17" s="50">
        <f t="shared" si="3"/>
        <v>25</v>
      </c>
      <c r="G17" s="50">
        <f t="shared" si="3"/>
        <v>25</v>
      </c>
      <c r="H17" s="50">
        <f t="shared" si="3"/>
        <v>25</v>
      </c>
      <c r="I17" s="50">
        <f t="shared" si="3"/>
        <v>25</v>
      </c>
      <c r="J17" s="50">
        <f t="shared" si="3"/>
        <v>25</v>
      </c>
    </row>
    <row r="18" spans="2:10" x14ac:dyDescent="0.2">
      <c r="B18" s="2" t="s">
        <v>25</v>
      </c>
      <c r="C18" s="14">
        <f t="shared" ref="C18:J18" si="4">C38</f>
        <v>12</v>
      </c>
      <c r="D18" s="14">
        <f t="shared" si="4"/>
        <v>12</v>
      </c>
      <c r="E18" s="14">
        <f t="shared" si="4"/>
        <v>12</v>
      </c>
      <c r="F18" s="50">
        <f t="shared" si="4"/>
        <v>0</v>
      </c>
      <c r="G18" s="50">
        <f t="shared" si="4"/>
        <v>0</v>
      </c>
      <c r="H18" s="50">
        <f t="shared" si="4"/>
        <v>0</v>
      </c>
      <c r="I18" s="50">
        <f t="shared" si="4"/>
        <v>0</v>
      </c>
      <c r="J18" s="50">
        <f t="shared" si="4"/>
        <v>0</v>
      </c>
    </row>
    <row r="19" spans="2:10" x14ac:dyDescent="0.2">
      <c r="B19" s="2" t="s">
        <v>24</v>
      </c>
      <c r="C19" s="14">
        <f t="shared" ref="C19:J19" si="5">C39</f>
        <v>21</v>
      </c>
      <c r="D19" s="14">
        <f t="shared" si="5"/>
        <v>21</v>
      </c>
      <c r="E19" s="14">
        <f t="shared" si="5"/>
        <v>21</v>
      </c>
      <c r="F19" s="50">
        <f t="shared" si="5"/>
        <v>26</v>
      </c>
      <c r="G19" s="50">
        <f t="shared" si="5"/>
        <v>26</v>
      </c>
      <c r="H19" s="50">
        <f t="shared" si="5"/>
        <v>26</v>
      </c>
      <c r="I19" s="50">
        <f t="shared" si="5"/>
        <v>26</v>
      </c>
      <c r="J19" s="50">
        <f t="shared" si="5"/>
        <v>26</v>
      </c>
    </row>
    <row r="20" spans="2:10" ht="12" x14ac:dyDescent="0.25">
      <c r="B20" s="43" t="s">
        <v>144</v>
      </c>
      <c r="C20" s="44">
        <f>SUM(C15:C19)</f>
        <v>89</v>
      </c>
      <c r="D20" s="44">
        <f t="shared" ref="D20:J20" si="6">SUM(D15:D19)</f>
        <v>89</v>
      </c>
      <c r="E20" s="44">
        <f t="shared" si="6"/>
        <v>89</v>
      </c>
      <c r="F20" s="44">
        <f t="shared" si="6"/>
        <v>97</v>
      </c>
      <c r="G20" s="44">
        <f t="shared" si="6"/>
        <v>97</v>
      </c>
      <c r="H20" s="44">
        <f t="shared" si="6"/>
        <v>97</v>
      </c>
      <c r="I20" s="44">
        <f t="shared" si="6"/>
        <v>97</v>
      </c>
      <c r="J20" s="44">
        <f t="shared" si="6"/>
        <v>97</v>
      </c>
    </row>
    <row r="22" spans="2:10" ht="12.6" thickBot="1" x14ac:dyDescent="0.3">
      <c r="C22" s="12" t="s">
        <v>149</v>
      </c>
      <c r="D22" s="12"/>
      <c r="E22" s="12"/>
      <c r="F22" s="47" t="s">
        <v>148</v>
      </c>
      <c r="G22" s="47"/>
      <c r="H22" s="47"/>
      <c r="I22" s="47"/>
      <c r="J22" s="47"/>
    </row>
    <row r="23" spans="2:10" ht="12.6" thickBot="1" x14ac:dyDescent="0.3">
      <c r="B23" s="28" t="s">
        <v>192</v>
      </c>
      <c r="C23" s="28" t="s">
        <v>8</v>
      </c>
      <c r="D23" s="28" t="s">
        <v>7</v>
      </c>
      <c r="E23" s="28" t="s">
        <v>6</v>
      </c>
      <c r="F23" s="47" t="s">
        <v>15</v>
      </c>
      <c r="G23" s="47" t="s">
        <v>16</v>
      </c>
      <c r="H23" s="47" t="s">
        <v>17</v>
      </c>
      <c r="I23" s="47" t="s">
        <v>20</v>
      </c>
      <c r="J23" s="47" t="s">
        <v>21</v>
      </c>
    </row>
    <row r="24" spans="2:10" x14ac:dyDescent="0.2">
      <c r="B24" s="2" t="s">
        <v>22</v>
      </c>
      <c r="C24" s="14">
        <f>IFERROR(C6/C15,"")</f>
        <v>551.06952968749999</v>
      </c>
      <c r="D24" s="14">
        <f t="shared" ref="D24:J24" si="7">IFERROR(D6/D15,"")</f>
        <v>612.29947743055561</v>
      </c>
      <c r="E24" s="14">
        <f t="shared" si="7"/>
        <v>654.73930381944444</v>
      </c>
      <c r="F24" s="50">
        <f t="shared" si="7"/>
        <v>500.16002681372555</v>
      </c>
      <c r="G24" s="50">
        <f t="shared" si="7"/>
        <v>538.91576670539234</v>
      </c>
      <c r="H24" s="50">
        <f t="shared" si="7"/>
        <v>574.47767985301743</v>
      </c>
      <c r="I24" s="50">
        <f t="shared" si="7"/>
        <v>613.05993233402762</v>
      </c>
      <c r="J24" s="50">
        <f t="shared" si="7"/>
        <v>654.93248590145674</v>
      </c>
    </row>
    <row r="25" spans="2:10" x14ac:dyDescent="0.2">
      <c r="B25" s="2" t="s">
        <v>12</v>
      </c>
      <c r="C25" s="14">
        <f t="shared" ref="C25:J25" si="8">IFERROR(C7/C16,"")</f>
        <v>426.92463007812495</v>
      </c>
      <c r="D25" s="14">
        <f t="shared" si="8"/>
        <v>474.36070008680548</v>
      </c>
      <c r="E25" s="14">
        <f t="shared" si="8"/>
        <v>559.14508506944446</v>
      </c>
      <c r="F25" s="50">
        <f t="shared" si="8"/>
        <v>497.71365262931045</v>
      </c>
      <c r="G25" s="50">
        <f t="shared" si="8"/>
        <v>534.35638698793105</v>
      </c>
      <c r="H25" s="50">
        <f t="shared" si="8"/>
        <v>570.7940756955669</v>
      </c>
      <c r="I25" s="50">
        <f t="shared" si="8"/>
        <v>610.2767919274462</v>
      </c>
      <c r="J25" s="50">
        <f t="shared" si="8"/>
        <v>653.0783600302691</v>
      </c>
    </row>
    <row r="26" spans="2:10" x14ac:dyDescent="0.2">
      <c r="B26" s="2" t="s">
        <v>23</v>
      </c>
      <c r="C26" s="14">
        <f t="shared" ref="C26:J26" si="9">IFERROR(C8/C17,"")</f>
        <v>296.79067574999999</v>
      </c>
      <c r="D26" s="14">
        <f t="shared" si="9"/>
        <v>329.76741750000002</v>
      </c>
      <c r="E26" s="14">
        <f t="shared" si="9"/>
        <v>366.49923812500003</v>
      </c>
      <c r="F26" s="50">
        <f t="shared" si="9"/>
        <v>309.99122431000001</v>
      </c>
      <c r="G26" s="50">
        <f t="shared" si="9"/>
        <v>325.64605866670007</v>
      </c>
      <c r="H26" s="50">
        <f t="shared" si="9"/>
        <v>336.36141683116904</v>
      </c>
      <c r="I26" s="50">
        <f t="shared" si="9"/>
        <v>347.62187280410086</v>
      </c>
      <c r="J26" s="50">
        <f t="shared" si="9"/>
        <v>359.45533456893537</v>
      </c>
    </row>
    <row r="27" spans="2:10" x14ac:dyDescent="0.2">
      <c r="B27" s="2" t="s">
        <v>25</v>
      </c>
      <c r="C27" s="14">
        <f t="shared" ref="C27:J27" si="10">IFERROR(C9/C18,"")</f>
        <v>324.30053437499998</v>
      </c>
      <c r="D27" s="14">
        <f t="shared" si="10"/>
        <v>360.33392708333344</v>
      </c>
      <c r="E27" s="14">
        <f t="shared" si="10"/>
        <v>406.96635416666663</v>
      </c>
      <c r="F27" s="50" t="str">
        <f t="shared" si="10"/>
        <v/>
      </c>
      <c r="G27" s="50" t="str">
        <f t="shared" si="10"/>
        <v/>
      </c>
      <c r="H27" s="50" t="str">
        <f t="shared" si="10"/>
        <v/>
      </c>
      <c r="I27" s="50" t="str">
        <f t="shared" si="10"/>
        <v/>
      </c>
      <c r="J27" s="50" t="str">
        <f t="shared" si="10"/>
        <v/>
      </c>
    </row>
    <row r="28" spans="2:10" x14ac:dyDescent="0.2">
      <c r="B28" s="2" t="s">
        <v>24</v>
      </c>
      <c r="C28" s="14">
        <f t="shared" ref="C28:J28" si="11">IFERROR(C10/C19,"")</f>
        <v>229.76146836734699</v>
      </c>
      <c r="D28" s="14">
        <f t="shared" si="11"/>
        <v>255.29052040816327</v>
      </c>
      <c r="E28" s="14">
        <f t="shared" si="11"/>
        <v>286.29108673469392</v>
      </c>
      <c r="F28" s="50">
        <f t="shared" si="11"/>
        <v>244.3682631135531</v>
      </c>
      <c r="G28" s="50">
        <f t="shared" si="11"/>
        <v>256.69226589047616</v>
      </c>
      <c r="H28" s="50">
        <f t="shared" si="11"/>
        <v>265.3317175744441</v>
      </c>
      <c r="I28" s="50">
        <f t="shared" si="11"/>
        <v>274.44611962869368</v>
      </c>
      <c r="J28" s="50">
        <f t="shared" si="11"/>
        <v>284.06222801676483</v>
      </c>
    </row>
    <row r="29" spans="2:10" ht="12" x14ac:dyDescent="0.25">
      <c r="B29" s="43" t="s">
        <v>176</v>
      </c>
      <c r="C29" s="44">
        <f t="shared" ref="C29:J29" si="12">IFERROR(C11/C20,"")</f>
        <v>70.812216272672558</v>
      </c>
      <c r="D29" s="44">
        <f t="shared" si="12"/>
        <v>78.680240302969494</v>
      </c>
      <c r="E29" s="44">
        <f t="shared" si="12"/>
        <v>88.768646115569808</v>
      </c>
      <c r="F29" s="44">
        <f t="shared" si="12"/>
        <v>95.463329460787918</v>
      </c>
      <c r="G29" s="44">
        <f t="shared" si="12"/>
        <v>101.7346743207772</v>
      </c>
      <c r="H29" s="44">
        <f t="shared" si="12"/>
        <v>107.28558976903997</v>
      </c>
      <c r="I29" s="44">
        <f t="shared" si="12"/>
        <v>113.26338078871899</v>
      </c>
      <c r="J29" s="44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54" t="s">
        <v>182</v>
      </c>
      <c r="C34" t="s">
        <v>184</v>
      </c>
      <c r="D34" t="s">
        <v>185</v>
      </c>
      <c r="E34" t="s">
        <v>186</v>
      </c>
      <c r="F34" t="s">
        <v>187</v>
      </c>
      <c r="G34" t="s">
        <v>188</v>
      </c>
      <c r="H34" t="s">
        <v>189</v>
      </c>
      <c r="I34" t="s">
        <v>190</v>
      </c>
      <c r="J34" t="s">
        <v>191</v>
      </c>
    </row>
    <row r="35" spans="2:10" ht="14.4" hidden="1" outlineLevel="1" x14ac:dyDescent="0.3">
      <c r="B35" s="55" t="s">
        <v>22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55" t="s">
        <v>12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55" t="s">
        <v>23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55" t="s">
        <v>25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55" t="s">
        <v>24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55" t="s">
        <v>183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tabSelected="1" zoomScaleNormal="100" workbookViewId="0">
      <selection activeCell="D20" sqref="D20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179</v>
      </c>
    </row>
    <row r="4" spans="2:10" ht="12.6" thickBot="1" x14ac:dyDescent="0.3">
      <c r="C4" s="12" t="s">
        <v>149</v>
      </c>
      <c r="D4" s="12"/>
      <c r="E4" s="12"/>
      <c r="F4" s="47" t="s">
        <v>148</v>
      </c>
      <c r="G4" s="47"/>
      <c r="H4" s="47"/>
      <c r="I4" s="47"/>
      <c r="J4" s="47"/>
    </row>
    <row r="5" spans="2:10" ht="12.6" thickBot="1" x14ac:dyDescent="0.3">
      <c r="B5" s="28" t="s">
        <v>178</v>
      </c>
      <c r="C5" s="28" t="s">
        <v>8</v>
      </c>
      <c r="D5" s="28" t="s">
        <v>7</v>
      </c>
      <c r="E5" s="28" t="s">
        <v>6</v>
      </c>
      <c r="F5" s="47" t="s">
        <v>15</v>
      </c>
      <c r="G5" s="47" t="s">
        <v>16</v>
      </c>
      <c r="H5" s="47" t="s">
        <v>17</v>
      </c>
      <c r="I5" s="47" t="s">
        <v>20</v>
      </c>
      <c r="J5" s="47" t="s">
        <v>21</v>
      </c>
    </row>
    <row r="6" spans="2:10" ht="12" x14ac:dyDescent="0.25">
      <c r="B6" s="18" t="s">
        <v>22</v>
      </c>
      <c r="C6" s="32">
        <v>296080</v>
      </c>
      <c r="D6" s="32">
        <v>304962</v>
      </c>
      <c r="E6" s="32">
        <v>314111</v>
      </c>
      <c r="F6" s="45">
        <f>E6*(1+E7)</f>
        <v>323534.47420006426</v>
      </c>
      <c r="G6" s="45">
        <f t="shared" ref="G6:J6" si="0">F6*(1+F7)</f>
        <v>333240.65695219854</v>
      </c>
      <c r="H6" s="45">
        <f t="shared" si="0"/>
        <v>343238.029642749</v>
      </c>
      <c r="I6" s="45">
        <f t="shared" si="0"/>
        <v>353535.32810354576</v>
      </c>
      <c r="J6" s="45">
        <f t="shared" si="0"/>
        <v>364141.55024538416</v>
      </c>
    </row>
    <row r="7" spans="2:10" x14ac:dyDescent="0.2">
      <c r="B7" s="16" t="s">
        <v>19</v>
      </c>
      <c r="C7" s="39"/>
      <c r="D7" s="40">
        <f>D6/C6-1</f>
        <v>2.9998649013780021E-2</v>
      </c>
      <c r="E7" s="40">
        <f>E6/D6-1</f>
        <v>3.0000459073589392E-2</v>
      </c>
      <c r="F7" s="48">
        <f t="shared" ref="F7:J7" si="1">F6/E6-1</f>
        <v>3.0000459073589392E-2</v>
      </c>
      <c r="G7" s="48">
        <f t="shared" si="1"/>
        <v>3.0000459073589392E-2</v>
      </c>
      <c r="H7" s="48">
        <f t="shared" si="1"/>
        <v>3.0000459073589392E-2</v>
      </c>
      <c r="I7" s="48">
        <f t="shared" si="1"/>
        <v>3.0000459073589392E-2</v>
      </c>
      <c r="J7" s="48">
        <f t="shared" si="1"/>
        <v>3.0000459073589392E-2</v>
      </c>
    </row>
    <row r="8" spans="2:10" ht="12" x14ac:dyDescent="0.25">
      <c r="B8" s="18" t="s">
        <v>12</v>
      </c>
      <c r="C8" s="32">
        <v>381987</v>
      </c>
      <c r="D8" s="32">
        <v>420186</v>
      </c>
      <c r="E8" s="32">
        <v>462204</v>
      </c>
      <c r="F8" s="45">
        <f t="shared" ref="F8:J8" si="2">E8*(1+E9)</f>
        <v>508423.74000085675</v>
      </c>
      <c r="G8" s="45">
        <f t="shared" si="2"/>
        <v>559265.3880028273</v>
      </c>
      <c r="H8" s="45">
        <f t="shared" si="2"/>
        <v>615191.12820622011</v>
      </c>
      <c r="I8" s="45">
        <f t="shared" si="2"/>
        <v>676709.3625714035</v>
      </c>
      <c r="J8" s="45">
        <f t="shared" si="2"/>
        <v>744379.33252881572</v>
      </c>
    </row>
    <row r="9" spans="2:10" x14ac:dyDescent="0.2">
      <c r="B9" s="16" t="s">
        <v>19</v>
      </c>
      <c r="C9" s="39"/>
      <c r="D9" s="40">
        <f>D8/C8-1</f>
        <v>0.10000078536704127</v>
      </c>
      <c r="E9" s="40">
        <f>E8/D8-1</f>
        <v>9.9998572060944424E-2</v>
      </c>
      <c r="F9" s="48">
        <f t="shared" ref="F9" si="3">F8/E8-1</f>
        <v>9.9998572060944424E-2</v>
      </c>
      <c r="G9" s="48">
        <f t="shared" ref="G9" si="4">G8/F8-1</f>
        <v>9.9998572060944424E-2</v>
      </c>
      <c r="H9" s="48">
        <f t="shared" ref="H9" si="5">H8/G8-1</f>
        <v>9.9998572060944424E-2</v>
      </c>
      <c r="I9" s="48">
        <f t="shared" ref="I9" si="6">I8/H8-1</f>
        <v>9.9998572060944424E-2</v>
      </c>
      <c r="J9" s="48">
        <f t="shared" ref="J9" si="7">J8/I8-1</f>
        <v>9.9998572060944424E-2</v>
      </c>
    </row>
    <row r="10" spans="2:10" ht="12" x14ac:dyDescent="0.25">
      <c r="B10" s="18" t="s">
        <v>23</v>
      </c>
      <c r="C10" s="32">
        <v>268286</v>
      </c>
      <c r="D10" s="32">
        <v>326014</v>
      </c>
      <c r="E10" s="32">
        <v>422280</v>
      </c>
      <c r="F10" s="45">
        <f>F16-F6-F8-F14</f>
        <v>575782.76704323362</v>
      </c>
      <c r="G10" s="45">
        <f t="shared" ref="G10:J10" si="8">G16-G6-G8-G14</f>
        <v>543712.74782449915</v>
      </c>
      <c r="H10" s="45">
        <f t="shared" si="8"/>
        <v>499513.73866314802</v>
      </c>
      <c r="I10" s="45">
        <f t="shared" si="8"/>
        <v>440965.29727660969</v>
      </c>
      <c r="J10" s="45">
        <f t="shared" si="8"/>
        <v>365494.98233878077</v>
      </c>
    </row>
    <row r="11" spans="2:10" x14ac:dyDescent="0.2">
      <c r="B11" s="16" t="s">
        <v>19</v>
      </c>
      <c r="C11" s="39"/>
      <c r="D11" s="40">
        <f>D10/C10-1</f>
        <v>0.21517335977277985</v>
      </c>
      <c r="E11" s="40">
        <f>E10/D10-1</f>
        <v>0.29528179771420859</v>
      </c>
      <c r="F11" s="49">
        <f t="shared" ref="F11" si="9">F10/E10-1</f>
        <v>0.36350944170510946</v>
      </c>
      <c r="G11" s="49">
        <f t="shared" ref="G11" si="10">G10/F10-1</f>
        <v>-5.5698122719825105E-2</v>
      </c>
      <c r="H11" s="49">
        <f t="shared" ref="H11" si="11">H10/G10-1</f>
        <v>-8.1291103322848279E-2</v>
      </c>
      <c r="I11" s="49">
        <f t="shared" ref="I11" si="12">I10/H10-1</f>
        <v>-0.11721087300467836</v>
      </c>
      <c r="J11" s="49">
        <f t="shared" ref="J11" si="13">J10/I10-1</f>
        <v>-0.17114796879466854</v>
      </c>
    </row>
    <row r="12" spans="2:10" ht="12" x14ac:dyDescent="0.25">
      <c r="B12" s="18" t="s">
        <v>25</v>
      </c>
      <c r="C12" s="32">
        <v>358100</v>
      </c>
      <c r="D12" s="32">
        <v>287941</v>
      </c>
      <c r="E12" s="32">
        <v>208910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</row>
    <row r="13" spans="2:10" x14ac:dyDescent="0.2">
      <c r="B13" s="16" t="s">
        <v>19</v>
      </c>
      <c r="C13" s="41"/>
      <c r="D13" s="40">
        <f>D12/C12-1</f>
        <v>-0.19592013404077069</v>
      </c>
      <c r="E13" s="40">
        <f>E12/D12-1</f>
        <v>-0.27446942255531515</v>
      </c>
      <c r="F13" s="46"/>
      <c r="G13" s="46"/>
      <c r="H13" s="46"/>
      <c r="I13" s="46"/>
      <c r="J13" s="46"/>
    </row>
    <row r="14" spans="2:10" ht="12" x14ac:dyDescent="0.25">
      <c r="B14" s="18" t="s">
        <v>24</v>
      </c>
      <c r="C14" s="32">
        <v>400107</v>
      </c>
      <c r="D14" s="32">
        <v>509107</v>
      </c>
      <c r="E14" s="32">
        <v>596445</v>
      </c>
      <c r="F14" s="45">
        <f>E14*1.15</f>
        <v>685911.75</v>
      </c>
      <c r="G14" s="45">
        <f t="shared" ref="G14:J14" si="14">F14*1.15</f>
        <v>788798.51249999995</v>
      </c>
      <c r="H14" s="45">
        <f t="shared" si="14"/>
        <v>907118.28937499982</v>
      </c>
      <c r="I14" s="45">
        <f t="shared" si="14"/>
        <v>1043186.0327812497</v>
      </c>
      <c r="J14" s="45">
        <f t="shared" si="14"/>
        <v>1199663.9376984371</v>
      </c>
    </row>
    <row r="15" spans="2:10" x14ac:dyDescent="0.2">
      <c r="B15" s="16" t="s">
        <v>19</v>
      </c>
      <c r="C15" s="74"/>
      <c r="D15" s="40">
        <f>D14/C14-1</f>
        <v>0.27242712574386352</v>
      </c>
      <c r="E15" s="40">
        <f>E14/D14-1</f>
        <v>0.17155136346583322</v>
      </c>
      <c r="F15" s="46">
        <f t="shared" ref="F15" si="15">F14/E14-1</f>
        <v>0.14999999999999991</v>
      </c>
      <c r="G15" s="46">
        <f t="shared" ref="G15" si="16">G14/F14-1</f>
        <v>0.14999999999999991</v>
      </c>
      <c r="H15" s="46">
        <f t="shared" ref="H15" si="17">H14/G14-1</f>
        <v>0.14999999999999991</v>
      </c>
      <c r="I15" s="46">
        <f t="shared" ref="I15" si="18">I14/H14-1</f>
        <v>0.14999999999999991</v>
      </c>
      <c r="J15" s="46">
        <f t="shared" ref="J15" si="19">J14/I14-1</f>
        <v>0.14999999999999991</v>
      </c>
    </row>
    <row r="16" spans="2:10" s="18" customFormat="1" ht="12" x14ac:dyDescent="0.25">
      <c r="B16" s="43" t="s">
        <v>14</v>
      </c>
      <c r="C16" s="53">
        <f>C6+C8+C10+C12+C14</f>
        <v>1704560</v>
      </c>
      <c r="D16" s="53">
        <f>D6+D8+D10+D12+D14</f>
        <v>1848210</v>
      </c>
      <c r="E16" s="53">
        <f>E6+E8+E10+E12+E14</f>
        <v>2003950</v>
      </c>
      <c r="F16" s="53">
        <f>'5-Y P&amp;L Budget'!G8</f>
        <v>2093652.7312441547</v>
      </c>
      <c r="G16" s="53">
        <f>'5-Y P&amp;L Budget'!H8</f>
        <v>2225017.305279525</v>
      </c>
      <c r="H16" s="53">
        <f>'5-Y P&amp;L Budget'!I8</f>
        <v>2365061.1858871169</v>
      </c>
      <c r="I16" s="53">
        <f>'5-Y P&amp;L Budget'!J8</f>
        <v>2514396.0207328084</v>
      </c>
      <c r="J16" s="53">
        <f>'5-Y P&amp;L Budget'!K8</f>
        <v>2673679.8028114177</v>
      </c>
    </row>
    <row r="17" spans="2:10" x14ac:dyDescent="0.2">
      <c r="B17" s="42" t="s">
        <v>180</v>
      </c>
      <c r="C17" s="73">
        <f>C6+C8+C10+C12+C14-'5-Y P&amp;L Budget'!D8</f>
        <v>0</v>
      </c>
      <c r="D17" s="73">
        <f>D6+D8+D10+D12+D14-'5-Y P&amp;L Budget'!E8</f>
        <v>0</v>
      </c>
      <c r="E17" s="73">
        <f>E6+E8+E10+E12+E14-'5-Y P&amp;L Budget'!F8</f>
        <v>0</v>
      </c>
      <c r="F17" s="32">
        <f>F6+F8+F10+F12+F14-'5-Y P&amp;L Budget'!G8</f>
        <v>0</v>
      </c>
      <c r="G17" s="32">
        <f>G6+G8+G10+G12+G14-'5-Y P&amp;L Budget'!H8</f>
        <v>0</v>
      </c>
      <c r="H17" s="32">
        <f>H6+H8+H10+H12+H14-'5-Y P&amp;L Budget'!I8</f>
        <v>0</v>
      </c>
      <c r="I17" s="32">
        <f>I6+I8+I10+I12+I14-'5-Y P&amp;L Budget'!J8</f>
        <v>0</v>
      </c>
      <c r="J17" s="32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A4B9-7033-449F-9623-AC3F7D265C4D}">
  <dimension ref="B1:J95"/>
  <sheetViews>
    <sheetView showGridLines="0" workbookViewId="0">
      <selection activeCell="J22" sqref="J22"/>
    </sheetView>
  </sheetViews>
  <sheetFormatPr defaultRowHeight="11.4" x14ac:dyDescent="0.2"/>
  <cols>
    <col min="1" max="1" width="2.88671875" style="2" customWidth="1"/>
    <col min="2" max="2" width="25.88671875" style="2" customWidth="1"/>
    <col min="3" max="3" width="12.44140625" style="2" customWidth="1"/>
    <col min="4" max="5" width="10.109375" style="2" bestFit="1" customWidth="1"/>
    <col min="6" max="16384" width="8.88671875" style="2"/>
  </cols>
  <sheetData>
    <row r="1" spans="2:10" ht="15.6" x14ac:dyDescent="0.3">
      <c r="B1" s="26" t="s">
        <v>209</v>
      </c>
    </row>
    <row r="2" spans="2:10" ht="15.6" x14ac:dyDescent="0.3">
      <c r="B2" s="26" t="s">
        <v>181</v>
      </c>
    </row>
    <row r="5" spans="2:10" ht="12.6" thickBot="1" x14ac:dyDescent="0.3">
      <c r="C5" s="12" t="s">
        <v>149</v>
      </c>
      <c r="D5" s="12"/>
      <c r="E5" s="12"/>
      <c r="F5" s="47" t="s">
        <v>148</v>
      </c>
      <c r="G5" s="47"/>
      <c r="H5" s="47"/>
      <c r="I5" s="47"/>
      <c r="J5" s="47"/>
    </row>
    <row r="6" spans="2:10" ht="12.6" thickBot="1" x14ac:dyDescent="0.3">
      <c r="B6" s="12"/>
      <c r="C6" s="28" t="s">
        <v>8</v>
      </c>
      <c r="D6" s="28" t="s">
        <v>7</v>
      </c>
      <c r="E6" s="28" t="s">
        <v>6</v>
      </c>
      <c r="F6" s="47" t="s">
        <v>15</v>
      </c>
      <c r="G6" s="47" t="s">
        <v>16</v>
      </c>
      <c r="H6" s="47" t="s">
        <v>17</v>
      </c>
      <c r="I6" s="47" t="s">
        <v>20</v>
      </c>
      <c r="J6" s="47" t="s">
        <v>21</v>
      </c>
    </row>
    <row r="7" spans="2:10" x14ac:dyDescent="0.2">
      <c r="B7" s="2" t="s">
        <v>146</v>
      </c>
      <c r="C7" s="51">
        <v>10000</v>
      </c>
      <c r="D7" s="51">
        <v>10000</v>
      </c>
      <c r="E7" s="51">
        <v>10000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</row>
    <row r="8" spans="2:10" x14ac:dyDescent="0.2">
      <c r="B8" s="2" t="s">
        <v>144</v>
      </c>
      <c r="C8" s="51">
        <f>'FTEs and average salary'!C20</f>
        <v>89</v>
      </c>
      <c r="D8" s="51">
        <f>'FTEs and average salary'!D20</f>
        <v>89</v>
      </c>
      <c r="E8" s="51">
        <f>'FTEs and average salary'!E20</f>
        <v>89</v>
      </c>
      <c r="F8" s="52">
        <f>'FTEs and average salary'!F20</f>
        <v>97</v>
      </c>
      <c r="G8" s="52">
        <f>'FTEs and average salary'!G20</f>
        <v>97</v>
      </c>
      <c r="H8" s="52">
        <f>'FTEs and average salary'!H20</f>
        <v>97</v>
      </c>
      <c r="I8" s="52">
        <f>'FTEs and average salary'!I20</f>
        <v>97</v>
      </c>
      <c r="J8" s="52">
        <f>'FTEs and average salary'!J20</f>
        <v>97</v>
      </c>
    </row>
    <row r="9" spans="2:10" x14ac:dyDescent="0.2">
      <c r="B9" s="2" t="s">
        <v>145</v>
      </c>
      <c r="C9" s="51">
        <v>200</v>
      </c>
      <c r="D9" s="51">
        <v>200</v>
      </c>
      <c r="E9" s="51">
        <v>200</v>
      </c>
      <c r="F9" s="52">
        <v>400</v>
      </c>
      <c r="G9" s="52">
        <v>400</v>
      </c>
      <c r="H9" s="52">
        <v>400</v>
      </c>
      <c r="I9" s="52">
        <v>400</v>
      </c>
      <c r="J9" s="52">
        <v>400</v>
      </c>
    </row>
    <row r="10" spans="2:10" x14ac:dyDescent="0.2">
      <c r="B10" s="2" t="s">
        <v>147</v>
      </c>
      <c r="C10" s="51">
        <f>C8*C9</f>
        <v>17800</v>
      </c>
      <c r="D10" s="51">
        <f t="shared" ref="D10:E10" si="0">D8*D9</f>
        <v>17800</v>
      </c>
      <c r="E10" s="51">
        <f t="shared" si="0"/>
        <v>17800</v>
      </c>
      <c r="F10" s="52">
        <f t="shared" ref="F10" si="1">F8*F9</f>
        <v>38800</v>
      </c>
      <c r="G10" s="52">
        <f t="shared" ref="G10" si="2">G8*G9</f>
        <v>38800</v>
      </c>
      <c r="H10" s="52">
        <f t="shared" ref="H10" si="3">H8*H9</f>
        <v>38800</v>
      </c>
      <c r="I10" s="52">
        <f t="shared" ref="I10" si="4">I8*I9</f>
        <v>38800</v>
      </c>
      <c r="J10" s="52">
        <f t="shared" ref="J10" si="5">J8*J9</f>
        <v>38800</v>
      </c>
    </row>
    <row r="11" spans="2:10" ht="12" x14ac:dyDescent="0.25">
      <c r="B11" s="43" t="s">
        <v>150</v>
      </c>
      <c r="C11" s="53">
        <f>C7+C10</f>
        <v>27800</v>
      </c>
      <c r="D11" s="53">
        <f>D7+D10</f>
        <v>27800</v>
      </c>
      <c r="E11" s="53">
        <f>E7+E10</f>
        <v>27800</v>
      </c>
      <c r="F11" s="53">
        <f t="shared" ref="F11:J11" si="6">F7+F10</f>
        <v>38800</v>
      </c>
      <c r="G11" s="53">
        <f t="shared" si="6"/>
        <v>38800</v>
      </c>
      <c r="H11" s="53">
        <f t="shared" si="6"/>
        <v>38800</v>
      </c>
      <c r="I11" s="53">
        <f t="shared" si="6"/>
        <v>38800</v>
      </c>
      <c r="J11" s="53">
        <f t="shared" si="6"/>
        <v>38800</v>
      </c>
    </row>
    <row r="12" spans="2:10" x14ac:dyDescent="0.2">
      <c r="C12" s="33"/>
    </row>
    <row r="13" spans="2:10" x14ac:dyDescent="0.2">
      <c r="C13" s="33"/>
    </row>
    <row r="14" spans="2:10" x14ac:dyDescent="0.2">
      <c r="C14" s="33"/>
    </row>
    <row r="15" spans="2:10" x14ac:dyDescent="0.2">
      <c r="C15" s="33"/>
    </row>
    <row r="16" spans="2:10" x14ac:dyDescent="0.2">
      <c r="C16" s="33"/>
    </row>
    <row r="17" spans="3:3" x14ac:dyDescent="0.2">
      <c r="C17" s="33"/>
    </row>
    <row r="18" spans="3:3" x14ac:dyDescent="0.2">
      <c r="C18" s="33"/>
    </row>
    <row r="19" spans="3:3" x14ac:dyDescent="0.2">
      <c r="C19" s="33"/>
    </row>
    <row r="20" spans="3:3" x14ac:dyDescent="0.2">
      <c r="C20" s="33"/>
    </row>
    <row r="21" spans="3:3" x14ac:dyDescent="0.2">
      <c r="C21" s="33"/>
    </row>
    <row r="22" spans="3:3" x14ac:dyDescent="0.2">
      <c r="C22" s="33"/>
    </row>
    <row r="23" spans="3:3" x14ac:dyDescent="0.2">
      <c r="C23" s="33"/>
    </row>
    <row r="24" spans="3:3" x14ac:dyDescent="0.2">
      <c r="C24" s="33"/>
    </row>
    <row r="25" spans="3:3" x14ac:dyDescent="0.2">
      <c r="C25" s="33"/>
    </row>
    <row r="26" spans="3:3" x14ac:dyDescent="0.2">
      <c r="C26" s="33"/>
    </row>
    <row r="27" spans="3:3" x14ac:dyDescent="0.2">
      <c r="C27" s="33"/>
    </row>
    <row r="28" spans="3:3" x14ac:dyDescent="0.2">
      <c r="C28" s="33"/>
    </row>
    <row r="29" spans="3:3" x14ac:dyDescent="0.2">
      <c r="C29" s="33"/>
    </row>
    <row r="30" spans="3:3" x14ac:dyDescent="0.2">
      <c r="C30" s="33"/>
    </row>
    <row r="31" spans="3:3" x14ac:dyDescent="0.2">
      <c r="C31" s="33"/>
    </row>
    <row r="32" spans="3:3" x14ac:dyDescent="0.2">
      <c r="C32" s="33"/>
    </row>
    <row r="33" spans="3:3" x14ac:dyDescent="0.2">
      <c r="C33" s="33"/>
    </row>
    <row r="34" spans="3:3" x14ac:dyDescent="0.2">
      <c r="C34" s="33"/>
    </row>
    <row r="35" spans="3:3" x14ac:dyDescent="0.2">
      <c r="C35" s="33"/>
    </row>
    <row r="36" spans="3:3" x14ac:dyDescent="0.2">
      <c r="C36" s="33"/>
    </row>
    <row r="37" spans="3:3" x14ac:dyDescent="0.2">
      <c r="C37" s="33"/>
    </row>
    <row r="38" spans="3:3" x14ac:dyDescent="0.2">
      <c r="C38" s="33"/>
    </row>
    <row r="39" spans="3:3" x14ac:dyDescent="0.2">
      <c r="C39" s="33"/>
    </row>
    <row r="40" spans="3:3" x14ac:dyDescent="0.2">
      <c r="C40" s="33"/>
    </row>
    <row r="41" spans="3:3" x14ac:dyDescent="0.2">
      <c r="C41" s="33"/>
    </row>
    <row r="42" spans="3:3" x14ac:dyDescent="0.2">
      <c r="C42" s="33"/>
    </row>
    <row r="43" spans="3:3" x14ac:dyDescent="0.2">
      <c r="C43" s="33"/>
    </row>
    <row r="44" spans="3:3" x14ac:dyDescent="0.2">
      <c r="C44" s="33"/>
    </row>
    <row r="45" spans="3:3" x14ac:dyDescent="0.2">
      <c r="C45" s="33"/>
    </row>
    <row r="46" spans="3:3" x14ac:dyDescent="0.2">
      <c r="C46" s="33"/>
    </row>
    <row r="47" spans="3:3" x14ac:dyDescent="0.2">
      <c r="C47" s="33"/>
    </row>
    <row r="48" spans="3:3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33"/>
    </row>
    <row r="53" spans="3:3" x14ac:dyDescent="0.2">
      <c r="C53" s="33"/>
    </row>
    <row r="54" spans="3:3" x14ac:dyDescent="0.2">
      <c r="C54" s="33"/>
    </row>
    <row r="55" spans="3:3" x14ac:dyDescent="0.2">
      <c r="C55" s="33"/>
    </row>
    <row r="56" spans="3:3" x14ac:dyDescent="0.2">
      <c r="C56" s="33"/>
    </row>
    <row r="57" spans="3:3" x14ac:dyDescent="0.2">
      <c r="C57" s="33"/>
    </row>
    <row r="58" spans="3:3" x14ac:dyDescent="0.2">
      <c r="C58" s="33"/>
    </row>
    <row r="59" spans="3:3" x14ac:dyDescent="0.2">
      <c r="C59" s="33"/>
    </row>
    <row r="60" spans="3:3" x14ac:dyDescent="0.2">
      <c r="C60" s="33"/>
    </row>
    <row r="61" spans="3:3" x14ac:dyDescent="0.2">
      <c r="C61" s="33"/>
    </row>
    <row r="62" spans="3:3" x14ac:dyDescent="0.2">
      <c r="C62" s="33"/>
    </row>
    <row r="63" spans="3:3" x14ac:dyDescent="0.2">
      <c r="C63" s="33"/>
    </row>
    <row r="64" spans="3:3" x14ac:dyDescent="0.2">
      <c r="C64" s="33"/>
    </row>
    <row r="65" spans="3:3" x14ac:dyDescent="0.2">
      <c r="C65" s="33"/>
    </row>
    <row r="66" spans="3:3" x14ac:dyDescent="0.2">
      <c r="C66" s="33"/>
    </row>
    <row r="67" spans="3:3" x14ac:dyDescent="0.2">
      <c r="C67" s="33"/>
    </row>
    <row r="68" spans="3:3" x14ac:dyDescent="0.2">
      <c r="C68" s="33"/>
    </row>
    <row r="69" spans="3:3" x14ac:dyDescent="0.2">
      <c r="C69" s="33"/>
    </row>
    <row r="70" spans="3:3" x14ac:dyDescent="0.2">
      <c r="C70" s="33"/>
    </row>
    <row r="71" spans="3:3" x14ac:dyDescent="0.2">
      <c r="C71" s="33"/>
    </row>
    <row r="72" spans="3:3" x14ac:dyDescent="0.2">
      <c r="C72" s="33"/>
    </row>
    <row r="73" spans="3:3" x14ac:dyDescent="0.2">
      <c r="C73" s="33"/>
    </row>
    <row r="74" spans="3:3" x14ac:dyDescent="0.2">
      <c r="C74" s="33"/>
    </row>
    <row r="75" spans="3:3" x14ac:dyDescent="0.2">
      <c r="C75" s="33"/>
    </row>
    <row r="76" spans="3:3" x14ac:dyDescent="0.2">
      <c r="C76" s="33"/>
    </row>
    <row r="77" spans="3:3" x14ac:dyDescent="0.2">
      <c r="C77" s="33"/>
    </row>
    <row r="78" spans="3:3" x14ac:dyDescent="0.2">
      <c r="C78" s="33"/>
    </row>
    <row r="79" spans="3:3" x14ac:dyDescent="0.2">
      <c r="C79" s="33"/>
    </row>
    <row r="80" spans="3:3" x14ac:dyDescent="0.2">
      <c r="C80" s="33"/>
    </row>
    <row r="81" spans="3:3" x14ac:dyDescent="0.2">
      <c r="C81" s="33"/>
    </row>
    <row r="82" spans="3:3" x14ac:dyDescent="0.2">
      <c r="C82" s="33"/>
    </row>
    <row r="83" spans="3:3" x14ac:dyDescent="0.2">
      <c r="C83" s="33"/>
    </row>
    <row r="84" spans="3:3" x14ac:dyDescent="0.2">
      <c r="C84" s="33"/>
    </row>
    <row r="85" spans="3:3" x14ac:dyDescent="0.2">
      <c r="C85" s="33"/>
    </row>
    <row r="86" spans="3:3" x14ac:dyDescent="0.2">
      <c r="C86" s="33"/>
    </row>
    <row r="87" spans="3:3" x14ac:dyDescent="0.2">
      <c r="C87" s="33"/>
    </row>
    <row r="88" spans="3:3" x14ac:dyDescent="0.2">
      <c r="C88" s="33"/>
    </row>
    <row r="89" spans="3:3" x14ac:dyDescent="0.2">
      <c r="C89" s="33"/>
    </row>
    <row r="90" spans="3:3" x14ac:dyDescent="0.2">
      <c r="C90" s="33"/>
    </row>
    <row r="91" spans="3:3" x14ac:dyDescent="0.2">
      <c r="C91" s="33"/>
    </row>
    <row r="92" spans="3:3" x14ac:dyDescent="0.2">
      <c r="C92" s="33"/>
    </row>
    <row r="93" spans="3:3" x14ac:dyDescent="0.2">
      <c r="C93" s="33"/>
    </row>
    <row r="94" spans="3:3" x14ac:dyDescent="0.2">
      <c r="C94" s="33"/>
    </row>
    <row r="95" spans="3:3" x14ac:dyDescent="0.2">
      <c r="C9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35"/>
  <sheetViews>
    <sheetView showGridLines="0" topLeftCell="A4" zoomScaleNormal="100" workbookViewId="0">
      <selection activeCell="D8" sqref="D8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6" t="s">
        <v>209</v>
      </c>
    </row>
    <row r="2" spans="2:26" ht="15.6" x14ac:dyDescent="0.3">
      <c r="B2" s="26" t="s">
        <v>174</v>
      </c>
    </row>
    <row r="5" spans="2:26" ht="12.6" thickBot="1" x14ac:dyDescent="0.3">
      <c r="B5" s="1"/>
      <c r="D5" s="12" t="s">
        <v>149</v>
      </c>
      <c r="E5" s="12"/>
      <c r="F5" s="12"/>
      <c r="G5" s="47" t="s">
        <v>148</v>
      </c>
      <c r="H5" s="47"/>
      <c r="I5" s="47"/>
      <c r="J5" s="47"/>
      <c r="K5" s="47"/>
    </row>
    <row r="6" spans="2:26" ht="12.6" thickBot="1" x14ac:dyDescent="0.3">
      <c r="B6" s="11" t="s">
        <v>142</v>
      </c>
      <c r="C6" s="12"/>
      <c r="D6" s="12" t="s">
        <v>8</v>
      </c>
      <c r="E6" s="12" t="s">
        <v>7</v>
      </c>
      <c r="F6" s="12" t="s">
        <v>6</v>
      </c>
      <c r="G6" s="47" t="s">
        <v>15</v>
      </c>
      <c r="H6" s="47" t="s">
        <v>16</v>
      </c>
      <c r="I6" s="47" t="s">
        <v>17</v>
      </c>
      <c r="J6" s="47" t="s">
        <v>20</v>
      </c>
      <c r="K6" s="47" t="s">
        <v>21</v>
      </c>
    </row>
    <row r="7" spans="2:26" ht="12" x14ac:dyDescent="0.2">
      <c r="B7" s="5"/>
      <c r="C7" s="1"/>
      <c r="E7" s="4"/>
      <c r="F7" s="4"/>
      <c r="G7" s="56"/>
      <c r="H7" s="56"/>
      <c r="I7" s="56"/>
      <c r="J7" s="56"/>
      <c r="K7" s="56"/>
      <c r="M7" s="77" t="s">
        <v>27</v>
      </c>
      <c r="N7" s="9" t="s">
        <v>4</v>
      </c>
    </row>
    <row r="8" spans="2:26" ht="12" x14ac:dyDescent="0.2">
      <c r="B8" s="5" t="s">
        <v>0</v>
      </c>
      <c r="C8" s="6"/>
      <c r="D8" s="14">
        <v>1704560</v>
      </c>
      <c r="E8" s="7">
        <v>1848210</v>
      </c>
      <c r="F8" s="7">
        <v>2003950</v>
      </c>
      <c r="G8" s="50">
        <f>-SUM(G10:G11)/(1-G15)</f>
        <v>2093652.7312441547</v>
      </c>
      <c r="H8" s="50">
        <f t="shared" ref="H8:K8" si="0">-SUM(H10:H11)/(1-H15)</f>
        <v>2225017.305279525</v>
      </c>
      <c r="I8" s="50">
        <f t="shared" si="0"/>
        <v>2365061.1858871169</v>
      </c>
      <c r="J8" s="50">
        <f t="shared" si="0"/>
        <v>2514396.0207328084</v>
      </c>
      <c r="K8" s="50">
        <f t="shared" si="0"/>
        <v>2673679.8028114177</v>
      </c>
      <c r="M8" s="77"/>
      <c r="N8" s="10" t="s">
        <v>3</v>
      </c>
      <c r="W8" s="14"/>
      <c r="X8" s="14"/>
      <c r="Y8" s="14"/>
      <c r="Z8" s="14"/>
    </row>
    <row r="9" spans="2:26" x14ac:dyDescent="0.2">
      <c r="B9" s="16" t="s">
        <v>140</v>
      </c>
      <c r="C9" s="17"/>
      <c r="D9" s="17"/>
      <c r="E9" s="19">
        <f>E8/D8-1</f>
        <v>8.4273947528981097E-2</v>
      </c>
      <c r="F9" s="19">
        <f>F8/E8-1</f>
        <v>8.4265316170781368E-2</v>
      </c>
      <c r="G9" s="57"/>
      <c r="H9" s="57"/>
      <c r="I9" s="57"/>
      <c r="J9" s="57"/>
      <c r="K9" s="57"/>
      <c r="W9" s="14"/>
      <c r="X9" s="14"/>
      <c r="Y9" s="14"/>
      <c r="Z9" s="14"/>
    </row>
    <row r="10" spans="2:26" x14ac:dyDescent="0.2">
      <c r="B10" s="2" t="s">
        <v>134</v>
      </c>
      <c r="C10" s="17"/>
      <c r="D10" s="14">
        <f>-SUMIF('List of employees &amp; salaries'!$B:$B,'5-Y P&amp;L Budget'!$B10,'List of employees &amp; salaries'!G:G)</f>
        <v>-403947.95400000009</v>
      </c>
      <c r="E10" s="14">
        <f>-SUMIF('List of employees &amp; salaries'!$B:$B,'5-Y P&amp;L Budget'!$B10,'List of employees &amp; salaries'!H:H)</f>
        <v>-448831.05999999994</v>
      </c>
      <c r="F10" s="14">
        <f>-SUMIF('List of employees &amp; salaries'!$B:$B,'5-Y P&amp;L Budget'!$B10,'List of employees &amp; salaries'!I:I)</f>
        <v>-518187.26000000007</v>
      </c>
      <c r="G10" s="58">
        <f>-SUMIF('List of employees &amp; salaries'!$B:$B,'5-Y P&amp;L Budget'!$B10,'List of employees &amp; salaries'!J:J)</f>
        <v>-526367.00425000011</v>
      </c>
      <c r="H10" s="58">
        <f>-SUMIF('List of employees &amp; salaries'!$B:$B,'5-Y P&amp;L Budget'!$B10,'List of employees &amp; salaries'!K:K)</f>
        <v>-562245.58261250006</v>
      </c>
      <c r="I10" s="58">
        <f>-SUMIF('List of employees &amp; salaries'!$B:$B,'5-Y P&amp;L Budget'!$B10,'List of employees &amp; salaries'!L:L)</f>
        <v>-600874.1127081248</v>
      </c>
      <c r="J10" s="58">
        <f>-SUMIF('List of employees &amp; salaries'!$B:$B,'5-Y P&amp;L Budget'!$B10,'List of employees &amp; salaries'!M:M)</f>
        <v>-642485.69440503127</v>
      </c>
      <c r="K10" s="58">
        <f>-SUMIF('List of employees &amp; salaries'!$B:$B,'5-Y P&amp;L Budget'!$B10,'List of employees &amp; salaries'!N:N)</f>
        <v>-687334.64279293292</v>
      </c>
      <c r="W10" s="27"/>
      <c r="X10" s="27"/>
      <c r="Y10" s="27"/>
      <c r="Z10" s="14"/>
    </row>
    <row r="11" spans="2:26" x14ac:dyDescent="0.2">
      <c r="B11" s="2" t="s">
        <v>135</v>
      </c>
      <c r="D11" s="8">
        <v>-874439</v>
      </c>
      <c r="E11" s="8">
        <v>-937318.94000000006</v>
      </c>
      <c r="F11" s="8">
        <v>-984722.74</v>
      </c>
      <c r="G11" s="50">
        <f>F11*1.06</f>
        <v>-1043806.1044000001</v>
      </c>
      <c r="H11" s="50">
        <f t="shared" ref="H11:K11" si="1">G11*1.06</f>
        <v>-1106434.4706640001</v>
      </c>
      <c r="I11" s="50">
        <f t="shared" si="1"/>
        <v>-1172820.5389038401</v>
      </c>
      <c r="J11" s="50">
        <f t="shared" si="1"/>
        <v>-1243189.7712380707</v>
      </c>
      <c r="K11" s="50">
        <f t="shared" si="1"/>
        <v>-1317781.1575123549</v>
      </c>
      <c r="M11" s="77" t="s">
        <v>27</v>
      </c>
      <c r="N11" s="9" t="s">
        <v>26</v>
      </c>
      <c r="P11" s="78" t="s">
        <v>28</v>
      </c>
      <c r="Q11" s="79" t="s">
        <v>2</v>
      </c>
      <c r="R11" s="79" t="s">
        <v>29</v>
      </c>
      <c r="S11" s="9" t="s">
        <v>18</v>
      </c>
      <c r="W11" s="27"/>
      <c r="X11" s="27"/>
      <c r="Y11" s="27"/>
      <c r="Z11" s="14"/>
    </row>
    <row r="12" spans="2:26" ht="11.4" customHeight="1" x14ac:dyDescent="0.2">
      <c r="B12" s="16" t="s">
        <v>141</v>
      </c>
      <c r="C12" s="17"/>
      <c r="D12" s="17"/>
      <c r="E12" s="19">
        <f>SUM(E10:E11)/SUM(D10:D11)-1</f>
        <v>8.4296108985480123E-2</v>
      </c>
      <c r="F12" s="19">
        <f>SUM(F10:F11)/SUM(E10:E11)-1</f>
        <v>8.4233308083540681E-2</v>
      </c>
      <c r="G12" s="59">
        <f t="shared" ref="G12:K12" si="2">SUM(G10:G11)/SUM(F10:F11)-1</f>
        <v>4.4755247253661423E-2</v>
      </c>
      <c r="H12" s="59">
        <f t="shared" si="2"/>
        <v>6.2736359503184902E-2</v>
      </c>
      <c r="I12" s="59">
        <f t="shared" si="2"/>
        <v>6.2932734246607502E-2</v>
      </c>
      <c r="J12" s="59">
        <f t="shared" si="2"/>
        <v>6.3134211928398631E-2</v>
      </c>
      <c r="K12" s="59">
        <f t="shared" si="2"/>
        <v>6.3340875372449812E-2</v>
      </c>
      <c r="M12" s="77"/>
      <c r="N12" s="10" t="s">
        <v>3</v>
      </c>
      <c r="P12" s="77"/>
      <c r="Q12" s="79"/>
      <c r="R12" s="79"/>
      <c r="S12" s="10" t="s">
        <v>3</v>
      </c>
      <c r="W12" s="27"/>
      <c r="X12" s="27"/>
      <c r="Y12" s="27"/>
      <c r="Z12" s="14"/>
    </row>
    <row r="13" spans="2:26" s="18" customFormat="1" ht="12.6" thickBot="1" x14ac:dyDescent="0.3">
      <c r="B13" s="23" t="s">
        <v>1</v>
      </c>
      <c r="C13" s="23"/>
      <c r="D13" s="25">
        <f>D8+SUM(D10:D11)</f>
        <v>426173.04599999986</v>
      </c>
      <c r="E13" s="25">
        <f>E8+SUM(E10:E11)</f>
        <v>462060</v>
      </c>
      <c r="F13" s="25">
        <f>F8+SUM(F10:F11)</f>
        <v>501040</v>
      </c>
      <c r="G13" s="60">
        <f t="shared" ref="G13:K13" si="3">G8+SUM(G10:G11)</f>
        <v>523479.62259415444</v>
      </c>
      <c r="H13" s="60">
        <f t="shared" si="3"/>
        <v>556337.2520030248</v>
      </c>
      <c r="I13" s="60">
        <f t="shared" si="3"/>
        <v>591366.53427515202</v>
      </c>
      <c r="J13" s="60">
        <f t="shared" si="3"/>
        <v>628720.55508970656</v>
      </c>
      <c r="K13" s="60">
        <f t="shared" si="3"/>
        <v>668564.00250612991</v>
      </c>
      <c r="W13" s="30"/>
      <c r="X13" s="30"/>
      <c r="Y13" s="30"/>
      <c r="Z13" s="31"/>
    </row>
    <row r="14" spans="2:26" ht="14.4" customHeight="1" x14ac:dyDescent="0.2">
      <c r="B14" s="16" t="s">
        <v>193</v>
      </c>
      <c r="C14" s="17"/>
      <c r="D14" s="17"/>
      <c r="E14" s="29">
        <f>E13/D13-1</f>
        <v>8.4207470033194287E-2</v>
      </c>
      <c r="F14" s="29">
        <f>F13/E13-1</f>
        <v>8.4361338354326243E-2</v>
      </c>
      <c r="G14" s="57">
        <f t="shared" ref="G14:K14" si="4">G13/F13-1</f>
        <v>4.4786090120857436E-2</v>
      </c>
      <c r="H14" s="57">
        <f t="shared" si="4"/>
        <v>6.2767733433521489E-2</v>
      </c>
      <c r="I14" s="57">
        <f t="shared" si="4"/>
        <v>6.2964114205921851E-2</v>
      </c>
      <c r="J14" s="57">
        <f t="shared" si="4"/>
        <v>6.316559806743216E-2</v>
      </c>
      <c r="K14" s="57">
        <f t="shared" si="4"/>
        <v>6.3372267844397756E-2</v>
      </c>
      <c r="P14" s="80" t="s">
        <v>31</v>
      </c>
      <c r="Q14" s="82" t="s">
        <v>2</v>
      </c>
      <c r="R14" s="83" t="s">
        <v>18</v>
      </c>
      <c r="S14" s="84"/>
      <c r="T14" s="13"/>
      <c r="W14" s="27"/>
      <c r="X14" s="27"/>
      <c r="Y14" s="27"/>
      <c r="Z14" s="14"/>
    </row>
    <row r="15" spans="2:26" ht="14.4" customHeight="1" x14ac:dyDescent="0.25">
      <c r="B15" s="18" t="s">
        <v>13</v>
      </c>
      <c r="D15" s="21">
        <f>D13/D8</f>
        <v>0.25001938682123237</v>
      </c>
      <c r="E15" s="21">
        <f>E13/E8</f>
        <v>0.2500040579804243</v>
      </c>
      <c r="F15" s="21">
        <f>F13/F8</f>
        <v>0.25002619825843958</v>
      </c>
      <c r="G15" s="61">
        <f>F15*(1+G16)</f>
        <v>0.25003173390798017</v>
      </c>
      <c r="H15" s="61">
        <f t="shared" ref="H15" si="5">G15*(1+H16)</f>
        <v>0.25003726968008155</v>
      </c>
      <c r="I15" s="61">
        <f t="shared" ref="I15" si="6">H15*(1+I16)</f>
        <v>0.25004280557474651</v>
      </c>
      <c r="J15" s="61">
        <f t="shared" ref="J15" si="7">I15*(1+J16)</f>
        <v>0.2500483415919777</v>
      </c>
      <c r="K15" s="61">
        <f t="shared" ref="K15" si="8">J15*(1+K16)</f>
        <v>0.25005387773177784</v>
      </c>
      <c r="P15" s="81"/>
      <c r="Q15" s="75"/>
      <c r="R15" s="75" t="s">
        <v>30</v>
      </c>
      <c r="S15" s="76"/>
      <c r="T15" s="13"/>
      <c r="W15" s="27"/>
      <c r="X15" s="27"/>
      <c r="Y15" s="27"/>
      <c r="Z15" s="14"/>
    </row>
    <row r="16" spans="2:26" x14ac:dyDescent="0.2">
      <c r="B16" s="16" t="s">
        <v>19</v>
      </c>
      <c r="E16" s="20">
        <f>E15-D15</f>
        <v>-1.5328840808070954E-5</v>
      </c>
      <c r="F16" s="20">
        <f>F15-E15</f>
        <v>2.2140278015281289E-5</v>
      </c>
      <c r="G16" s="59">
        <f>F16</f>
        <v>2.2140278015281289E-5</v>
      </c>
      <c r="H16" s="59">
        <f>G16</f>
        <v>2.2140278015281289E-5</v>
      </c>
      <c r="I16" s="59">
        <f t="shared" ref="I16:K16" si="9">H16</f>
        <v>2.2140278015281289E-5</v>
      </c>
      <c r="J16" s="59">
        <f t="shared" si="9"/>
        <v>2.2140278015281289E-5</v>
      </c>
      <c r="K16" s="59">
        <f t="shared" si="9"/>
        <v>2.2140278015281289E-5</v>
      </c>
      <c r="W16" s="27"/>
      <c r="X16" s="27"/>
      <c r="Y16" s="27"/>
      <c r="Z16" s="14"/>
    </row>
    <row r="17" spans="2:26" x14ac:dyDescent="0.2">
      <c r="B17" s="16"/>
      <c r="E17" s="20"/>
      <c r="F17" s="20"/>
      <c r="G17" s="59"/>
      <c r="H17" s="59"/>
      <c r="I17" s="59"/>
      <c r="J17" s="59"/>
      <c r="K17" s="59"/>
      <c r="W17" s="27"/>
      <c r="X17" s="27"/>
      <c r="Y17" s="27"/>
      <c r="Z17" s="14"/>
    </row>
    <row r="18" spans="2:26" x14ac:dyDescent="0.2">
      <c r="B18" s="3" t="s">
        <v>136</v>
      </c>
      <c r="D18" s="14">
        <f>-SUMIF('List of employees &amp; salaries'!$B:$B,'5-Y P&amp;L Budget'!$B18,'List of employees &amp; salaries'!G:G)</f>
        <v>-44154.002249999998</v>
      </c>
      <c r="E18" s="14">
        <f>-SUMIF('List of employees &amp; salaries'!$B:$B,'5-Y P&amp;L Budget'!$B18,'List of employees &amp; salaries'!H:H)</f>
        <v>-49060.002500000002</v>
      </c>
      <c r="F18" s="14">
        <f>-SUMIF('List of employees &amp; salaries'!$B:$B,'5-Y P&amp;L Budget'!$B18,'List of employees &amp; salaries'!I:I)</f>
        <v>-53479.999499999998</v>
      </c>
      <c r="G18" s="58">
        <f>-SUMIF('List of employees &amp; salaries'!$B:$B,'5-Y P&amp;L Budget'!$B18,'List of employees &amp; salaries'!J:J)</f>
        <v>-54226.318139999996</v>
      </c>
      <c r="H18" s="58">
        <f>-SUMIF('List of employees &amp; salaries'!$B:$B,'5-Y P&amp;L Budget'!$B18,'List of employees &amp; salaries'!K:K)</f>
        <v>-58022.160409800003</v>
      </c>
      <c r="I18" s="58">
        <f>-SUMIF('List of employees &amp; salaries'!$B:$B,'5-Y P&amp;L Budget'!$B18,'List of employees &amp; salaries'!L:L)</f>
        <v>-62083.711638485998</v>
      </c>
      <c r="J18" s="58">
        <f>-SUMIF('List of employees &amp; salaries'!$B:$B,'5-Y P&amp;L Budget'!$B18,'List of employees &amp; salaries'!M:M)</f>
        <v>-66429.571453180033</v>
      </c>
      <c r="K18" s="58">
        <f>-SUMIF('List of employees &amp; salaries'!$B:$B,'5-Y P&amp;L Budget'!$B18,'List of employees &amp; salaries'!N:N)</f>
        <v>-71079.641454902652</v>
      </c>
      <c r="W18" s="27"/>
      <c r="X18" s="27"/>
      <c r="Y18" s="27"/>
      <c r="Z18" s="14"/>
    </row>
    <row r="19" spans="2:26" x14ac:dyDescent="0.2">
      <c r="B19" s="16" t="s">
        <v>19</v>
      </c>
      <c r="E19" s="29">
        <f>E18/D18-1</f>
        <v>0.11111111111111116</v>
      </c>
      <c r="F19" s="29">
        <f>F18/E18-1</f>
        <v>9.0093696998894357E-2</v>
      </c>
      <c r="G19" s="57">
        <f t="shared" ref="G19" si="10">G18/F18-1</f>
        <v>1.3955098111023689E-2</v>
      </c>
      <c r="H19" s="57">
        <f t="shared" ref="H19" si="11">H18/G18-1</f>
        <v>7.0000000000000062E-2</v>
      </c>
      <c r="I19" s="57">
        <f t="shared" ref="I19" si="12">I18/H18-1</f>
        <v>6.999999999999984E-2</v>
      </c>
      <c r="J19" s="57">
        <f t="shared" ref="J19" si="13">J18/I18-1</f>
        <v>7.0000000000000284E-2</v>
      </c>
      <c r="K19" s="57">
        <f t="shared" ref="K19" si="14">K18/J18-1</f>
        <v>7.0000000000000284E-2</v>
      </c>
      <c r="W19" s="27"/>
      <c r="X19" s="27"/>
      <c r="Y19" s="27"/>
      <c r="Z19" s="14"/>
    </row>
    <row r="20" spans="2:26" x14ac:dyDescent="0.2">
      <c r="B20" s="3" t="s">
        <v>137</v>
      </c>
      <c r="D20" s="14">
        <f>-SUMIF('List of employees &amp; salaries'!$B:$B,'5-Y P&amp;L Budget'!$B20,'List of employees &amp; salaries'!G:G)</f>
        <v>-143900.99774999998</v>
      </c>
      <c r="E20" s="14">
        <f>-SUMIF('List of employees &amp; salaries'!$B:$B,'5-Y P&amp;L Budget'!$B20,'List of employees &amp; salaries'!H:H)</f>
        <v>-159889.99750000006</v>
      </c>
      <c r="F20" s="8">
        <f>-SUMIF('List of employees &amp; salaries'!$B:$B,'5-Y P&amp;L Budget'!$B20,'List of employees &amp; salaries'!I:I)</f>
        <v>-176139.98875000005</v>
      </c>
      <c r="G20" s="58">
        <f>-SUMIF('List of employees &amp; salaries'!$B:$B,'5-Y P&amp;L Budget'!$B20,'List of employees &amp; salaries'!J:J)</f>
        <v>-341467.56827892875</v>
      </c>
      <c r="H20" s="58">
        <f>-SUMIF('List of employees &amp; salaries'!$B:$B,'5-Y P&amp;L Budget'!$B20,'List of employees &amp; salaries'!K:K)</f>
        <v>-361925.39342105767</v>
      </c>
      <c r="I20" s="58">
        <f>-SUMIF('List of employees &amp; salaries'!$B:$B,'5-Y P&amp;L Budget'!$B20,'List of employees &amp; salaries'!L:L)</f>
        <v>-372694.16939068784</v>
      </c>
      <c r="J20" s="58">
        <f>-SUMIF('List of employees &amp; salaries'!$B:$B,'5-Y P&amp;L Budget'!$B20,'List of employees &amp; salaries'!M:M)</f>
        <v>-384291.08396886487</v>
      </c>
      <c r="K20" s="58">
        <f>-SUMIF('List of employees &amp; salaries'!$B:$B,'5-Y P&amp;L Budget'!$B20,'List of employees &amp; salaries'!N:N)</f>
        <v>-396785.75520805939</v>
      </c>
      <c r="W20" s="27"/>
      <c r="X20" s="27"/>
      <c r="Y20" s="27"/>
      <c r="Z20" s="14"/>
    </row>
    <row r="21" spans="2:26" x14ac:dyDescent="0.2">
      <c r="B21" s="16" t="s">
        <v>19</v>
      </c>
      <c r="E21" s="29">
        <f>E20/D20-1</f>
        <v>0.1111111111111116</v>
      </c>
      <c r="F21" s="29">
        <f>F20/E20-1</f>
        <v>0.10163231911989978</v>
      </c>
      <c r="G21" s="57">
        <f t="shared" ref="G21" si="15">G20/F20-1</f>
        <v>0.93861468200490417</v>
      </c>
      <c r="H21" s="57">
        <f t="shared" ref="H21" si="16">H20/G20-1</f>
        <v>5.9911473424081985E-2</v>
      </c>
      <c r="I21" s="57">
        <f t="shared" ref="I21" si="17">I20/H20-1</f>
        <v>2.9754132109492515E-2</v>
      </c>
      <c r="J21" s="57">
        <f t="shared" ref="J21" si="18">J20/I20-1</f>
        <v>3.1116436828450222E-2</v>
      </c>
      <c r="K21" s="57">
        <f t="shared" ref="K21" si="19">K20/J20-1</f>
        <v>3.2513560060130953E-2</v>
      </c>
      <c r="W21" s="27"/>
      <c r="X21" s="27"/>
      <c r="Y21" s="27"/>
      <c r="Z21" s="14"/>
    </row>
    <row r="22" spans="2:26" ht="22.8" x14ac:dyDescent="0.2">
      <c r="B22" s="3" t="s">
        <v>143</v>
      </c>
      <c r="D22" s="14">
        <f>-'Training &amp; Development Budget'!C11</f>
        <v>-27800</v>
      </c>
      <c r="E22" s="14">
        <f>-'Training &amp; Development Budget'!D11</f>
        <v>-27800</v>
      </c>
      <c r="F22" s="14">
        <f>-'Training &amp; Development Budget'!E11</f>
        <v>-27800</v>
      </c>
      <c r="G22" s="52">
        <f>-'Training &amp; Development Budget'!F11</f>
        <v>-38800</v>
      </c>
      <c r="H22" s="52">
        <f>-'Training &amp; Development Budget'!G11</f>
        <v>-38800</v>
      </c>
      <c r="I22" s="52">
        <f>-'Training &amp; Development Budget'!H11</f>
        <v>-38800</v>
      </c>
      <c r="J22" s="52">
        <f>-'Training &amp; Development Budget'!I11</f>
        <v>-38800</v>
      </c>
      <c r="K22" s="52">
        <f>-'Training &amp; Development Budget'!J11</f>
        <v>-38800</v>
      </c>
      <c r="W22" s="27"/>
      <c r="X22" s="27"/>
      <c r="Y22" s="27"/>
      <c r="Z22" s="14"/>
    </row>
    <row r="23" spans="2:26" x14ac:dyDescent="0.2">
      <c r="B23" s="3"/>
      <c r="E23" s="15"/>
      <c r="F23" s="15"/>
      <c r="G23" s="59"/>
      <c r="H23" s="59"/>
      <c r="I23" s="59"/>
      <c r="J23" s="59"/>
      <c r="K23" s="59"/>
      <c r="W23" s="14"/>
      <c r="X23" s="14"/>
      <c r="Y23" s="14"/>
      <c r="Z23" s="14"/>
    </row>
    <row r="24" spans="2:26" ht="12" x14ac:dyDescent="0.25">
      <c r="B24" s="18" t="s">
        <v>5</v>
      </c>
      <c r="D24" s="22">
        <f>D18+D20+D22</f>
        <v>-215854.99999999997</v>
      </c>
      <c r="E24" s="22">
        <f>E18+E20+E22</f>
        <v>-236750.00000000006</v>
      </c>
      <c r="F24" s="22">
        <f>F18+F20+F22</f>
        <v>-257419.98825000005</v>
      </c>
      <c r="G24" s="62">
        <f t="shared" ref="G24:K24" si="20">G18+G20+G22</f>
        <v>-434493.88641892874</v>
      </c>
      <c r="H24" s="62">
        <f t="shared" si="20"/>
        <v>-458747.55383085768</v>
      </c>
      <c r="I24" s="62">
        <f t="shared" si="20"/>
        <v>-473577.88102917385</v>
      </c>
      <c r="J24" s="62">
        <f t="shared" si="20"/>
        <v>-489520.65542204492</v>
      </c>
      <c r="K24" s="62">
        <f t="shared" si="20"/>
        <v>-506665.39666296204</v>
      </c>
    </row>
    <row r="25" spans="2:26" x14ac:dyDescent="0.2">
      <c r="B25" s="16"/>
      <c r="E25" s="20">
        <f>E24/D24-1</f>
        <v>9.6801093326539078E-2</v>
      </c>
      <c r="F25" s="20">
        <f t="shared" ref="F25:K25" si="21">F24/E24-1</f>
        <v>8.7307236536430688E-2</v>
      </c>
      <c r="G25" s="59">
        <f t="shared" si="21"/>
        <v>0.68787936543979167</v>
      </c>
      <c r="H25" s="59">
        <f t="shared" si="21"/>
        <v>5.5820503279864653E-2</v>
      </c>
      <c r="I25" s="59">
        <f t="shared" si="21"/>
        <v>3.2327861095874377E-2</v>
      </c>
      <c r="J25" s="59">
        <f t="shared" si="21"/>
        <v>3.3664524952526031E-2</v>
      </c>
      <c r="K25" s="59">
        <f t="shared" si="21"/>
        <v>3.5023529755114469E-2</v>
      </c>
    </row>
    <row r="26" spans="2:26" s="18" customFormat="1" ht="12.6" thickBot="1" x14ac:dyDescent="0.3">
      <c r="B26" s="23" t="s">
        <v>10</v>
      </c>
      <c r="C26" s="23"/>
      <c r="D26" s="25">
        <f>D13+D24</f>
        <v>210318.04599999989</v>
      </c>
      <c r="E26" s="25">
        <f>E13+E24</f>
        <v>225309.99999999994</v>
      </c>
      <c r="F26" s="25">
        <f>F13+F24</f>
        <v>243620.01174999995</v>
      </c>
      <c r="G26" s="60">
        <f t="shared" ref="G26:K26" si="22">G13+G24</f>
        <v>88985.736175225698</v>
      </c>
      <c r="H26" s="60">
        <f t="shared" si="22"/>
        <v>97589.698172167118</v>
      </c>
      <c r="I26" s="60">
        <f t="shared" si="22"/>
        <v>117788.65324597817</v>
      </c>
      <c r="J26" s="60">
        <f t="shared" si="22"/>
        <v>139199.89966766164</v>
      </c>
      <c r="K26" s="60">
        <f t="shared" si="22"/>
        <v>161898.60584316787</v>
      </c>
    </row>
    <row r="27" spans="2:26" x14ac:dyDescent="0.2">
      <c r="G27" s="56"/>
      <c r="H27" s="56"/>
      <c r="I27" s="56"/>
      <c r="J27" s="56"/>
      <c r="K27" s="56"/>
    </row>
    <row r="28" spans="2:26" x14ac:dyDescent="0.2">
      <c r="B28" s="2" t="s">
        <v>9</v>
      </c>
      <c r="D28" s="14">
        <v>-31250</v>
      </c>
      <c r="E28" s="8">
        <v>-29250</v>
      </c>
      <c r="F28" s="8">
        <v>-27250</v>
      </c>
      <c r="G28" s="63">
        <f>F28+2000</f>
        <v>-25250</v>
      </c>
      <c r="H28" s="63">
        <f t="shared" ref="H28:K28" si="23">G28+2000</f>
        <v>-23250</v>
      </c>
      <c r="I28" s="63">
        <f t="shared" si="23"/>
        <v>-21250</v>
      </c>
      <c r="J28" s="63">
        <f t="shared" si="23"/>
        <v>-19250</v>
      </c>
      <c r="K28" s="63">
        <f t="shared" si="23"/>
        <v>-17250</v>
      </c>
    </row>
    <row r="29" spans="2:26" ht="12.6" thickBot="1" x14ac:dyDescent="0.3">
      <c r="B29" s="23" t="s">
        <v>11</v>
      </c>
      <c r="C29" s="24"/>
      <c r="D29" s="25">
        <f>D26+D28</f>
        <v>179068.04599999989</v>
      </c>
      <c r="E29" s="25">
        <f>E26+E28</f>
        <v>196059.99999999994</v>
      </c>
      <c r="F29" s="25">
        <f>F26+F28</f>
        <v>216370.01174999995</v>
      </c>
      <c r="G29" s="60">
        <f t="shared" ref="G29:K29" si="24">G26+G28</f>
        <v>63735.736175225698</v>
      </c>
      <c r="H29" s="60">
        <f t="shared" si="24"/>
        <v>74339.698172167118</v>
      </c>
      <c r="I29" s="60">
        <f t="shared" si="24"/>
        <v>96538.653245978174</v>
      </c>
      <c r="J29" s="60">
        <f t="shared" si="24"/>
        <v>119949.89966766164</v>
      </c>
      <c r="K29" s="60">
        <f t="shared" si="24"/>
        <v>144648.60584316787</v>
      </c>
    </row>
    <row r="30" spans="2:26" x14ac:dyDescent="0.2">
      <c r="G30" s="56"/>
      <c r="H30" s="56"/>
      <c r="I30" s="56"/>
      <c r="J30" s="56"/>
      <c r="K30" s="56"/>
    </row>
    <row r="31" spans="2:26" x14ac:dyDescent="0.2">
      <c r="B31" s="2" t="s">
        <v>132</v>
      </c>
      <c r="D31" s="14">
        <f>-10%*D29</f>
        <v>-17906.804599999989</v>
      </c>
      <c r="E31" s="14">
        <f>-10%*E29</f>
        <v>-19605.999999999996</v>
      </c>
      <c r="F31" s="14">
        <f>-10%*F29</f>
        <v>-21637.001174999998</v>
      </c>
      <c r="G31" s="50">
        <f t="shared" ref="G31:K31" si="25">-10%*G29</f>
        <v>-6373.5736175225702</v>
      </c>
      <c r="H31" s="50">
        <f t="shared" si="25"/>
        <v>-7433.9698172167118</v>
      </c>
      <c r="I31" s="50">
        <f t="shared" si="25"/>
        <v>-9653.8653245978185</v>
      </c>
      <c r="J31" s="50">
        <f t="shared" si="25"/>
        <v>-11994.989966766165</v>
      </c>
      <c r="K31" s="50">
        <f t="shared" si="25"/>
        <v>-14464.860584316788</v>
      </c>
    </row>
    <row r="32" spans="2:26" ht="12.6" thickBot="1" x14ac:dyDescent="0.3">
      <c r="B32" s="23" t="s">
        <v>133</v>
      </c>
      <c r="C32" s="24"/>
      <c r="D32" s="25">
        <f>D29+D31</f>
        <v>161161.24139999988</v>
      </c>
      <c r="E32" s="25">
        <f>E29+E31</f>
        <v>176453.99999999994</v>
      </c>
      <c r="F32" s="25">
        <f>F29+F31</f>
        <v>194733.01057499996</v>
      </c>
      <c r="G32" s="60">
        <f t="shared" ref="G32:K32" si="26">G29+G31</f>
        <v>57362.16255770313</v>
      </c>
      <c r="H32" s="60">
        <f t="shared" si="26"/>
        <v>66905.728354950406</v>
      </c>
      <c r="I32" s="60">
        <f t="shared" si="26"/>
        <v>86884.787921380354</v>
      </c>
      <c r="J32" s="60">
        <f t="shared" si="26"/>
        <v>107954.90970089547</v>
      </c>
      <c r="K32" s="60">
        <f t="shared" si="26"/>
        <v>130183.74525885108</v>
      </c>
    </row>
    <row r="33" spans="2:11" x14ac:dyDescent="0.2">
      <c r="B33" s="16" t="s">
        <v>19</v>
      </c>
      <c r="E33" s="29">
        <f>E32/D32-1</f>
        <v>9.4891044938302915E-2</v>
      </c>
      <c r="F33" s="29">
        <f>F32/E32-1</f>
        <v>0.10359079745996147</v>
      </c>
      <c r="G33" s="64">
        <f t="shared" ref="G33" si="27">G32/F32-1</f>
        <v>-0.70543174786685425</v>
      </c>
      <c r="H33" s="64">
        <f t="shared" ref="H33" si="28">H32/G32-1</f>
        <v>0.16637388431175304</v>
      </c>
      <c r="I33" s="64">
        <f t="shared" ref="I33" si="29">I32/H32-1</f>
        <v>0.29861508211130139</v>
      </c>
      <c r="J33" s="64">
        <f t="shared" ref="J33" si="30">J32/I32-1</f>
        <v>0.24250645347239486</v>
      </c>
      <c r="K33" s="64">
        <f t="shared" ref="K33" si="31">K32/J32-1</f>
        <v>0.20590851883942829</v>
      </c>
    </row>
    <row r="35" spans="2:11" s="18" customFormat="1" ht="12" x14ac:dyDescent="0.25">
      <c r="B35" s="18" t="s">
        <v>139</v>
      </c>
      <c r="D35" s="30">
        <f>D10+D18+D20+'List of employees &amp; salaries'!G114</f>
        <v>0</v>
      </c>
      <c r="E35" s="30">
        <f>E10+E18+E20+'List of employees &amp; salaries'!H114</f>
        <v>0</v>
      </c>
      <c r="F35" s="30">
        <f>F10+F18+F20+'List of employees &amp; salaries'!I114</f>
        <v>0</v>
      </c>
      <c r="G35" s="30">
        <f>G10+G18+G20+'List of employees &amp; salaries'!J114</f>
        <v>0</v>
      </c>
      <c r="H35" s="30">
        <f>H10+H18+H20+'List of employees &amp; salaries'!K114</f>
        <v>0</v>
      </c>
      <c r="I35" s="30">
        <f>I10+I18+I20+'List of employees &amp; salaries'!L114</f>
        <v>0</v>
      </c>
      <c r="J35" s="30">
        <f>J10+J18+J20+'List of employees &amp; salaries'!M114</f>
        <v>0</v>
      </c>
      <c r="K35" s="30">
        <f>K10+K18+K20+'List of employees &amp; salaries'!N114</f>
        <v>0</v>
      </c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Assumptions</vt:lpstr>
      <vt:lpstr>List of employees &amp; salaries</vt:lpstr>
      <vt:lpstr>FTEs and average salary</vt:lpstr>
      <vt:lpstr>Revenue Breakdown &amp; Budget</vt:lpstr>
      <vt:lpstr>Training &amp; Development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Jonas Wetzel</cp:lastModifiedBy>
  <dcterms:created xsi:type="dcterms:W3CDTF">2020-03-25T09:21:18Z</dcterms:created>
  <dcterms:modified xsi:type="dcterms:W3CDTF">2025-08-16T04:32:16Z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