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heerder\Desktop\"/>
    </mc:Choice>
  </mc:AlternateContent>
  <xr:revisionPtr revIDLastSave="0" documentId="13_ncr:1_{D1DF3ED6-137E-4535-9A8C-04F659EAB21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egend" sheetId="8" r:id="rId1"/>
    <sheet name="Solow" sheetId="1" r:id="rId2"/>
    <sheet name="Convergence" sheetId="9" r:id="rId3"/>
    <sheet name="Solow 2" sheetId="6" r:id="rId4"/>
    <sheet name="Solow met market power" sheetId="7" r:id="rId5"/>
    <sheet name="Diamon" sheetId="5" r:id="rId6"/>
    <sheet name="endogeen" sheetId="3" r:id="rId7"/>
    <sheet name="Blijvende kapitaalopbouw" sheetId="2" r:id="rId8"/>
    <sheet name="R&amp;D" sheetId="4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C11" i="1"/>
  <c r="B11" i="1"/>
  <c r="I11" i="1" s="1"/>
  <c r="H11" i="1" l="1"/>
  <c r="A11" i="1"/>
  <c r="I19" i="5" l="1"/>
  <c r="B11" i="9"/>
  <c r="B15" i="9"/>
  <c r="B16" i="9" s="1"/>
  <c r="B17" i="9" s="1"/>
  <c r="C18" i="9" s="1"/>
  <c r="A15" i="1"/>
  <c r="C15" i="1"/>
  <c r="D15" i="1" s="1"/>
  <c r="E15" i="1" s="1"/>
  <c r="F15" i="1" s="1"/>
  <c r="B15" i="1"/>
  <c r="I15" i="1" s="1"/>
  <c r="B9" i="9"/>
  <c r="B12" i="9"/>
  <c r="B18" i="9" s="1"/>
  <c r="D11" i="1"/>
  <c r="H15" i="1" l="1"/>
  <c r="C16" i="9"/>
  <c r="C17" i="9"/>
  <c r="F24" i="6"/>
  <c r="F23" i="6"/>
  <c r="H24" i="6"/>
  <c r="H27" i="6"/>
  <c r="B22" i="7"/>
  <c r="B18" i="6"/>
  <c r="K14" i="6" s="1"/>
  <c r="S14" i="6"/>
  <c r="G20" i="7"/>
  <c r="I16" i="7"/>
  <c r="F21" i="7"/>
  <c r="F20" i="7"/>
  <c r="B16" i="7"/>
  <c r="F17" i="7" s="1"/>
  <c r="F18" i="7" s="1"/>
  <c r="F19" i="7" s="1"/>
  <c r="F16" i="7"/>
  <c r="F45" i="7"/>
  <c r="A18" i="1" l="1"/>
  <c r="B18" i="1"/>
  <c r="M16" i="6"/>
  <c r="H17" i="6"/>
  <c r="F17" i="6"/>
  <c r="J14" i="6" s="1"/>
  <c r="H18" i="6"/>
  <c r="F41" i="7"/>
  <c r="H39" i="7" s="1"/>
  <c r="P32" i="7" s="1"/>
  <c r="F42" i="7"/>
  <c r="G38" i="7" s="1"/>
  <c r="H42" i="7"/>
  <c r="H43" i="7"/>
  <c r="M41" i="7"/>
  <c r="K39" i="7"/>
  <c r="M39" i="7"/>
  <c r="F19" i="6"/>
  <c r="H19" i="6" l="1"/>
  <c r="I13" i="6" s="1"/>
  <c r="M17" i="6" s="1"/>
  <c r="I18" i="6"/>
  <c r="M14" i="6"/>
  <c r="F16" i="6"/>
  <c r="J39" i="7"/>
  <c r="I43" i="7"/>
  <c r="G37" i="7"/>
  <c r="G36" i="7" s="1"/>
  <c r="H40" i="7"/>
  <c r="H41" i="7" s="1"/>
  <c r="F43" i="7"/>
  <c r="H45" i="7"/>
  <c r="N41" i="7" s="1"/>
  <c r="I39" i="7"/>
  <c r="M40" i="7"/>
  <c r="I27" i="5"/>
  <c r="J27" i="5" s="1"/>
  <c r="K27" i="5"/>
  <c r="I23" i="5"/>
  <c r="M20" i="5"/>
  <c r="S19" i="5"/>
  <c r="R19" i="5"/>
  <c r="N22" i="5"/>
  <c r="N27" i="5"/>
  <c r="I20" i="5"/>
  <c r="I22" i="5"/>
  <c r="M27" i="5"/>
  <c r="E28" i="5"/>
  <c r="E29" i="5" s="1"/>
  <c r="C25" i="4"/>
  <c r="D25" i="4"/>
  <c r="B25" i="4"/>
  <c r="F25" i="4" s="1"/>
  <c r="C23" i="2"/>
  <c r="G23" i="2" s="1"/>
  <c r="B23" i="2"/>
  <c r="B18" i="3"/>
  <c r="E18" i="3" s="1"/>
  <c r="G27" i="5"/>
  <c r="G28" i="5" s="1"/>
  <c r="C18" i="3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19" i="3"/>
  <c r="L18" i="3"/>
  <c r="D28" i="5"/>
  <c r="D26" i="4"/>
  <c r="D18" i="3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6" i="5"/>
  <c r="N65" i="5"/>
  <c r="I21" i="5" l="1"/>
  <c r="M22" i="5" s="1"/>
  <c r="M28" i="5"/>
  <c r="E11" i="1"/>
  <c r="F11" i="1" s="1"/>
  <c r="N16" i="6"/>
  <c r="H14" i="6"/>
  <c r="I38" i="7"/>
  <c r="M42" i="7" s="1"/>
  <c r="H15" i="6"/>
  <c r="G13" i="6"/>
  <c r="G12" i="6"/>
  <c r="G11" i="6" s="1"/>
  <c r="F18" i="6"/>
  <c r="I14" i="6" s="1"/>
  <c r="G29" i="5"/>
  <c r="D29" i="5"/>
  <c r="I28" i="5"/>
  <c r="B28" i="5" s="1"/>
  <c r="C47" i="5" s="1"/>
  <c r="F48" i="5" s="1"/>
  <c r="F18" i="3"/>
  <c r="I18" i="3"/>
  <c r="J18" i="3" s="1"/>
  <c r="K18" i="3"/>
  <c r="M18" i="3" s="1"/>
  <c r="M29" i="5"/>
  <c r="E30" i="5"/>
  <c r="B27" i="5"/>
  <c r="C27" i="5" s="1"/>
  <c r="F28" i="5" s="1"/>
  <c r="L27" i="5"/>
  <c r="I23" i="2"/>
  <c r="L23" i="2"/>
  <c r="B24" i="2" s="1"/>
  <c r="G25" i="4"/>
  <c r="B26" i="4" s="1"/>
  <c r="H26" i="4" s="1"/>
  <c r="H25" i="4"/>
  <c r="E25" i="4"/>
  <c r="D27" i="4"/>
  <c r="C29" i="5"/>
  <c r="F30" i="5" s="1"/>
  <c r="C28" i="5"/>
  <c r="F29" i="5" s="1"/>
  <c r="C56" i="5"/>
  <c r="F57" i="5" s="1"/>
  <c r="C48" i="5"/>
  <c r="F49" i="5" s="1"/>
  <c r="C45" i="5"/>
  <c r="F46" i="5" s="1"/>
  <c r="C42" i="5"/>
  <c r="F43" i="5" s="1"/>
  <c r="C58" i="5"/>
  <c r="F59" i="5" s="1"/>
  <c r="C62" i="5"/>
  <c r="F63" i="5" s="1"/>
  <c r="C44" i="5"/>
  <c r="F45" i="5" s="1"/>
  <c r="C33" i="5"/>
  <c r="F34" i="5" s="1"/>
  <c r="C39" i="5"/>
  <c r="F40" i="5" s="1"/>
  <c r="D23" i="2"/>
  <c r="E23" i="2" s="1"/>
  <c r="M23" i="2"/>
  <c r="C24" i="2"/>
  <c r="N23" i="2"/>
  <c r="G18" i="3"/>
  <c r="H23" i="2"/>
  <c r="C61" i="5" l="1"/>
  <c r="F62" i="5" s="1"/>
  <c r="C65" i="5"/>
  <c r="F66" i="5" s="1"/>
  <c r="C43" i="5"/>
  <c r="F44" i="5" s="1"/>
  <c r="C64" i="5"/>
  <c r="F65" i="5" s="1"/>
  <c r="C34" i="5"/>
  <c r="F35" i="5" s="1"/>
  <c r="C51" i="5"/>
  <c r="F52" i="5" s="1"/>
  <c r="C31" i="5"/>
  <c r="F32" i="5" s="1"/>
  <c r="C36" i="5"/>
  <c r="F37" i="5" s="1"/>
  <c r="C32" i="5"/>
  <c r="F33" i="5" s="1"/>
  <c r="C54" i="5"/>
  <c r="F55" i="5" s="1"/>
  <c r="C57" i="5"/>
  <c r="F58" i="5" s="1"/>
  <c r="C50" i="5"/>
  <c r="F51" i="5" s="1"/>
  <c r="C49" i="5"/>
  <c r="F50" i="5" s="1"/>
  <c r="C55" i="5"/>
  <c r="F56" i="5" s="1"/>
  <c r="P7" i="6"/>
  <c r="R14" i="6"/>
  <c r="R15" i="6" s="1"/>
  <c r="R12" i="6"/>
  <c r="H16" i="6"/>
  <c r="M15" i="6"/>
  <c r="B24" i="6"/>
  <c r="M30" i="5"/>
  <c r="E31" i="5"/>
  <c r="F19" i="3"/>
  <c r="C66" i="5"/>
  <c r="C63" i="5"/>
  <c r="F64" i="5" s="1"/>
  <c r="C46" i="5"/>
  <c r="F47" i="5" s="1"/>
  <c r="C38" i="5"/>
  <c r="F39" i="5" s="1"/>
  <c r="C53" i="5"/>
  <c r="F54" i="5" s="1"/>
  <c r="C40" i="5"/>
  <c r="F41" i="5" s="1"/>
  <c r="C35" i="5"/>
  <c r="F36" i="5" s="1"/>
  <c r="C37" i="5"/>
  <c r="F38" i="5" s="1"/>
  <c r="C60" i="5"/>
  <c r="F61" i="5" s="1"/>
  <c r="C30" i="5"/>
  <c r="F31" i="5" s="1"/>
  <c r="C41" i="5"/>
  <c r="F42" i="5" s="1"/>
  <c r="C52" i="5"/>
  <c r="F53" i="5" s="1"/>
  <c r="C59" i="5"/>
  <c r="F60" i="5" s="1"/>
  <c r="G26" i="4"/>
  <c r="B19" i="3"/>
  <c r="D19" i="3" s="1"/>
  <c r="G30" i="5"/>
  <c r="I29" i="5"/>
  <c r="B29" i="5" s="1"/>
  <c r="D30" i="5"/>
  <c r="H18" i="3"/>
  <c r="H19" i="3" s="1"/>
  <c r="N18" i="3"/>
  <c r="O18" i="3"/>
  <c r="D28" i="4"/>
  <c r="E19" i="3"/>
  <c r="N24" i="2"/>
  <c r="M24" i="2"/>
  <c r="C25" i="2"/>
  <c r="H24" i="2"/>
  <c r="G24" i="2"/>
  <c r="J25" i="4"/>
  <c r="I25" i="4"/>
  <c r="C26" i="4"/>
  <c r="C27" i="4" s="1"/>
  <c r="K23" i="2"/>
  <c r="F23" i="2"/>
  <c r="J23" i="2"/>
  <c r="D24" i="2"/>
  <c r="E24" i="2" s="1"/>
  <c r="J26" i="4"/>
  <c r="I26" i="4"/>
  <c r="E26" i="4"/>
  <c r="F26" i="4"/>
  <c r="B27" i="4"/>
  <c r="I30" i="5" l="1"/>
  <c r="B30" i="5" s="1"/>
  <c r="D31" i="5"/>
  <c r="G31" i="5"/>
  <c r="E32" i="5"/>
  <c r="M31" i="5"/>
  <c r="K24" i="2"/>
  <c r="J24" i="2"/>
  <c r="F24" i="2"/>
  <c r="N25" i="2"/>
  <c r="H25" i="2"/>
  <c r="C26" i="2"/>
  <c r="I19" i="3"/>
  <c r="G19" i="3"/>
  <c r="K19" i="3"/>
  <c r="E27" i="4"/>
  <c r="F27" i="4"/>
  <c r="H27" i="4"/>
  <c r="C28" i="4" s="1"/>
  <c r="G27" i="4"/>
  <c r="B28" i="4" s="1"/>
  <c r="L24" i="2"/>
  <c r="B25" i="2" s="1"/>
  <c r="M25" i="2" s="1"/>
  <c r="I24" i="2"/>
  <c r="D29" i="4"/>
  <c r="E33" i="5" l="1"/>
  <c r="M32" i="5"/>
  <c r="D32" i="5"/>
  <c r="G32" i="5"/>
  <c r="I31" i="5"/>
  <c r="B31" i="5" s="1"/>
  <c r="O19" i="3"/>
  <c r="N19" i="3"/>
  <c r="G25" i="2"/>
  <c r="F28" i="4"/>
  <c r="E28" i="4"/>
  <c r="D30" i="4"/>
  <c r="H28" i="4"/>
  <c r="C27" i="2"/>
  <c r="N26" i="2"/>
  <c r="H26" i="2"/>
  <c r="G28" i="4"/>
  <c r="B29" i="4" s="1"/>
  <c r="H29" i="4" s="1"/>
  <c r="J27" i="4"/>
  <c r="I27" i="4"/>
  <c r="D25" i="2"/>
  <c r="E25" i="2" s="1"/>
  <c r="J19" i="3"/>
  <c r="B20" i="3"/>
  <c r="M19" i="3"/>
  <c r="H20" i="3" s="1"/>
  <c r="F20" i="3"/>
  <c r="I32" i="5" l="1"/>
  <c r="B32" i="5" s="1"/>
  <c r="D33" i="5"/>
  <c r="G33" i="5"/>
  <c r="E34" i="5"/>
  <c r="M33" i="5"/>
  <c r="J29" i="4"/>
  <c r="I29" i="4"/>
  <c r="I28" i="4"/>
  <c r="J28" i="4"/>
  <c r="G29" i="4"/>
  <c r="L25" i="2"/>
  <c r="B26" i="2" s="1"/>
  <c r="I25" i="2"/>
  <c r="E20" i="3"/>
  <c r="D20" i="3"/>
  <c r="K25" i="2"/>
  <c r="F25" i="2"/>
  <c r="J25" i="2"/>
  <c r="H27" i="2"/>
  <c r="C28" i="2"/>
  <c r="N27" i="2"/>
  <c r="D31" i="4"/>
  <c r="B30" i="4"/>
  <c r="H30" i="4" s="1"/>
  <c r="E29" i="4"/>
  <c r="F29" i="4"/>
  <c r="C29" i="4"/>
  <c r="C30" i="4" s="1"/>
  <c r="M34" i="5" l="1"/>
  <c r="E35" i="5"/>
  <c r="D34" i="5"/>
  <c r="G34" i="5"/>
  <c r="I33" i="5"/>
  <c r="B33" i="5" s="1"/>
  <c r="N28" i="2"/>
  <c r="C29" i="2"/>
  <c r="H28" i="2"/>
  <c r="E30" i="4"/>
  <c r="F30" i="4"/>
  <c r="C31" i="4"/>
  <c r="D32" i="4"/>
  <c r="I30" i="4"/>
  <c r="J30" i="4"/>
  <c r="G30" i="4"/>
  <c r="B31" i="4" s="1"/>
  <c r="K20" i="3"/>
  <c r="I20" i="3"/>
  <c r="G20" i="3"/>
  <c r="D26" i="2"/>
  <c r="E26" i="2" s="1"/>
  <c r="G26" i="2"/>
  <c r="M26" i="2"/>
  <c r="G31" i="4" l="1"/>
  <c r="H31" i="4"/>
  <c r="I34" i="5"/>
  <c r="B34" i="5" s="1"/>
  <c r="G35" i="5"/>
  <c r="D35" i="5"/>
  <c r="E36" i="5"/>
  <c r="M35" i="5"/>
  <c r="C30" i="2"/>
  <c r="H29" i="2"/>
  <c r="N29" i="2"/>
  <c r="O20" i="3"/>
  <c r="N20" i="3"/>
  <c r="J31" i="4"/>
  <c r="I31" i="4"/>
  <c r="E31" i="4"/>
  <c r="F31" i="4"/>
  <c r="B32" i="4"/>
  <c r="J20" i="3"/>
  <c r="B21" i="3"/>
  <c r="L26" i="2"/>
  <c r="B27" i="2" s="1"/>
  <c r="I26" i="2"/>
  <c r="K26" i="2"/>
  <c r="J26" i="2"/>
  <c r="F26" i="2"/>
  <c r="M20" i="3"/>
  <c r="H21" i="3" s="1"/>
  <c r="F21" i="3"/>
  <c r="D33" i="4"/>
  <c r="G32" i="4"/>
  <c r="C32" i="4"/>
  <c r="E37" i="5" l="1"/>
  <c r="M36" i="5"/>
  <c r="D36" i="5"/>
  <c r="I35" i="5"/>
  <c r="B35" i="5" s="1"/>
  <c r="G36" i="5"/>
  <c r="E21" i="3"/>
  <c r="D21" i="3"/>
  <c r="C33" i="4"/>
  <c r="D27" i="2"/>
  <c r="E27" i="2" s="1"/>
  <c r="M27" i="2"/>
  <c r="G27" i="2"/>
  <c r="B33" i="4"/>
  <c r="F32" i="4"/>
  <c r="E32" i="4"/>
  <c r="H30" i="2"/>
  <c r="N30" i="2"/>
  <c r="C31" i="2"/>
  <c r="H32" i="4"/>
  <c r="H33" i="4"/>
  <c r="D34" i="4"/>
  <c r="I36" i="5" l="1"/>
  <c r="B36" i="5" s="1"/>
  <c r="D37" i="5"/>
  <c r="G37" i="5"/>
  <c r="E38" i="5"/>
  <c r="M37" i="5"/>
  <c r="F33" i="4"/>
  <c r="E33" i="4"/>
  <c r="I27" i="2"/>
  <c r="L27" i="2"/>
  <c r="B28" i="2" s="1"/>
  <c r="C34" i="4"/>
  <c r="N31" i="2"/>
  <c r="C32" i="2"/>
  <c r="H31" i="2"/>
  <c r="J32" i="4"/>
  <c r="I32" i="4"/>
  <c r="J33" i="4"/>
  <c r="I33" i="4"/>
  <c r="G21" i="3"/>
  <c r="I21" i="3"/>
  <c r="K21" i="3"/>
  <c r="D35" i="4"/>
  <c r="G33" i="4"/>
  <c r="B34" i="4" s="1"/>
  <c r="F27" i="2"/>
  <c r="K27" i="2"/>
  <c r="J27" i="2"/>
  <c r="E39" i="5" l="1"/>
  <c r="M38" i="5"/>
  <c r="G38" i="5"/>
  <c r="I37" i="5"/>
  <c r="B37" i="5" s="1"/>
  <c r="D38" i="5"/>
  <c r="F34" i="4"/>
  <c r="E34" i="4"/>
  <c r="H34" i="4"/>
  <c r="G34" i="4"/>
  <c r="B35" i="4" s="1"/>
  <c r="J21" i="3"/>
  <c r="B22" i="3"/>
  <c r="D28" i="2"/>
  <c r="E28" i="2" s="1"/>
  <c r="G28" i="2"/>
  <c r="M28" i="2"/>
  <c r="M21" i="3"/>
  <c r="H22" i="3" s="1"/>
  <c r="F22" i="3"/>
  <c r="N21" i="3"/>
  <c r="O21" i="3"/>
  <c r="C33" i="2"/>
  <c r="H32" i="2"/>
  <c r="N32" i="2"/>
  <c r="D36" i="4"/>
  <c r="G39" i="5" l="1"/>
  <c r="D39" i="5"/>
  <c r="I38" i="5"/>
  <c r="B38" i="5" s="1"/>
  <c r="M39" i="5"/>
  <c r="E40" i="5"/>
  <c r="F35" i="4"/>
  <c r="E35" i="4"/>
  <c r="H35" i="4"/>
  <c r="G35" i="4"/>
  <c r="B36" i="4" s="1"/>
  <c r="I28" i="2"/>
  <c r="L28" i="2"/>
  <c r="B29" i="2" s="1"/>
  <c r="J34" i="4"/>
  <c r="I34" i="4"/>
  <c r="C35" i="4"/>
  <c r="J28" i="2"/>
  <c r="F28" i="2"/>
  <c r="K28" i="2"/>
  <c r="D37" i="4"/>
  <c r="C34" i="2"/>
  <c r="N33" i="2"/>
  <c r="H33" i="2"/>
  <c r="D22" i="3"/>
  <c r="E22" i="3"/>
  <c r="M40" i="5" l="1"/>
  <c r="E41" i="5"/>
  <c r="C36" i="4"/>
  <c r="G40" i="5"/>
  <c r="I39" i="5"/>
  <c r="B39" i="5" s="1"/>
  <c r="D40" i="5"/>
  <c r="E36" i="4"/>
  <c r="F36" i="4"/>
  <c r="H36" i="4"/>
  <c r="G36" i="4"/>
  <c r="B37" i="4" s="1"/>
  <c r="J35" i="4"/>
  <c r="I35" i="4"/>
  <c r="H34" i="2"/>
  <c r="C35" i="2"/>
  <c r="N34" i="2"/>
  <c r="D38" i="4"/>
  <c r="G22" i="3"/>
  <c r="I22" i="3"/>
  <c r="K22" i="3"/>
  <c r="D29" i="2"/>
  <c r="E29" i="2" s="1"/>
  <c r="M29" i="2"/>
  <c r="G29" i="2"/>
  <c r="G41" i="5" l="1"/>
  <c r="I40" i="5"/>
  <c r="B40" i="5" s="1"/>
  <c r="D41" i="5"/>
  <c r="E42" i="5"/>
  <c r="M41" i="5"/>
  <c r="F37" i="4"/>
  <c r="E37" i="4"/>
  <c r="G37" i="4"/>
  <c r="B38" i="4" s="1"/>
  <c r="H37" i="4"/>
  <c r="I29" i="2"/>
  <c r="L29" i="2"/>
  <c r="B30" i="2" s="1"/>
  <c r="I36" i="4"/>
  <c r="J36" i="4"/>
  <c r="N22" i="3"/>
  <c r="O22" i="3"/>
  <c r="K29" i="2"/>
  <c r="F29" i="2"/>
  <c r="J29" i="2"/>
  <c r="N35" i="2"/>
  <c r="H35" i="2"/>
  <c r="C36" i="2"/>
  <c r="J22" i="3"/>
  <c r="B23" i="3"/>
  <c r="D39" i="4"/>
  <c r="M22" i="3"/>
  <c r="H23" i="3" s="1"/>
  <c r="F23" i="3"/>
  <c r="C37" i="4"/>
  <c r="E43" i="5" l="1"/>
  <c r="M42" i="5"/>
  <c r="D42" i="5"/>
  <c r="G42" i="5"/>
  <c r="I41" i="5"/>
  <c r="B41" i="5" s="1"/>
  <c r="F38" i="4"/>
  <c r="E38" i="4"/>
  <c r="H38" i="4"/>
  <c r="G38" i="4"/>
  <c r="B39" i="4" s="1"/>
  <c r="J37" i="4"/>
  <c r="I37" i="4"/>
  <c r="N36" i="2"/>
  <c r="C37" i="2"/>
  <c r="H36" i="2"/>
  <c r="D40" i="4"/>
  <c r="C38" i="4"/>
  <c r="D23" i="3"/>
  <c r="E23" i="3"/>
  <c r="D30" i="2"/>
  <c r="E30" i="2" s="1"/>
  <c r="M30" i="2"/>
  <c r="G30" i="2"/>
  <c r="I42" i="5" l="1"/>
  <c r="B42" i="5" s="1"/>
  <c r="D43" i="5"/>
  <c r="G43" i="5"/>
  <c r="E44" i="5"/>
  <c r="M43" i="5"/>
  <c r="E39" i="4"/>
  <c r="F39" i="4"/>
  <c r="H39" i="4"/>
  <c r="G39" i="4"/>
  <c r="B40" i="4" s="1"/>
  <c r="N37" i="2"/>
  <c r="C38" i="2"/>
  <c r="H37" i="2"/>
  <c r="D41" i="4"/>
  <c r="J38" i="4"/>
  <c r="I38" i="4"/>
  <c r="K30" i="2"/>
  <c r="J30" i="2"/>
  <c r="F30" i="2"/>
  <c r="I23" i="3"/>
  <c r="K23" i="3"/>
  <c r="G23" i="3"/>
  <c r="L30" i="2"/>
  <c r="B31" i="2" s="1"/>
  <c r="I30" i="2"/>
  <c r="C39" i="4"/>
  <c r="M44" i="5" l="1"/>
  <c r="E45" i="5"/>
  <c r="C40" i="4"/>
  <c r="I43" i="5"/>
  <c r="B43" i="5" s="1"/>
  <c r="D44" i="5"/>
  <c r="G44" i="5"/>
  <c r="F40" i="4"/>
  <c r="E40" i="4"/>
  <c r="H40" i="4"/>
  <c r="G40" i="4"/>
  <c r="B41" i="4" s="1"/>
  <c r="C41" i="4"/>
  <c r="N23" i="3"/>
  <c r="O23" i="3"/>
  <c r="J39" i="4"/>
  <c r="I39" i="4"/>
  <c r="D31" i="2"/>
  <c r="E31" i="2" s="1"/>
  <c r="G31" i="2"/>
  <c r="M31" i="2"/>
  <c r="J23" i="3"/>
  <c r="B24" i="3"/>
  <c r="D42" i="4"/>
  <c r="M23" i="3"/>
  <c r="H24" i="3" s="1"/>
  <c r="F24" i="3"/>
  <c r="C39" i="2"/>
  <c r="N38" i="2"/>
  <c r="H38" i="2"/>
  <c r="M45" i="5" l="1"/>
  <c r="E46" i="5"/>
  <c r="D45" i="5"/>
  <c r="G45" i="5"/>
  <c r="I44" i="5"/>
  <c r="B44" i="5" s="1"/>
  <c r="F41" i="4"/>
  <c r="E41" i="4"/>
  <c r="H41" i="4"/>
  <c r="C42" i="4" s="1"/>
  <c r="G41" i="4"/>
  <c r="B42" i="4" s="1"/>
  <c r="D43" i="4"/>
  <c r="J40" i="4"/>
  <c r="I40" i="4"/>
  <c r="C40" i="2"/>
  <c r="N39" i="2"/>
  <c r="H39" i="2"/>
  <c r="D24" i="3"/>
  <c r="E24" i="3"/>
  <c r="L31" i="2"/>
  <c r="B32" i="2" s="1"/>
  <c r="I31" i="2"/>
  <c r="F31" i="2"/>
  <c r="K31" i="2"/>
  <c r="J31" i="2"/>
  <c r="G46" i="5" l="1"/>
  <c r="I45" i="5"/>
  <c r="B45" i="5" s="1"/>
  <c r="D46" i="5"/>
  <c r="M46" i="5"/>
  <c r="E47" i="5"/>
  <c r="F42" i="4"/>
  <c r="E42" i="4"/>
  <c r="G42" i="4"/>
  <c r="B43" i="4" s="1"/>
  <c r="H42" i="4"/>
  <c r="I24" i="3"/>
  <c r="G24" i="3"/>
  <c r="K24" i="3"/>
  <c r="C43" i="4"/>
  <c r="C41" i="2"/>
  <c r="H40" i="2"/>
  <c r="N40" i="2"/>
  <c r="I41" i="4"/>
  <c r="J41" i="4"/>
  <c r="D44" i="4"/>
  <c r="D32" i="2"/>
  <c r="E32" i="2" s="1"/>
  <c r="M32" i="2"/>
  <c r="G32" i="2"/>
  <c r="E48" i="5" l="1"/>
  <c r="M47" i="5"/>
  <c r="D47" i="5"/>
  <c r="G47" i="5"/>
  <c r="I46" i="5"/>
  <c r="B46" i="5" s="1"/>
  <c r="F43" i="4"/>
  <c r="E43" i="4"/>
  <c r="H43" i="4"/>
  <c r="G43" i="4"/>
  <c r="B44" i="4" s="1"/>
  <c r="J24" i="3"/>
  <c r="B25" i="3"/>
  <c r="J42" i="4"/>
  <c r="I42" i="4"/>
  <c r="D45" i="4"/>
  <c r="L32" i="2"/>
  <c r="B33" i="2" s="1"/>
  <c r="I32" i="2"/>
  <c r="F32" i="2"/>
  <c r="K32" i="2"/>
  <c r="J32" i="2"/>
  <c r="M24" i="3"/>
  <c r="H25" i="3" s="1"/>
  <c r="F25" i="3"/>
  <c r="C42" i="2"/>
  <c r="H41" i="2"/>
  <c r="N41" i="2"/>
  <c r="O24" i="3"/>
  <c r="N24" i="3"/>
  <c r="I47" i="5" l="1"/>
  <c r="B47" i="5" s="1"/>
  <c r="D48" i="5"/>
  <c r="G48" i="5"/>
  <c r="M48" i="5"/>
  <c r="E49" i="5"/>
  <c r="F44" i="4"/>
  <c r="E44" i="4"/>
  <c r="G44" i="4"/>
  <c r="B45" i="4" s="1"/>
  <c r="H44" i="4"/>
  <c r="I43" i="4"/>
  <c r="J43" i="4"/>
  <c r="D46" i="4"/>
  <c r="D33" i="2"/>
  <c r="E33" i="2" s="1"/>
  <c r="M33" i="2"/>
  <c r="G33" i="2"/>
  <c r="N42" i="2"/>
  <c r="H42" i="2"/>
  <c r="C44" i="4"/>
  <c r="D25" i="3"/>
  <c r="E25" i="3"/>
  <c r="E50" i="5" l="1"/>
  <c r="M49" i="5"/>
  <c r="I48" i="5"/>
  <c r="B48" i="5" s="1"/>
  <c r="G49" i="5"/>
  <c r="D49" i="5"/>
  <c r="F45" i="4"/>
  <c r="E45" i="4"/>
  <c r="G45" i="4"/>
  <c r="B46" i="4" s="1"/>
  <c r="H45" i="4"/>
  <c r="K25" i="3"/>
  <c r="G25" i="3"/>
  <c r="I25" i="3"/>
  <c r="J44" i="4"/>
  <c r="I44" i="4"/>
  <c r="C45" i="4"/>
  <c r="D47" i="4"/>
  <c r="K33" i="2"/>
  <c r="F33" i="2"/>
  <c r="J33" i="2"/>
  <c r="L33" i="2"/>
  <c r="B34" i="2" s="1"/>
  <c r="I33" i="2"/>
  <c r="G50" i="5" l="1"/>
  <c r="D50" i="5"/>
  <c r="I49" i="5"/>
  <c r="B49" i="5" s="1"/>
  <c r="E51" i="5"/>
  <c r="M50" i="5"/>
  <c r="E46" i="4"/>
  <c r="F46" i="4"/>
  <c r="G46" i="4"/>
  <c r="B47" i="4" s="1"/>
  <c r="H46" i="4"/>
  <c r="I45" i="4"/>
  <c r="J45" i="4"/>
  <c r="D34" i="2"/>
  <c r="E34" i="2" s="1"/>
  <c r="M34" i="2"/>
  <c r="G34" i="2"/>
  <c r="J25" i="3"/>
  <c r="B26" i="3"/>
  <c r="M25" i="3"/>
  <c r="H26" i="3" s="1"/>
  <c r="F26" i="3"/>
  <c r="D48" i="4"/>
  <c r="C46" i="4"/>
  <c r="C47" i="4" s="1"/>
  <c r="O25" i="3"/>
  <c r="N25" i="3"/>
  <c r="E52" i="5" l="1"/>
  <c r="M51" i="5"/>
  <c r="D51" i="5"/>
  <c r="I50" i="5"/>
  <c r="B50" i="5" s="1"/>
  <c r="G51" i="5"/>
  <c r="E47" i="4"/>
  <c r="F47" i="4"/>
  <c r="H47" i="4"/>
  <c r="C48" i="4" s="1"/>
  <c r="G47" i="4"/>
  <c r="B48" i="4" s="1"/>
  <c r="I46" i="4"/>
  <c r="J46" i="4"/>
  <c r="D26" i="3"/>
  <c r="E26" i="3"/>
  <c r="D49" i="4"/>
  <c r="L34" i="2"/>
  <c r="B35" i="2" s="1"/>
  <c r="I34" i="2"/>
  <c r="K34" i="2"/>
  <c r="J34" i="2"/>
  <c r="F34" i="2"/>
  <c r="G52" i="5" l="1"/>
  <c r="D52" i="5"/>
  <c r="I51" i="5"/>
  <c r="B51" i="5" s="1"/>
  <c r="E53" i="5"/>
  <c r="M52" i="5"/>
  <c r="E48" i="4"/>
  <c r="F48" i="4"/>
  <c r="G48" i="4"/>
  <c r="B49" i="4" s="1"/>
  <c r="H48" i="4"/>
  <c r="C49" i="4" s="1"/>
  <c r="D35" i="2"/>
  <c r="E35" i="2" s="1"/>
  <c r="M35" i="2"/>
  <c r="G35" i="2"/>
  <c r="I47" i="4"/>
  <c r="J47" i="4"/>
  <c r="K26" i="3"/>
  <c r="G26" i="3"/>
  <c r="I26" i="3"/>
  <c r="D50" i="4"/>
  <c r="M53" i="5" l="1"/>
  <c r="E54" i="5"/>
  <c r="G53" i="5"/>
  <c r="D53" i="5"/>
  <c r="I52" i="5"/>
  <c r="B52" i="5" s="1"/>
  <c r="E49" i="4"/>
  <c r="F49" i="4"/>
  <c r="H49" i="4"/>
  <c r="G49" i="4"/>
  <c r="B50" i="4" s="1"/>
  <c r="M26" i="3"/>
  <c r="H27" i="3" s="1"/>
  <c r="F27" i="3"/>
  <c r="F35" i="2"/>
  <c r="J35" i="2"/>
  <c r="K35" i="2"/>
  <c r="J26" i="3"/>
  <c r="B27" i="3"/>
  <c r="J48" i="4"/>
  <c r="I48" i="4"/>
  <c r="D51" i="4"/>
  <c r="I35" i="2"/>
  <c r="L35" i="2"/>
  <c r="B36" i="2" s="1"/>
  <c r="O26" i="3"/>
  <c r="N26" i="3"/>
  <c r="I53" i="5" l="1"/>
  <c r="B53" i="5" s="1"/>
  <c r="G54" i="5"/>
  <c r="D54" i="5"/>
  <c r="E55" i="5"/>
  <c r="M54" i="5"/>
  <c r="E50" i="4"/>
  <c r="F50" i="4"/>
  <c r="H50" i="4"/>
  <c r="G50" i="4"/>
  <c r="B51" i="4" s="1"/>
  <c r="J49" i="4"/>
  <c r="I49" i="4"/>
  <c r="D27" i="3"/>
  <c r="E27" i="3"/>
  <c r="D36" i="2"/>
  <c r="E36" i="2" s="1"/>
  <c r="M36" i="2"/>
  <c r="G36" i="2"/>
  <c r="D52" i="4"/>
  <c r="C50" i="4"/>
  <c r="E56" i="5" l="1"/>
  <c r="M55" i="5"/>
  <c r="D55" i="5"/>
  <c r="G55" i="5"/>
  <c r="I54" i="5"/>
  <c r="B54" i="5" s="1"/>
  <c r="F51" i="4"/>
  <c r="E51" i="4"/>
  <c r="H51" i="4"/>
  <c r="G51" i="4"/>
  <c r="B52" i="4" s="1"/>
  <c r="J50" i="4"/>
  <c r="I50" i="4"/>
  <c r="D53" i="4"/>
  <c r="K36" i="2"/>
  <c r="J36" i="2"/>
  <c r="F36" i="2"/>
  <c r="K27" i="3"/>
  <c r="G27" i="3"/>
  <c r="I27" i="3"/>
  <c r="I36" i="2"/>
  <c r="L36" i="2"/>
  <c r="B37" i="2" s="1"/>
  <c r="C51" i="4"/>
  <c r="G56" i="5" l="1"/>
  <c r="D56" i="5"/>
  <c r="I55" i="5"/>
  <c r="B55" i="5" s="1"/>
  <c r="C52" i="4"/>
  <c r="M56" i="5"/>
  <c r="E57" i="5"/>
  <c r="E52" i="4"/>
  <c r="F52" i="4"/>
  <c r="H52" i="4"/>
  <c r="G52" i="4"/>
  <c r="B53" i="4" s="1"/>
  <c r="J27" i="3"/>
  <c r="B28" i="3"/>
  <c r="D54" i="4"/>
  <c r="I51" i="4"/>
  <c r="J51" i="4"/>
  <c r="O27" i="3"/>
  <c r="N27" i="3"/>
  <c r="D37" i="2"/>
  <c r="E37" i="2" s="1"/>
  <c r="G37" i="2"/>
  <c r="M37" i="2"/>
  <c r="M27" i="3"/>
  <c r="H28" i="3" s="1"/>
  <c r="F28" i="3"/>
  <c r="E58" i="5" l="1"/>
  <c r="M57" i="5"/>
  <c r="G57" i="5"/>
  <c r="D57" i="5"/>
  <c r="I56" i="5"/>
  <c r="B56" i="5" s="1"/>
  <c r="E53" i="4"/>
  <c r="F53" i="4"/>
  <c r="H53" i="4"/>
  <c r="G53" i="4"/>
  <c r="B54" i="4" s="1"/>
  <c r="I52" i="4"/>
  <c r="J52" i="4"/>
  <c r="C53" i="4"/>
  <c r="L37" i="2"/>
  <c r="B38" i="2" s="1"/>
  <c r="I37" i="2"/>
  <c r="K37" i="2"/>
  <c r="J37" i="2"/>
  <c r="F37" i="2"/>
  <c r="D55" i="4"/>
  <c r="D28" i="3"/>
  <c r="E28" i="3"/>
  <c r="I57" i="5" l="1"/>
  <c r="B57" i="5" s="1"/>
  <c r="G58" i="5"/>
  <c r="D58" i="5"/>
  <c r="E59" i="5"/>
  <c r="M58" i="5"/>
  <c r="F54" i="4"/>
  <c r="E54" i="4"/>
  <c r="G54" i="4"/>
  <c r="B55" i="4" s="1"/>
  <c r="H54" i="4"/>
  <c r="J53" i="4"/>
  <c r="I53" i="4"/>
  <c r="D56" i="4"/>
  <c r="D38" i="2"/>
  <c r="E38" i="2" s="1"/>
  <c r="M38" i="2"/>
  <c r="G38" i="2"/>
  <c r="C54" i="4"/>
  <c r="K28" i="3"/>
  <c r="G28" i="3"/>
  <c r="I28" i="3"/>
  <c r="E60" i="5" l="1"/>
  <c r="M59" i="5"/>
  <c r="I58" i="5"/>
  <c r="B58" i="5" s="1"/>
  <c r="G59" i="5"/>
  <c r="D59" i="5"/>
  <c r="F55" i="4"/>
  <c r="E55" i="4"/>
  <c r="H55" i="4"/>
  <c r="G55" i="4"/>
  <c r="B56" i="4" s="1"/>
  <c r="I54" i="4"/>
  <c r="J54" i="4"/>
  <c r="M28" i="3"/>
  <c r="H29" i="3" s="1"/>
  <c r="F29" i="3"/>
  <c r="D57" i="4"/>
  <c r="J28" i="3"/>
  <c r="B29" i="3"/>
  <c r="K38" i="2"/>
  <c r="J38" i="2"/>
  <c r="F38" i="2"/>
  <c r="O28" i="3"/>
  <c r="N28" i="3"/>
  <c r="C55" i="4"/>
  <c r="I38" i="2"/>
  <c r="L38" i="2"/>
  <c r="B39" i="2" s="1"/>
  <c r="I59" i="5" l="1"/>
  <c r="B59" i="5" s="1"/>
  <c r="D60" i="5"/>
  <c r="G60" i="5"/>
  <c r="E61" i="5"/>
  <c r="M60" i="5"/>
  <c r="E56" i="4"/>
  <c r="F56" i="4"/>
  <c r="H56" i="4"/>
  <c r="G56" i="4"/>
  <c r="B57" i="4" s="1"/>
  <c r="I55" i="4"/>
  <c r="J55" i="4"/>
  <c r="D58" i="4"/>
  <c r="C56" i="4"/>
  <c r="D29" i="3"/>
  <c r="E29" i="3"/>
  <c r="D39" i="2"/>
  <c r="E39" i="2" s="1"/>
  <c r="M39" i="2"/>
  <c r="G39" i="2"/>
  <c r="E62" i="5" l="1"/>
  <c r="M61" i="5"/>
  <c r="G61" i="5"/>
  <c r="D61" i="5"/>
  <c r="I60" i="5"/>
  <c r="B60" i="5" s="1"/>
  <c r="E57" i="4"/>
  <c r="F57" i="4"/>
  <c r="H57" i="4"/>
  <c r="G57" i="4"/>
  <c r="B58" i="4" s="1"/>
  <c r="J56" i="4"/>
  <c r="I56" i="4"/>
  <c r="I39" i="2"/>
  <c r="L39" i="2"/>
  <c r="B40" i="2" s="1"/>
  <c r="K29" i="3"/>
  <c r="I29" i="3"/>
  <c r="G29" i="3"/>
  <c r="C57" i="4"/>
  <c r="D59" i="4"/>
  <c r="K39" i="2"/>
  <c r="J39" i="2"/>
  <c r="F39" i="2"/>
  <c r="G62" i="5" l="1"/>
  <c r="I61" i="5"/>
  <c r="B61" i="5" s="1"/>
  <c r="D62" i="5"/>
  <c r="M62" i="5"/>
  <c r="E63" i="5"/>
  <c r="E58" i="4"/>
  <c r="F58" i="4"/>
  <c r="G58" i="4"/>
  <c r="B59" i="4" s="1"/>
  <c r="H58" i="4"/>
  <c r="M29" i="3"/>
  <c r="H30" i="3" s="1"/>
  <c r="F30" i="3"/>
  <c r="J57" i="4"/>
  <c r="I57" i="4"/>
  <c r="D40" i="2"/>
  <c r="E40" i="2" s="1"/>
  <c r="G40" i="2"/>
  <c r="M40" i="2"/>
  <c r="D60" i="4"/>
  <c r="C58" i="4"/>
  <c r="C59" i="4" s="1"/>
  <c r="O29" i="3"/>
  <c r="N29" i="3"/>
  <c r="J29" i="3"/>
  <c r="B30" i="3"/>
  <c r="E64" i="5" l="1"/>
  <c r="M63" i="5"/>
  <c r="I62" i="5"/>
  <c r="B62" i="5" s="1"/>
  <c r="D63" i="5"/>
  <c r="G63" i="5"/>
  <c r="F59" i="4"/>
  <c r="E59" i="4"/>
  <c r="H59" i="4"/>
  <c r="G59" i="4"/>
  <c r="B60" i="4" s="1"/>
  <c r="E30" i="3"/>
  <c r="D30" i="3"/>
  <c r="J58" i="4"/>
  <c r="I58" i="4"/>
  <c r="K40" i="2"/>
  <c r="J40" i="2"/>
  <c r="F40" i="2"/>
  <c r="D61" i="4"/>
  <c r="L40" i="2"/>
  <c r="B41" i="2" s="1"/>
  <c r="I40" i="2"/>
  <c r="D64" i="5" l="1"/>
  <c r="I63" i="5"/>
  <c r="B63" i="5" s="1"/>
  <c r="G64" i="5"/>
  <c r="E65" i="5"/>
  <c r="M64" i="5"/>
  <c r="E60" i="4"/>
  <c r="F60" i="4"/>
  <c r="H60" i="4"/>
  <c r="G60" i="4"/>
  <c r="B61" i="4" s="1"/>
  <c r="D62" i="4"/>
  <c r="I59" i="4"/>
  <c r="J59" i="4"/>
  <c r="G30" i="3"/>
  <c r="K30" i="3"/>
  <c r="I30" i="3"/>
  <c r="D41" i="2"/>
  <c r="E41" i="2" s="1"/>
  <c r="G41" i="2"/>
  <c r="M41" i="2"/>
  <c r="C60" i="4"/>
  <c r="M65" i="5" l="1"/>
  <c r="E66" i="5"/>
  <c r="M66" i="5" s="1"/>
  <c r="C61" i="4"/>
  <c r="G65" i="5"/>
  <c r="I64" i="5"/>
  <c r="B64" i="5" s="1"/>
  <c r="D65" i="5"/>
  <c r="F61" i="4"/>
  <c r="E61" i="4"/>
  <c r="G61" i="4"/>
  <c r="B62" i="4" s="1"/>
  <c r="H61" i="4"/>
  <c r="I60" i="4"/>
  <c r="J60" i="4"/>
  <c r="M30" i="3"/>
  <c r="H31" i="3" s="1"/>
  <c r="F31" i="3"/>
  <c r="O30" i="3"/>
  <c r="N30" i="3"/>
  <c r="F41" i="2"/>
  <c r="K41" i="2"/>
  <c r="J41" i="2"/>
  <c r="L41" i="2"/>
  <c r="B42" i="2" s="1"/>
  <c r="I41" i="2"/>
  <c r="J30" i="3"/>
  <c r="B31" i="3"/>
  <c r="D63" i="4"/>
  <c r="I65" i="5" l="1"/>
  <c r="B65" i="5" s="1"/>
  <c r="G66" i="5"/>
  <c r="I66" i="5" s="1"/>
  <c r="B66" i="5" s="1"/>
  <c r="D66" i="5"/>
  <c r="E62" i="4"/>
  <c r="F62" i="4"/>
  <c r="G62" i="4"/>
  <c r="B63" i="4" s="1"/>
  <c r="H62" i="4"/>
  <c r="D42" i="2"/>
  <c r="E42" i="2" s="1"/>
  <c r="G42" i="2"/>
  <c r="M42" i="2"/>
  <c r="J61" i="4"/>
  <c r="I61" i="4"/>
  <c r="C62" i="4"/>
  <c r="D64" i="4"/>
  <c r="D31" i="3"/>
  <c r="E31" i="3"/>
  <c r="E63" i="4" l="1"/>
  <c r="F63" i="4"/>
  <c r="G63" i="4"/>
  <c r="B64" i="4" s="1"/>
  <c r="H63" i="4"/>
  <c r="K42" i="2"/>
  <c r="J42" i="2"/>
  <c r="F42" i="2"/>
  <c r="I62" i="4"/>
  <c r="J62" i="4"/>
  <c r="K31" i="3"/>
  <c r="G31" i="3"/>
  <c r="I31" i="3"/>
  <c r="D65" i="4"/>
  <c r="C63" i="4"/>
  <c r="I42" i="2"/>
  <c r="L42" i="2"/>
  <c r="F64" i="4" l="1"/>
  <c r="E64" i="4"/>
  <c r="H64" i="4"/>
  <c r="G64" i="4"/>
  <c r="B65" i="4" s="1"/>
  <c r="I63" i="4"/>
  <c r="J63" i="4"/>
  <c r="C64" i="4"/>
  <c r="D66" i="4"/>
  <c r="O31" i="3"/>
  <c r="N31" i="3"/>
  <c r="M31" i="3"/>
  <c r="H32" i="3" s="1"/>
  <c r="F32" i="3"/>
  <c r="J31" i="3"/>
  <c r="B32" i="3"/>
  <c r="F65" i="4" l="1"/>
  <c r="E65" i="4"/>
  <c r="H65" i="4"/>
  <c r="G65" i="4"/>
  <c r="B66" i="4" s="1"/>
  <c r="I64" i="4"/>
  <c r="J64" i="4"/>
  <c r="E32" i="3"/>
  <c r="D32" i="3"/>
  <c r="D67" i="4"/>
  <c r="C65" i="4"/>
  <c r="E66" i="4" l="1"/>
  <c r="F66" i="4"/>
  <c r="G66" i="4"/>
  <c r="B67" i="4" s="1"/>
  <c r="H66" i="4"/>
  <c r="C66" i="4"/>
  <c r="G32" i="3"/>
  <c r="I32" i="3"/>
  <c r="K32" i="3"/>
  <c r="J65" i="4"/>
  <c r="I65" i="4"/>
  <c r="D68" i="4"/>
  <c r="C67" i="4" l="1"/>
  <c r="F67" i="4"/>
  <c r="E67" i="4"/>
  <c r="H67" i="4"/>
  <c r="G67" i="4"/>
  <c r="B68" i="4" s="1"/>
  <c r="D69" i="4"/>
  <c r="I66" i="4"/>
  <c r="J66" i="4"/>
  <c r="M32" i="3"/>
  <c r="H33" i="3" s="1"/>
  <c r="F33" i="3"/>
  <c r="J32" i="3"/>
  <c r="B33" i="3"/>
  <c r="O32" i="3"/>
  <c r="N32" i="3"/>
  <c r="E68" i="4" l="1"/>
  <c r="F68" i="4"/>
  <c r="G68" i="4"/>
  <c r="B69" i="4" s="1"/>
  <c r="H68" i="4"/>
  <c r="J67" i="4"/>
  <c r="I67" i="4"/>
  <c r="D70" i="4"/>
  <c r="E33" i="3"/>
  <c r="D33" i="3"/>
  <c r="C68" i="4"/>
  <c r="C69" i="4" l="1"/>
  <c r="F69" i="4"/>
  <c r="E69" i="4"/>
  <c r="H69" i="4"/>
  <c r="G69" i="4"/>
  <c r="B70" i="4" s="1"/>
  <c r="C70" i="4"/>
  <c r="D71" i="4"/>
  <c r="I68" i="4"/>
  <c r="J68" i="4"/>
  <c r="G33" i="3"/>
  <c r="I33" i="3"/>
  <c r="K33" i="3"/>
  <c r="F70" i="4" l="1"/>
  <c r="E70" i="4"/>
  <c r="G70" i="4"/>
  <c r="B71" i="4" s="1"/>
  <c r="H70" i="4"/>
  <c r="J69" i="4"/>
  <c r="I69" i="4"/>
  <c r="N33" i="3"/>
  <c r="O33" i="3"/>
  <c r="M33" i="3"/>
  <c r="H34" i="3" s="1"/>
  <c r="F34" i="3"/>
  <c r="D72" i="4"/>
  <c r="J33" i="3"/>
  <c r="B34" i="3"/>
  <c r="F71" i="4" l="1"/>
  <c r="E71" i="4"/>
  <c r="H71" i="4"/>
  <c r="G71" i="4"/>
  <c r="B72" i="4" s="1"/>
  <c r="I70" i="4"/>
  <c r="J70" i="4"/>
  <c r="E34" i="3"/>
  <c r="D34" i="3"/>
  <c r="D73" i="4"/>
  <c r="C71" i="4"/>
  <c r="E72" i="4" l="1"/>
  <c r="F72" i="4"/>
  <c r="H72" i="4"/>
  <c r="G72" i="4"/>
  <c r="B73" i="4" s="1"/>
  <c r="C72" i="4"/>
  <c r="C73" i="4" s="1"/>
  <c r="I34" i="3"/>
  <c r="K34" i="3"/>
  <c r="G34" i="3"/>
  <c r="J71" i="4"/>
  <c r="I71" i="4"/>
  <c r="D74" i="4"/>
  <c r="E73" i="4" l="1"/>
  <c r="F73" i="4"/>
  <c r="H73" i="4"/>
  <c r="G73" i="4"/>
  <c r="B74" i="4" s="1"/>
  <c r="C74" i="4"/>
  <c r="M34" i="3"/>
  <c r="H35" i="3" s="1"/>
  <c r="F35" i="3"/>
  <c r="I72" i="4"/>
  <c r="J72" i="4"/>
  <c r="N34" i="3"/>
  <c r="O34" i="3"/>
  <c r="D75" i="4"/>
  <c r="J34" i="3"/>
  <c r="B35" i="3"/>
  <c r="F74" i="4" l="1"/>
  <c r="E74" i="4"/>
  <c r="H74" i="4"/>
  <c r="G74" i="4"/>
  <c r="B75" i="4" s="1"/>
  <c r="C75" i="4"/>
  <c r="I73" i="4"/>
  <c r="J73" i="4"/>
  <c r="D35" i="3"/>
  <c r="E35" i="3"/>
  <c r="D76" i="4"/>
  <c r="F75" i="4" l="1"/>
  <c r="E75" i="4"/>
  <c r="H75" i="4"/>
  <c r="G75" i="4"/>
  <c r="B76" i="4" s="1"/>
  <c r="G35" i="3"/>
  <c r="I35" i="3"/>
  <c r="K35" i="3"/>
  <c r="I74" i="4"/>
  <c r="J74" i="4"/>
  <c r="D77" i="4"/>
  <c r="E76" i="4" l="1"/>
  <c r="F76" i="4"/>
  <c r="H76" i="4"/>
  <c r="G76" i="4"/>
  <c r="B77" i="4" s="1"/>
  <c r="D78" i="4"/>
  <c r="N35" i="3"/>
  <c r="O35" i="3"/>
  <c r="J75" i="4"/>
  <c r="I75" i="4"/>
  <c r="M35" i="3"/>
  <c r="H36" i="3" s="1"/>
  <c r="F36" i="3"/>
  <c r="C76" i="4"/>
  <c r="J35" i="3"/>
  <c r="B36" i="3"/>
  <c r="E77" i="4" l="1"/>
  <c r="F77" i="4"/>
  <c r="G77" i="4"/>
  <c r="B78" i="4" s="1"/>
  <c r="H77" i="4"/>
  <c r="D36" i="3"/>
  <c r="E36" i="3"/>
  <c r="D79" i="4"/>
  <c r="I76" i="4"/>
  <c r="J76" i="4"/>
  <c r="C77" i="4"/>
  <c r="E78" i="4" l="1"/>
  <c r="F78" i="4"/>
  <c r="H78" i="4"/>
  <c r="G78" i="4"/>
  <c r="B79" i="4" s="1"/>
  <c r="D80" i="4"/>
  <c r="C78" i="4"/>
  <c r="I36" i="3"/>
  <c r="K36" i="3"/>
  <c r="G36" i="3"/>
  <c r="I77" i="4"/>
  <c r="J77" i="4"/>
  <c r="E79" i="4" l="1"/>
  <c r="F79" i="4"/>
  <c r="G79" i="4"/>
  <c r="B80" i="4" s="1"/>
  <c r="H79" i="4"/>
  <c r="N36" i="3"/>
  <c r="O36" i="3"/>
  <c r="J36" i="3"/>
  <c r="B37" i="3"/>
  <c r="I78" i="4"/>
  <c r="J78" i="4"/>
  <c r="C79" i="4"/>
  <c r="D81" i="4"/>
  <c r="M36" i="3"/>
  <c r="H37" i="3" s="1"/>
  <c r="F37" i="3"/>
  <c r="C80" i="4" l="1"/>
  <c r="F80" i="4"/>
  <c r="E80" i="4"/>
  <c r="G80" i="4"/>
  <c r="B81" i="4" s="1"/>
  <c r="H80" i="4"/>
  <c r="C81" i="4" s="1"/>
  <c r="I79" i="4"/>
  <c r="J79" i="4"/>
  <c r="E37" i="3"/>
  <c r="D37" i="3"/>
  <c r="D82" i="4"/>
  <c r="E81" i="4" l="1"/>
  <c r="F81" i="4"/>
  <c r="H81" i="4"/>
  <c r="G81" i="4"/>
  <c r="B82" i="4" s="1"/>
  <c r="D83" i="4"/>
  <c r="J80" i="4"/>
  <c r="I80" i="4"/>
  <c r="K37" i="3"/>
  <c r="M37" i="3" s="1"/>
  <c r="G37" i="3"/>
  <c r="I37" i="3"/>
  <c r="J37" i="3" s="1"/>
  <c r="F82" i="4" l="1"/>
  <c r="E82" i="4"/>
  <c r="H82" i="4"/>
  <c r="G82" i="4"/>
  <c r="B83" i="4" s="1"/>
  <c r="J81" i="4"/>
  <c r="I81" i="4"/>
  <c r="D84" i="4"/>
  <c r="N37" i="3"/>
  <c r="O37" i="3"/>
  <c r="C82" i="4"/>
  <c r="F83" i="4" l="1"/>
  <c r="E83" i="4"/>
  <c r="G83" i="4"/>
  <c r="B84" i="4" s="1"/>
  <c r="H83" i="4"/>
  <c r="D85" i="4"/>
  <c r="J82" i="4"/>
  <c r="I82" i="4"/>
  <c r="C83" i="4"/>
  <c r="C84" i="4" s="1"/>
  <c r="F84" i="4" l="1"/>
  <c r="E84" i="4"/>
  <c r="G84" i="4"/>
  <c r="B85" i="4" s="1"/>
  <c r="H84" i="4"/>
  <c r="I83" i="4"/>
  <c r="J83" i="4"/>
  <c r="D86" i="4"/>
  <c r="E85" i="4" l="1"/>
  <c r="F85" i="4"/>
  <c r="G85" i="4"/>
  <c r="B86" i="4" s="1"/>
  <c r="H85" i="4"/>
  <c r="D87" i="4"/>
  <c r="J84" i="4"/>
  <c r="I84" i="4"/>
  <c r="C85" i="4"/>
  <c r="F86" i="4" l="1"/>
  <c r="E86" i="4"/>
  <c r="G86" i="4"/>
  <c r="B87" i="4" s="1"/>
  <c r="H86" i="4"/>
  <c r="I85" i="4"/>
  <c r="J85" i="4"/>
  <c r="C86" i="4"/>
  <c r="D88" i="4"/>
  <c r="E87" i="4" l="1"/>
  <c r="F87" i="4"/>
  <c r="H87" i="4"/>
  <c r="G87" i="4"/>
  <c r="B88" i="4" s="1"/>
  <c r="I86" i="4"/>
  <c r="J86" i="4"/>
  <c r="C87" i="4"/>
  <c r="D89" i="4"/>
  <c r="E88" i="4" l="1"/>
  <c r="F88" i="4"/>
  <c r="H88" i="4"/>
  <c r="G88" i="4"/>
  <c r="B89" i="4" s="1"/>
  <c r="I87" i="4"/>
  <c r="J87" i="4"/>
  <c r="C88" i="4"/>
  <c r="D90" i="4"/>
  <c r="F89" i="4" l="1"/>
  <c r="E89" i="4"/>
  <c r="H89" i="4"/>
  <c r="G89" i="4"/>
  <c r="B90" i="4" s="1"/>
  <c r="D91" i="4"/>
  <c r="C89" i="4"/>
  <c r="J88" i="4"/>
  <c r="I88" i="4"/>
  <c r="E90" i="4" l="1"/>
  <c r="F90" i="4"/>
  <c r="H90" i="4"/>
  <c r="G90" i="4"/>
  <c r="B91" i="4" s="1"/>
  <c r="D92" i="4"/>
  <c r="C90" i="4"/>
  <c r="J89" i="4"/>
  <c r="I89" i="4"/>
  <c r="E91" i="4" l="1"/>
  <c r="F91" i="4"/>
  <c r="H91" i="4"/>
  <c r="G91" i="4"/>
  <c r="B92" i="4" s="1"/>
  <c r="J90" i="4"/>
  <c r="I90" i="4"/>
  <c r="C91" i="4"/>
  <c r="D93" i="4"/>
  <c r="E92" i="4" l="1"/>
  <c r="F92" i="4"/>
  <c r="G92" i="4"/>
  <c r="B93" i="4" s="1"/>
  <c r="H92" i="4"/>
  <c r="C92" i="4"/>
  <c r="J91" i="4"/>
  <c r="I91" i="4"/>
  <c r="D94" i="4"/>
  <c r="E93" i="4" l="1"/>
  <c r="F93" i="4"/>
  <c r="H93" i="4"/>
  <c r="G93" i="4"/>
  <c r="B94" i="4" s="1"/>
  <c r="C93" i="4"/>
  <c r="C94" i="4" s="1"/>
  <c r="J92" i="4"/>
  <c r="I92" i="4"/>
  <c r="D95" i="4"/>
  <c r="E94" i="4" l="1"/>
  <c r="F94" i="4"/>
  <c r="G94" i="4"/>
  <c r="B95" i="4" s="1"/>
  <c r="H94" i="4"/>
  <c r="C95" i="4" s="1"/>
  <c r="D96" i="4"/>
  <c r="J93" i="4"/>
  <c r="I93" i="4"/>
  <c r="E95" i="4" l="1"/>
  <c r="F95" i="4"/>
  <c r="G95" i="4"/>
  <c r="B96" i="4" s="1"/>
  <c r="H95" i="4"/>
  <c r="I94" i="4"/>
  <c r="J94" i="4"/>
  <c r="D97" i="4"/>
  <c r="E96" i="4" l="1"/>
  <c r="F96" i="4"/>
  <c r="H96" i="4"/>
  <c r="G96" i="4"/>
  <c r="B97" i="4" s="1"/>
  <c r="I95" i="4"/>
  <c r="J95" i="4"/>
  <c r="C96" i="4"/>
  <c r="D98" i="4"/>
  <c r="F97" i="4" l="1"/>
  <c r="E97" i="4"/>
  <c r="G97" i="4"/>
  <c r="B98" i="4" s="1"/>
  <c r="H97" i="4"/>
  <c r="J96" i="4"/>
  <c r="I96" i="4"/>
  <c r="C97" i="4"/>
  <c r="D99" i="4"/>
  <c r="E98" i="4" l="1"/>
  <c r="F98" i="4"/>
  <c r="G98" i="4"/>
  <c r="B99" i="4" s="1"/>
  <c r="H98" i="4"/>
  <c r="I97" i="4"/>
  <c r="J97" i="4"/>
  <c r="D100" i="4"/>
  <c r="C98" i="4"/>
  <c r="F99" i="4" l="1"/>
  <c r="E99" i="4"/>
  <c r="G99" i="4"/>
  <c r="B100" i="4" s="1"/>
  <c r="H99" i="4"/>
  <c r="C99" i="4"/>
  <c r="D101" i="4"/>
  <c r="I98" i="4"/>
  <c r="J98" i="4"/>
  <c r="F100" i="4" l="1"/>
  <c r="E100" i="4"/>
  <c r="H100" i="4"/>
  <c r="G100" i="4"/>
  <c r="B101" i="4" s="1"/>
  <c r="C100" i="4"/>
  <c r="C101" i="4" s="1"/>
  <c r="D102" i="4"/>
  <c r="J99" i="4"/>
  <c r="I99" i="4"/>
  <c r="F101" i="4" l="1"/>
  <c r="E101" i="4"/>
  <c r="G101" i="4"/>
  <c r="B102" i="4" s="1"/>
  <c r="H101" i="4"/>
  <c r="D103" i="4"/>
  <c r="J100" i="4"/>
  <c r="I100" i="4"/>
  <c r="E102" i="4" l="1"/>
  <c r="F102" i="4"/>
  <c r="H102" i="4"/>
  <c r="G102" i="4"/>
  <c r="B103" i="4" s="1"/>
  <c r="J101" i="4"/>
  <c r="I101" i="4"/>
  <c r="C102" i="4"/>
  <c r="D104" i="4"/>
  <c r="F103" i="4" l="1"/>
  <c r="E103" i="4"/>
  <c r="H103" i="4"/>
  <c r="G103" i="4"/>
  <c r="B104" i="4" s="1"/>
  <c r="D105" i="4"/>
  <c r="C103" i="4"/>
  <c r="I102" i="4"/>
  <c r="J102" i="4"/>
  <c r="F104" i="4" l="1"/>
  <c r="E104" i="4"/>
  <c r="G104" i="4"/>
  <c r="B105" i="4" s="1"/>
  <c r="H104" i="4"/>
  <c r="D106" i="4"/>
  <c r="C104" i="4"/>
  <c r="I103" i="4"/>
  <c r="J103" i="4"/>
  <c r="E105" i="4" l="1"/>
  <c r="F105" i="4"/>
  <c r="G105" i="4"/>
  <c r="B106" i="4" s="1"/>
  <c r="H105" i="4"/>
  <c r="D107" i="4"/>
  <c r="I104" i="4"/>
  <c r="J104" i="4"/>
  <c r="C105" i="4"/>
  <c r="C106" i="4" s="1"/>
  <c r="E106" i="4" l="1"/>
  <c r="F106" i="4"/>
  <c r="H106" i="4"/>
  <c r="G106" i="4"/>
  <c r="B107" i="4" s="1"/>
  <c r="C107" i="4"/>
  <c r="I105" i="4"/>
  <c r="J105" i="4"/>
  <c r="D108" i="4"/>
  <c r="E107" i="4" l="1"/>
  <c r="F107" i="4"/>
  <c r="H107" i="4"/>
  <c r="C108" i="4" s="1"/>
  <c r="G107" i="4"/>
  <c r="B108" i="4" s="1"/>
  <c r="D109" i="4"/>
  <c r="I106" i="4"/>
  <c r="J106" i="4"/>
  <c r="F108" i="4" l="1"/>
  <c r="E108" i="4"/>
  <c r="G108" i="4"/>
  <c r="B109" i="4" s="1"/>
  <c r="H108" i="4"/>
  <c r="C109" i="4" s="1"/>
  <c r="I107" i="4"/>
  <c r="J107" i="4"/>
  <c r="D110" i="4"/>
  <c r="F109" i="4" l="1"/>
  <c r="E109" i="4"/>
  <c r="H109" i="4"/>
  <c r="G109" i="4"/>
  <c r="B110" i="4" s="1"/>
  <c r="D111" i="4"/>
  <c r="J108" i="4"/>
  <c r="I108" i="4"/>
  <c r="E110" i="4" l="1"/>
  <c r="F110" i="4"/>
  <c r="G110" i="4"/>
  <c r="B111" i="4" s="1"/>
  <c r="H110" i="4"/>
  <c r="J109" i="4"/>
  <c r="I109" i="4"/>
  <c r="D112" i="4"/>
  <c r="C110" i="4"/>
  <c r="C111" i="4" s="1"/>
  <c r="F111" i="4" l="1"/>
  <c r="E111" i="4"/>
  <c r="G111" i="4"/>
  <c r="B112" i="4" s="1"/>
  <c r="H111" i="4"/>
  <c r="C112" i="4" s="1"/>
  <c r="D113" i="4"/>
  <c r="I110" i="4"/>
  <c r="J110" i="4"/>
  <c r="E112" i="4" l="1"/>
  <c r="F112" i="4"/>
  <c r="G112" i="4"/>
  <c r="B113" i="4" s="1"/>
  <c r="H112" i="4"/>
  <c r="I111" i="4"/>
  <c r="J111" i="4"/>
  <c r="D114" i="4"/>
  <c r="F113" i="4" l="1"/>
  <c r="E113" i="4"/>
  <c r="G113" i="4"/>
  <c r="B114" i="4" s="1"/>
  <c r="H113" i="4"/>
  <c r="I112" i="4"/>
  <c r="J112" i="4"/>
  <c r="D115" i="4"/>
  <c r="C113" i="4"/>
  <c r="F114" i="4" l="1"/>
  <c r="E114" i="4"/>
  <c r="G114" i="4"/>
  <c r="B115" i="4" s="1"/>
  <c r="H114" i="4"/>
  <c r="I113" i="4"/>
  <c r="J113" i="4"/>
  <c r="D116" i="4"/>
  <c r="C114" i="4"/>
  <c r="E115" i="4" l="1"/>
  <c r="F115" i="4"/>
  <c r="G115" i="4"/>
  <c r="B116" i="4" s="1"/>
  <c r="H115" i="4"/>
  <c r="C115" i="4"/>
  <c r="I114" i="4"/>
  <c r="J114" i="4"/>
  <c r="D117" i="4"/>
  <c r="C116" i="4" l="1"/>
  <c r="E116" i="4"/>
  <c r="F116" i="4"/>
  <c r="G116" i="4"/>
  <c r="B117" i="4" s="1"/>
  <c r="H116" i="4"/>
  <c r="D118" i="4"/>
  <c r="I115" i="4"/>
  <c r="J115" i="4"/>
  <c r="F117" i="4" l="1"/>
  <c r="E117" i="4"/>
  <c r="G117" i="4"/>
  <c r="B118" i="4" s="1"/>
  <c r="H117" i="4"/>
  <c r="J116" i="4"/>
  <c r="I116" i="4"/>
  <c r="C117" i="4"/>
  <c r="D119" i="4"/>
  <c r="E118" i="4" l="1"/>
  <c r="F118" i="4"/>
  <c r="H118" i="4"/>
  <c r="G118" i="4"/>
  <c r="B119" i="4" s="1"/>
  <c r="D120" i="4"/>
  <c r="C118" i="4"/>
  <c r="I117" i="4"/>
  <c r="J117" i="4"/>
  <c r="E119" i="4" l="1"/>
  <c r="F119" i="4"/>
  <c r="G119" i="4"/>
  <c r="B120" i="4" s="1"/>
  <c r="H119" i="4"/>
  <c r="C119" i="4"/>
  <c r="D121" i="4"/>
  <c r="I118" i="4"/>
  <c r="J118" i="4"/>
  <c r="C120" i="4" l="1"/>
  <c r="E120" i="4"/>
  <c r="F120" i="4"/>
  <c r="G120" i="4"/>
  <c r="B121" i="4" s="1"/>
  <c r="H120" i="4"/>
  <c r="I119" i="4"/>
  <c r="J119" i="4"/>
  <c r="D122" i="4"/>
  <c r="F121" i="4" l="1"/>
  <c r="E121" i="4"/>
  <c r="H121" i="4"/>
  <c r="G121" i="4"/>
  <c r="B122" i="4" s="1"/>
  <c r="I120" i="4"/>
  <c r="J120" i="4"/>
  <c r="D123" i="4"/>
  <c r="C121" i="4"/>
  <c r="E122" i="4" l="1"/>
  <c r="F122" i="4"/>
  <c r="G122" i="4"/>
  <c r="B123" i="4" s="1"/>
  <c r="H122" i="4"/>
  <c r="C122" i="4"/>
  <c r="D124" i="4"/>
  <c r="J121" i="4"/>
  <c r="I121" i="4"/>
  <c r="C123" i="4" l="1"/>
  <c r="E123" i="4"/>
  <c r="F123" i="4"/>
  <c r="G123" i="4"/>
  <c r="B124" i="4" s="1"/>
  <c r="H123" i="4"/>
  <c r="C124" i="4" s="1"/>
  <c r="J122" i="4"/>
  <c r="I122" i="4"/>
  <c r="E124" i="4" l="1"/>
  <c r="F124" i="4"/>
  <c r="H124" i="4"/>
  <c r="G124" i="4"/>
  <c r="I123" i="4"/>
  <c r="J123" i="4"/>
  <c r="I124" i="4" l="1"/>
  <c r="J124" i="4"/>
</calcChain>
</file>

<file path=xl/sharedStrings.xml><?xml version="1.0" encoding="utf-8"?>
<sst xmlns="http://schemas.openxmlformats.org/spreadsheetml/2006/main" count="332" uniqueCount="160">
  <si>
    <t>Formules</t>
  </si>
  <si>
    <t>Y = F(K,L)</t>
  </si>
  <si>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 f(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</si>
  <si>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t>y</t>
  </si>
  <si>
    <r>
      <t>y = c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i</t>
    </r>
  </si>
  <si>
    <t>c = (1-s)*y</t>
  </si>
  <si>
    <t>i = sy</t>
  </si>
  <si>
    <t>i = s*f(k)</t>
  </si>
  <si>
    <t>Algebra</t>
  </si>
  <si>
    <t>Stel</t>
  </si>
  <si>
    <r>
      <t>Y=K</t>
    </r>
    <r>
      <rPr>
        <vertAlign val="superscript"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 xml:space="preserve"> * L</t>
    </r>
    <r>
      <rPr>
        <vertAlign val="superscript"/>
        <sz val="11"/>
        <color theme="1"/>
        <rFont val="Calibri"/>
        <family val="2"/>
        <scheme val="minor"/>
      </rPr>
      <t>1-α</t>
    </r>
  </si>
  <si>
    <t>α</t>
  </si>
  <si>
    <t>k</t>
  </si>
  <si>
    <r>
      <t>y = k</t>
    </r>
    <r>
      <rPr>
        <vertAlign val="superscript"/>
        <sz val="11"/>
        <color theme="1"/>
        <rFont val="Calibri"/>
        <family val="2"/>
        <scheme val="minor"/>
      </rPr>
      <t>α</t>
    </r>
  </si>
  <si>
    <t>Jaar</t>
  </si>
  <si>
    <t>c</t>
  </si>
  <si>
    <t>i</t>
  </si>
  <si>
    <t>δk</t>
  </si>
  <si>
    <t>Δk</t>
  </si>
  <si>
    <t>s</t>
  </si>
  <si>
    <t>k (begin)</t>
  </si>
  <si>
    <t>k*</t>
  </si>
  <si>
    <t>y*</t>
  </si>
  <si>
    <t>Mankiw en Heylen</t>
  </si>
  <si>
    <t>sG</t>
  </si>
  <si>
    <t>kG</t>
  </si>
  <si>
    <t>yG</t>
  </si>
  <si>
    <t>δ+n+g</t>
  </si>
  <si>
    <t>mpk</t>
  </si>
  <si>
    <t>Heyle,</t>
  </si>
  <si>
    <t>Y= F(A,K)</t>
  </si>
  <si>
    <t>Δk = s*f(k) - δk</t>
  </si>
  <si>
    <t>ΔK = sY - δK</t>
  </si>
  <si>
    <t>ΔL/L = n</t>
  </si>
  <si>
    <t>ΔY/Y = ΔK/K = sY/K - δ = sA - δ</t>
  </si>
  <si>
    <t>y/y = ΔY/Y - ΔL/L = sA - δ - n</t>
  </si>
  <si>
    <r>
      <t>Y=K</t>
    </r>
    <r>
      <rPr>
        <vertAlign val="superscript"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 xml:space="preserve"> *(ZL)</t>
    </r>
    <r>
      <rPr>
        <vertAlign val="superscript"/>
        <sz val="11"/>
        <color theme="1"/>
        <rFont val="Calibri"/>
        <family val="2"/>
        <scheme val="minor"/>
      </rPr>
      <t>1-α</t>
    </r>
  </si>
  <si>
    <r>
      <t>Z = BK</t>
    </r>
    <r>
      <rPr>
        <vertAlign val="super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 xml:space="preserve"> </t>
    </r>
  </si>
  <si>
    <t>ΔK = sY</t>
  </si>
  <si>
    <t>n</t>
  </si>
  <si>
    <t xml:space="preserve">θ </t>
  </si>
  <si>
    <t>B</t>
  </si>
  <si>
    <t>Δy/y</t>
  </si>
  <si>
    <t>mpk??</t>
  </si>
  <si>
    <t>L</t>
  </si>
  <si>
    <t>Y</t>
  </si>
  <si>
    <t>K</t>
  </si>
  <si>
    <t>ΔK</t>
  </si>
  <si>
    <t>ΔK/K</t>
  </si>
  <si>
    <t>mpk?</t>
  </si>
  <si>
    <t xml:space="preserve">simpel </t>
  </si>
  <si>
    <t>θ  = 1 en n = 0 =&gt; Y= AK</t>
  </si>
  <si>
    <t>ΔK = sY       δ=0</t>
  </si>
  <si>
    <t>A</t>
  </si>
  <si>
    <t>δ</t>
  </si>
  <si>
    <t>ΔY/Y</t>
  </si>
  <si>
    <t>ΔY/Y 2</t>
  </si>
  <si>
    <t>Y2</t>
  </si>
  <si>
    <t>y2</t>
  </si>
  <si>
    <t>C</t>
  </si>
  <si>
    <t>I</t>
  </si>
  <si>
    <t>ρ</t>
  </si>
  <si>
    <t>k/y*</t>
  </si>
  <si>
    <t>n+g+d-mpk</t>
  </si>
  <si>
    <r>
      <t>y' = αk</t>
    </r>
    <r>
      <rPr>
        <vertAlign val="superscript"/>
        <sz val="11"/>
        <color theme="1"/>
        <rFont val="Calibri"/>
        <family val="2"/>
        <scheme val="minor"/>
      </rPr>
      <t>α-1</t>
    </r>
  </si>
  <si>
    <t>k/yGR</t>
  </si>
  <si>
    <t>sGR</t>
  </si>
  <si>
    <t>k/yG</t>
  </si>
  <si>
    <t>Y=A(1-α)L</t>
  </si>
  <si>
    <r>
      <t>ΔA = B(αL)</t>
    </r>
    <r>
      <rPr>
        <vertAlign val="superscript"/>
        <sz val="11"/>
        <color theme="1"/>
        <rFont val="Calibri"/>
        <family val="2"/>
      </rPr>
      <t xml:space="preserve">γ </t>
    </r>
    <r>
      <rPr>
        <sz val="11"/>
        <color theme="1"/>
        <rFont val="Calibri"/>
        <family val="2"/>
      </rPr>
      <t>A</t>
    </r>
    <r>
      <rPr>
        <vertAlign val="superscript"/>
        <sz val="11"/>
        <color theme="1"/>
        <rFont val="Times New Roman"/>
        <family val="1"/>
      </rPr>
      <t>θ</t>
    </r>
  </si>
  <si>
    <t>ΔY/Y = ΔA/A + ΔL/L</t>
  </si>
  <si>
    <t>Δy/y = ΔA/A - ΔL/L = ΔA/A</t>
  </si>
  <si>
    <r>
      <t>ΔA/A =(B(αL)</t>
    </r>
    <r>
      <rPr>
        <vertAlign val="superscript"/>
        <sz val="11"/>
        <color theme="1"/>
        <rFont val="Calibri"/>
        <family val="2"/>
        <scheme val="minor"/>
      </rPr>
      <t>γ</t>
    </r>
    <r>
      <rPr>
        <sz val="11"/>
        <color theme="1"/>
        <rFont val="Calibri"/>
        <family val="2"/>
        <scheme val="minor"/>
      </rPr>
      <t xml:space="preserve"> A</t>
    </r>
    <r>
      <rPr>
        <vertAlign val="super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)/A = B(αL)</t>
    </r>
    <r>
      <rPr>
        <vertAlign val="superscript"/>
        <sz val="11"/>
        <color theme="1"/>
        <rFont val="Calibri"/>
        <family val="2"/>
        <scheme val="minor"/>
      </rPr>
      <t>γ</t>
    </r>
    <r>
      <rPr>
        <sz val="11"/>
        <color theme="1"/>
        <rFont val="Calibri"/>
        <family val="2"/>
        <scheme val="minor"/>
      </rPr>
      <t xml:space="preserve"> A</t>
    </r>
    <r>
      <rPr>
        <vertAlign val="superscript"/>
        <sz val="11"/>
        <color theme="1"/>
        <rFont val="Calibri"/>
        <family val="2"/>
        <scheme val="minor"/>
      </rPr>
      <t>θ-1</t>
    </r>
  </si>
  <si>
    <t xml:space="preserve">θ  = 1 en n = 0 =&gt; </t>
  </si>
  <si>
    <t>ΔA</t>
  </si>
  <si>
    <t>γ</t>
  </si>
  <si>
    <t>θ</t>
  </si>
  <si>
    <t>ΔA/A</t>
  </si>
  <si>
    <t>Mate waarin  kennis groeit met aantal onderzoekers (1= proportioneel)</t>
  </si>
  <si>
    <t>Invloed van bestaande technologie op creatie van nieuwe tech (1 = proportioneel)</t>
  </si>
  <si>
    <t>shift-factor</t>
  </si>
  <si>
    <t>% medewerkers in R&amp;D (kan als spaarquote geïnterpreteerd worden)</t>
  </si>
  <si>
    <t>w</t>
  </si>
  <si>
    <r>
      <t>Y=AK</t>
    </r>
    <r>
      <rPr>
        <vertAlign val="superscript"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 xml:space="preserve"> * L</t>
    </r>
    <r>
      <rPr>
        <vertAlign val="superscript"/>
        <sz val="11"/>
        <color theme="1"/>
        <rFont val="Calibri"/>
        <family val="2"/>
        <scheme val="minor"/>
      </rPr>
      <t>1-α</t>
    </r>
  </si>
  <si>
    <r>
      <t>y = Ak</t>
    </r>
    <r>
      <rPr>
        <vertAlign val="superscript"/>
        <sz val="11"/>
        <color theme="1"/>
        <rFont val="Calibri"/>
        <family val="2"/>
        <scheme val="minor"/>
      </rPr>
      <t>α</t>
    </r>
  </si>
  <si>
    <t>FORMULES KLOPPEN NIET!!!!</t>
  </si>
  <si>
    <t>Heylen and Acemoglu</t>
  </si>
  <si>
    <t>g</t>
  </si>
  <si>
    <t>net interest rate</t>
  </si>
  <si>
    <t>c*</t>
  </si>
  <si>
    <t>i*</t>
  </si>
  <si>
    <t>apk</t>
  </si>
  <si>
    <t>effect of change in s on y*</t>
  </si>
  <si>
    <t>speed of convergence</t>
  </si>
  <si>
    <t>difference</t>
  </si>
  <si>
    <t>mpkG</t>
  </si>
  <si>
    <t>net mpk</t>
  </si>
  <si>
    <t>net mpk - growth</t>
  </si>
  <si>
    <t>mpk - δ+n+g</t>
  </si>
  <si>
    <t>afgeleide bevolkingsgroei en productiviteitsgroei</t>
  </si>
  <si>
    <t>netto-mpk</t>
  </si>
  <si>
    <t>Mankiw en Heylen handboeken, paper mankiw (2022)</t>
  </si>
  <si>
    <t>Mankiw, Heylen en Romer</t>
  </si>
  <si>
    <t>λ</t>
  </si>
  <si>
    <t>q</t>
  </si>
  <si>
    <t>m</t>
  </si>
  <si>
    <t>K/Y</t>
  </si>
  <si>
    <t>f'</t>
  </si>
  <si>
    <t>μ</t>
  </si>
  <si>
    <t>r</t>
  </si>
  <si>
    <t>Π</t>
  </si>
  <si>
    <t>NX/L</t>
  </si>
  <si>
    <t>pure profits of firms' gross revenu</t>
  </si>
  <si>
    <t>afgeleide spaarquote</t>
  </si>
  <si>
    <t>A decline in the growth rate of one percentage point reduces the real interest rate</t>
  </si>
  <si>
    <t>basis points</t>
  </si>
  <si>
    <t>Each additional percentage point in the saving rate reduces the steady-state real interest rate by</t>
  </si>
  <si>
    <t>Formulas</t>
  </si>
  <si>
    <t>n+g</t>
  </si>
  <si>
    <t>TE BEKIJKEN LEES ROMER</t>
  </si>
  <si>
    <t>Legend</t>
  </si>
  <si>
    <t>Depreciation rate of the capital stock</t>
  </si>
  <si>
    <t>Labor-augmenting technological progress</t>
  </si>
  <si>
    <t>Growth rate of the population</t>
  </si>
  <si>
    <t>Growth rate of the economy</t>
  </si>
  <si>
    <t>Saving rate</t>
  </si>
  <si>
    <t>Capital share of income</t>
  </si>
  <si>
    <t>Parameters</t>
  </si>
  <si>
    <t>Steady state equations</t>
  </si>
  <si>
    <t>steady-state level of capital-output ratio</t>
  </si>
  <si>
    <t>Marginal product of capital</t>
  </si>
  <si>
    <t>Average product of capital</t>
  </si>
  <si>
    <t>Golden rule equations</t>
  </si>
  <si>
    <t>Saving rate in the golden rule</t>
  </si>
  <si>
    <t>steady-state level of capital per worker</t>
  </si>
  <si>
    <t>steady-state level of output per worker</t>
  </si>
  <si>
    <t>net mpk - (n + g)</t>
  </si>
  <si>
    <t>APPROXIMATE</t>
  </si>
  <si>
    <t>Solow Model - plug and play</t>
  </si>
  <si>
    <t>Steady state</t>
  </si>
  <si>
    <t>Golden Rule steady state</t>
  </si>
  <si>
    <t>Golden rule level of capital per worker</t>
  </si>
  <si>
    <t>Golden rule level of output per worker</t>
  </si>
  <si>
    <t>Golden rule level of the capital-output ratio</t>
  </si>
  <si>
    <t>Golden rule level of the marginal product of capital</t>
  </si>
  <si>
    <r>
      <t>k*</t>
    </r>
    <r>
      <rPr>
        <i/>
        <vertAlign val="subscript"/>
        <sz val="11"/>
        <color theme="1"/>
        <rFont val="Calibri"/>
        <family val="2"/>
        <scheme val="minor"/>
      </rPr>
      <t>G</t>
    </r>
  </si>
  <si>
    <r>
      <t>s*</t>
    </r>
    <r>
      <rPr>
        <i/>
        <vertAlign val="subscript"/>
        <sz val="11"/>
        <color theme="1"/>
        <rFont val="Calibri"/>
        <family val="2"/>
        <scheme val="minor"/>
      </rPr>
      <t>G</t>
    </r>
  </si>
  <si>
    <r>
      <t>y*</t>
    </r>
    <r>
      <rPr>
        <i/>
        <vertAlign val="subscript"/>
        <sz val="11"/>
        <color theme="1"/>
        <rFont val="Calibri"/>
        <family val="2"/>
        <scheme val="minor"/>
      </rPr>
      <t>G</t>
    </r>
  </si>
  <si>
    <r>
      <t>k/y*</t>
    </r>
    <r>
      <rPr>
        <i/>
        <vertAlign val="subscript"/>
        <sz val="11"/>
        <color theme="1"/>
        <rFont val="Calibri"/>
        <family val="2"/>
        <scheme val="minor"/>
      </rPr>
      <t>G</t>
    </r>
  </si>
  <si>
    <r>
      <t>mpk</t>
    </r>
    <r>
      <rPr>
        <vertAlign val="subscript"/>
        <sz val="11"/>
        <color theme="1"/>
        <rFont val="Calibri"/>
        <family val="2"/>
        <scheme val="minor"/>
      </rPr>
      <t>G</t>
    </r>
  </si>
  <si>
    <t>c*G</t>
  </si>
  <si>
    <t>i*G</t>
  </si>
  <si>
    <t>Assume 2 economies which are similar except for the rate of saving?</t>
  </si>
  <si>
    <r>
      <rPr>
        <b/>
        <sz val="14"/>
        <color rgb="FFFF0000"/>
        <rFont val="Calibri"/>
        <family val="2"/>
        <scheme val="minor"/>
      </rPr>
      <t>Conditional (?)</t>
    </r>
    <r>
      <rPr>
        <b/>
        <sz val="14"/>
        <color theme="1"/>
        <rFont val="Calibri"/>
        <family val="2"/>
        <scheme val="minor"/>
      </rPr>
      <t xml:space="preserve"> convergence - plug and play (Romer, 2012)</t>
    </r>
  </si>
  <si>
    <t>Adjust parameters</t>
  </si>
  <si>
    <t>Difference in the level of consumption between the steady state and the golden rule steady state</t>
  </si>
  <si>
    <t>Half way after how many years</t>
  </si>
  <si>
    <r>
      <t xml:space="preserve">New </t>
    </r>
    <r>
      <rPr>
        <i/>
        <sz val="11"/>
        <color theme="1"/>
        <rFont val="Calibri"/>
        <family val="2"/>
        <scheme val="minor"/>
      </rPr>
      <t>s</t>
    </r>
  </si>
  <si>
    <r>
      <t xml:space="preserve">Change in 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after 1 year</t>
    </r>
  </si>
  <si>
    <r>
      <t xml:space="preserve">Final change in </t>
    </r>
    <r>
      <rPr>
        <i/>
        <sz val="11"/>
        <color theme="1"/>
        <rFont val="Calibri"/>
        <family val="2"/>
        <scheme val="minor"/>
      </rPr>
      <t>y*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</si>
</sst>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3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Times New Roman"/>
      <family val="1"/>
    </font>
    <font>
      <b/>
      <sz val="16"/>
      <color rgb="FFFF0000"/>
      <name val="Calibri"/>
      <family val="2"/>
      <scheme val="minor"/>
    </font>
    <font>
      <i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11" fillId="0" borderId="0" xfId="0" applyFont="1"/>
    <xf numFmtId="164" fontId="0" fillId="0" borderId="1" xfId="0" applyNumberFormat="1" applyBorder="1"/>
    <xf numFmtId="0" fontId="0" fillId="0" borderId="2" xfId="0" applyBorder="1"/>
    <xf numFmtId="2" fontId="0" fillId="0" borderId="0" xfId="0" applyNumberFormat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6" fillId="0" borderId="0" xfId="0" applyFont="1"/>
    <xf numFmtId="0" fontId="0" fillId="3" borderId="3" xfId="0" applyFill="1" applyBorder="1"/>
    <xf numFmtId="0" fontId="2" fillId="0" borderId="0" xfId="0" applyFont="1" applyAlignment="1">
      <alignment horizontal="center"/>
    </xf>
    <xf numFmtId="0" fontId="0" fillId="4" borderId="0" xfId="0" applyFill="1"/>
    <xf numFmtId="164" fontId="0" fillId="4" borderId="0" xfId="0" applyNumberFormat="1" applyFill="1"/>
    <xf numFmtId="10" fontId="0" fillId="4" borderId="0" xfId="0" applyNumberFormat="1" applyFill="1"/>
    <xf numFmtId="0" fontId="13" fillId="0" borderId="0" xfId="0" applyFont="1" applyFill="1" applyBorder="1"/>
    <xf numFmtId="0" fontId="0" fillId="4" borderId="3" xfId="0" applyFill="1" applyBorder="1"/>
    <xf numFmtId="164" fontId="0" fillId="4" borderId="3" xfId="0" applyNumberFormat="1" applyFill="1" applyBorder="1"/>
    <xf numFmtId="0" fontId="0" fillId="0" borderId="3" xfId="0" applyFill="1" applyBorder="1"/>
    <xf numFmtId="10" fontId="0" fillId="4" borderId="3" xfId="0" applyNumberFormat="1" applyFill="1" applyBorder="1"/>
    <xf numFmtId="1" fontId="13" fillId="4" borderId="3" xfId="0" applyNumberFormat="1" applyFont="1" applyFill="1" applyBorder="1"/>
    <xf numFmtId="0" fontId="13" fillId="0" borderId="3" xfId="0" applyFont="1" applyFill="1" applyBorder="1"/>
    <xf numFmtId="0" fontId="13" fillId="4" borderId="3" xfId="0" applyFont="1" applyFill="1" applyBorder="1"/>
    <xf numFmtId="0" fontId="0" fillId="0" borderId="4" xfId="0" applyFill="1" applyBorder="1"/>
    <xf numFmtId="0" fontId="0" fillId="0" borderId="4" xfId="0" applyBorder="1"/>
    <xf numFmtId="0" fontId="1" fillId="5" borderId="0" xfId="0" applyFont="1" applyFill="1"/>
    <xf numFmtId="0" fontId="0" fillId="5" borderId="3" xfId="0" applyFill="1" applyBorder="1"/>
    <xf numFmtId="0" fontId="1" fillId="5" borderId="3" xfId="0" applyFont="1" applyFill="1" applyBorder="1"/>
    <xf numFmtId="0" fontId="1" fillId="5" borderId="0" xfId="0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6" borderId="3" xfId="0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endogeen!$E$17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endogeen!$B$18:$B$37</c:f>
              <c:numCache>
                <c:formatCode>0.000</c:formatCode>
                <c:ptCount val="20"/>
                <c:pt idx="0">
                  <c:v>1</c:v>
                </c:pt>
                <c:pt idx="1">
                  <c:v>1.3</c:v>
                </c:pt>
                <c:pt idx="2">
                  <c:v>1.69</c:v>
                </c:pt>
                <c:pt idx="3">
                  <c:v>2.1970000000000001</c:v>
                </c:pt>
                <c:pt idx="4">
                  <c:v>2.8561000000000001</c:v>
                </c:pt>
                <c:pt idx="5">
                  <c:v>3.7129300000000001</c:v>
                </c:pt>
                <c:pt idx="6">
                  <c:v>4.8268089999999999</c:v>
                </c:pt>
                <c:pt idx="7">
                  <c:v>6.2748517000000001</c:v>
                </c:pt>
                <c:pt idx="8">
                  <c:v>8.1573072100000008</c:v>
                </c:pt>
                <c:pt idx="9">
                  <c:v>10.604499373000001</c:v>
                </c:pt>
                <c:pt idx="10">
                  <c:v>13.785849184900002</c:v>
                </c:pt>
                <c:pt idx="11">
                  <c:v>17.921603940370002</c:v>
                </c:pt>
                <c:pt idx="12">
                  <c:v>23.298085122481002</c:v>
                </c:pt>
                <c:pt idx="13">
                  <c:v>30.287510659225301</c:v>
                </c:pt>
                <c:pt idx="14">
                  <c:v>39.373763856992895</c:v>
                </c:pt>
                <c:pt idx="15">
                  <c:v>51.185893014090766</c:v>
                </c:pt>
                <c:pt idx="16">
                  <c:v>66.541660918318001</c:v>
                </c:pt>
                <c:pt idx="17">
                  <c:v>86.504159193813393</c:v>
                </c:pt>
                <c:pt idx="18">
                  <c:v>112.45540695195741</c:v>
                </c:pt>
                <c:pt idx="19">
                  <c:v>146.19202903754464</c:v>
                </c:pt>
              </c:numCache>
            </c:numRef>
          </c:xVal>
          <c:yVal>
            <c:numRef>
              <c:f>endogeen!$E$18:$E$37</c:f>
              <c:numCache>
                <c:formatCode>0.000</c:formatCode>
                <c:ptCount val="20"/>
                <c:pt idx="0">
                  <c:v>1</c:v>
                </c:pt>
                <c:pt idx="1">
                  <c:v>1.3</c:v>
                </c:pt>
                <c:pt idx="2">
                  <c:v>1.69</c:v>
                </c:pt>
                <c:pt idx="3">
                  <c:v>2.1970000000000001</c:v>
                </c:pt>
                <c:pt idx="4">
                  <c:v>2.8561000000000001</c:v>
                </c:pt>
                <c:pt idx="5">
                  <c:v>3.7129300000000001</c:v>
                </c:pt>
                <c:pt idx="6">
                  <c:v>4.8268089999999999</c:v>
                </c:pt>
                <c:pt idx="7">
                  <c:v>6.2748517000000001</c:v>
                </c:pt>
                <c:pt idx="8">
                  <c:v>8.1573072100000008</c:v>
                </c:pt>
                <c:pt idx="9">
                  <c:v>10.604499373000001</c:v>
                </c:pt>
                <c:pt idx="10">
                  <c:v>13.785849184900002</c:v>
                </c:pt>
                <c:pt idx="11">
                  <c:v>17.921603940370002</c:v>
                </c:pt>
                <c:pt idx="12">
                  <c:v>23.298085122481002</c:v>
                </c:pt>
                <c:pt idx="13">
                  <c:v>30.287510659225301</c:v>
                </c:pt>
                <c:pt idx="14">
                  <c:v>39.373763856992895</c:v>
                </c:pt>
                <c:pt idx="15">
                  <c:v>51.185893014090766</c:v>
                </c:pt>
                <c:pt idx="16">
                  <c:v>66.541660918318001</c:v>
                </c:pt>
                <c:pt idx="17">
                  <c:v>86.504159193813393</c:v>
                </c:pt>
                <c:pt idx="18">
                  <c:v>112.45540695195741</c:v>
                </c:pt>
                <c:pt idx="19">
                  <c:v>146.19202903754464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7-6C42-9439-19F8AFE3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9360"/>
        <c:axId val="115840896"/>
      </c:scatterChart>
      <c:valAx>
        <c:axId val="11583936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15840896"/>
        <c:crosses val="autoZero"/>
        <c:crossBetween val="midCat"/>
      </c:valAx>
      <c:valAx>
        <c:axId val="1158408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583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endogeen!$G$17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endogeen!$D$18:$D$37</c:f>
              <c:numCache>
                <c:formatCode>0.000</c:formatCode>
                <c:ptCount val="20"/>
                <c:pt idx="0">
                  <c:v>0.1</c:v>
                </c:pt>
                <c:pt idx="1">
                  <c:v>0.13</c:v>
                </c:pt>
                <c:pt idx="2">
                  <c:v>0.16899999999999998</c:v>
                </c:pt>
                <c:pt idx="3">
                  <c:v>0.21970000000000001</c:v>
                </c:pt>
                <c:pt idx="4">
                  <c:v>0.28561000000000003</c:v>
                </c:pt>
                <c:pt idx="5">
                  <c:v>0.37129299999999998</c:v>
                </c:pt>
                <c:pt idx="6">
                  <c:v>0.48268089999999997</c:v>
                </c:pt>
                <c:pt idx="7">
                  <c:v>0.62748517000000004</c:v>
                </c:pt>
                <c:pt idx="8">
                  <c:v>0.8157307210000001</c:v>
                </c:pt>
                <c:pt idx="9">
                  <c:v>1.0604499373</c:v>
                </c:pt>
                <c:pt idx="10">
                  <c:v>1.3785849184900001</c:v>
                </c:pt>
                <c:pt idx="11">
                  <c:v>1.7921603940370001</c:v>
                </c:pt>
                <c:pt idx="12">
                  <c:v>2.3298085122481003</c:v>
                </c:pt>
                <c:pt idx="13">
                  <c:v>3.0287510659225303</c:v>
                </c:pt>
                <c:pt idx="14">
                  <c:v>3.9373763856992894</c:v>
                </c:pt>
                <c:pt idx="15">
                  <c:v>5.1185893014090764</c:v>
                </c:pt>
                <c:pt idx="16">
                  <c:v>6.6541660918318</c:v>
                </c:pt>
                <c:pt idx="17">
                  <c:v>8.6504159193813397</c:v>
                </c:pt>
                <c:pt idx="18">
                  <c:v>11.245540695195741</c:v>
                </c:pt>
                <c:pt idx="19">
                  <c:v>14.619202903754465</c:v>
                </c:pt>
              </c:numCache>
            </c:numRef>
          </c:xVal>
          <c:yVal>
            <c:numRef>
              <c:f>endogeen!$G$18:$G$37</c:f>
              <c:numCache>
                <c:formatCode>0.000</c:formatCode>
                <c:ptCount val="20"/>
                <c:pt idx="0">
                  <c:v>0.1</c:v>
                </c:pt>
                <c:pt idx="1">
                  <c:v>0.13</c:v>
                </c:pt>
                <c:pt idx="2">
                  <c:v>0.16899999999999998</c:v>
                </c:pt>
                <c:pt idx="3">
                  <c:v>0.21970000000000001</c:v>
                </c:pt>
                <c:pt idx="4">
                  <c:v>0.28561000000000003</c:v>
                </c:pt>
                <c:pt idx="5">
                  <c:v>0.37129299999999998</c:v>
                </c:pt>
                <c:pt idx="6">
                  <c:v>0.48268089999999997</c:v>
                </c:pt>
                <c:pt idx="7">
                  <c:v>0.62748517000000004</c:v>
                </c:pt>
                <c:pt idx="8">
                  <c:v>0.8157307210000001</c:v>
                </c:pt>
                <c:pt idx="9">
                  <c:v>1.0604499373</c:v>
                </c:pt>
                <c:pt idx="10">
                  <c:v>1.3785849184900001</c:v>
                </c:pt>
                <c:pt idx="11">
                  <c:v>1.7921603940370001</c:v>
                </c:pt>
                <c:pt idx="12">
                  <c:v>2.3298085122481003</c:v>
                </c:pt>
                <c:pt idx="13">
                  <c:v>3.0287510659225303</c:v>
                </c:pt>
                <c:pt idx="14">
                  <c:v>3.9373763856992894</c:v>
                </c:pt>
                <c:pt idx="15">
                  <c:v>5.1185893014090764</c:v>
                </c:pt>
                <c:pt idx="16">
                  <c:v>6.6541660918318</c:v>
                </c:pt>
                <c:pt idx="17">
                  <c:v>8.6504159193813397</c:v>
                </c:pt>
                <c:pt idx="18">
                  <c:v>11.245540695195741</c:v>
                </c:pt>
                <c:pt idx="19">
                  <c:v>14.619202903754465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9-F24C-8753-BB49E3FFE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2096"/>
        <c:axId val="116142080"/>
      </c:scatterChart>
      <c:valAx>
        <c:axId val="11613209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16142080"/>
        <c:crosses val="autoZero"/>
        <c:crossBetween val="midCat"/>
      </c:valAx>
      <c:valAx>
        <c:axId val="1161420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6132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endogeen!$G$17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endogeen!$D$18:$D$37</c:f>
              <c:numCache>
                <c:formatCode>0.000</c:formatCode>
                <c:ptCount val="20"/>
                <c:pt idx="0">
                  <c:v>0.1</c:v>
                </c:pt>
                <c:pt idx="1">
                  <c:v>0.13</c:v>
                </c:pt>
                <c:pt idx="2">
                  <c:v>0.16899999999999998</c:v>
                </c:pt>
                <c:pt idx="3">
                  <c:v>0.21970000000000001</c:v>
                </c:pt>
                <c:pt idx="4">
                  <c:v>0.28561000000000003</c:v>
                </c:pt>
                <c:pt idx="5">
                  <c:v>0.37129299999999998</c:v>
                </c:pt>
                <c:pt idx="6">
                  <c:v>0.48268089999999997</c:v>
                </c:pt>
                <c:pt idx="7">
                  <c:v>0.62748517000000004</c:v>
                </c:pt>
                <c:pt idx="8">
                  <c:v>0.8157307210000001</c:v>
                </c:pt>
                <c:pt idx="9">
                  <c:v>1.0604499373</c:v>
                </c:pt>
                <c:pt idx="10">
                  <c:v>1.3785849184900001</c:v>
                </c:pt>
                <c:pt idx="11">
                  <c:v>1.7921603940370001</c:v>
                </c:pt>
                <c:pt idx="12">
                  <c:v>2.3298085122481003</c:v>
                </c:pt>
                <c:pt idx="13">
                  <c:v>3.0287510659225303</c:v>
                </c:pt>
                <c:pt idx="14">
                  <c:v>3.9373763856992894</c:v>
                </c:pt>
                <c:pt idx="15">
                  <c:v>5.1185893014090764</c:v>
                </c:pt>
                <c:pt idx="16">
                  <c:v>6.6541660918318</c:v>
                </c:pt>
                <c:pt idx="17">
                  <c:v>8.6504159193813397</c:v>
                </c:pt>
                <c:pt idx="18">
                  <c:v>11.245540695195741</c:v>
                </c:pt>
                <c:pt idx="19">
                  <c:v>14.619202903754465</c:v>
                </c:pt>
              </c:numCache>
            </c:numRef>
          </c:xVal>
          <c:yVal>
            <c:numRef>
              <c:f>endogeen!$G$18:$G$37</c:f>
              <c:numCache>
                <c:formatCode>0.000</c:formatCode>
                <c:ptCount val="20"/>
                <c:pt idx="0">
                  <c:v>0.1</c:v>
                </c:pt>
                <c:pt idx="1">
                  <c:v>0.13</c:v>
                </c:pt>
                <c:pt idx="2">
                  <c:v>0.16899999999999998</c:v>
                </c:pt>
                <c:pt idx="3">
                  <c:v>0.21970000000000001</c:v>
                </c:pt>
                <c:pt idx="4">
                  <c:v>0.28561000000000003</c:v>
                </c:pt>
                <c:pt idx="5">
                  <c:v>0.37129299999999998</c:v>
                </c:pt>
                <c:pt idx="6">
                  <c:v>0.48268089999999997</c:v>
                </c:pt>
                <c:pt idx="7">
                  <c:v>0.62748517000000004</c:v>
                </c:pt>
                <c:pt idx="8">
                  <c:v>0.8157307210000001</c:v>
                </c:pt>
                <c:pt idx="9">
                  <c:v>1.0604499373</c:v>
                </c:pt>
                <c:pt idx="10">
                  <c:v>1.3785849184900001</c:v>
                </c:pt>
                <c:pt idx="11">
                  <c:v>1.7921603940370001</c:v>
                </c:pt>
                <c:pt idx="12">
                  <c:v>2.3298085122481003</c:v>
                </c:pt>
                <c:pt idx="13">
                  <c:v>3.0287510659225303</c:v>
                </c:pt>
                <c:pt idx="14">
                  <c:v>3.9373763856992894</c:v>
                </c:pt>
                <c:pt idx="15">
                  <c:v>5.1185893014090764</c:v>
                </c:pt>
                <c:pt idx="16">
                  <c:v>6.6541660918318</c:v>
                </c:pt>
                <c:pt idx="17">
                  <c:v>8.6504159193813397</c:v>
                </c:pt>
                <c:pt idx="18">
                  <c:v>11.245540695195741</c:v>
                </c:pt>
                <c:pt idx="19">
                  <c:v>14.619202903754465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F6-4241-BF48-61F3ADBD7321}"/>
            </c:ext>
          </c:extLst>
        </c:ser>
        <c:ser>
          <c:idx val="3"/>
          <c:order val="1"/>
          <c:tx>
            <c:strRef>
              <c:f>endogeen!$H$17</c:f>
              <c:strCache>
                <c:ptCount val="1"/>
                <c:pt idx="0">
                  <c:v>y2</c:v>
                </c:pt>
              </c:strCache>
            </c:strRef>
          </c:tx>
          <c:marker>
            <c:symbol val="none"/>
          </c:marker>
          <c:xVal>
            <c:numRef>
              <c:f>endogeen!$D$18:$D$37</c:f>
              <c:numCache>
                <c:formatCode>0.000</c:formatCode>
                <c:ptCount val="20"/>
                <c:pt idx="0">
                  <c:v>0.1</c:v>
                </c:pt>
                <c:pt idx="1">
                  <c:v>0.13</c:v>
                </c:pt>
                <c:pt idx="2">
                  <c:v>0.16899999999999998</c:v>
                </c:pt>
                <c:pt idx="3">
                  <c:v>0.21970000000000001</c:v>
                </c:pt>
                <c:pt idx="4">
                  <c:v>0.28561000000000003</c:v>
                </c:pt>
                <c:pt idx="5">
                  <c:v>0.37129299999999998</c:v>
                </c:pt>
                <c:pt idx="6">
                  <c:v>0.48268089999999997</c:v>
                </c:pt>
                <c:pt idx="7">
                  <c:v>0.62748517000000004</c:v>
                </c:pt>
                <c:pt idx="8">
                  <c:v>0.8157307210000001</c:v>
                </c:pt>
                <c:pt idx="9">
                  <c:v>1.0604499373</c:v>
                </c:pt>
                <c:pt idx="10">
                  <c:v>1.3785849184900001</c:v>
                </c:pt>
                <c:pt idx="11">
                  <c:v>1.7921603940370001</c:v>
                </c:pt>
                <c:pt idx="12">
                  <c:v>2.3298085122481003</c:v>
                </c:pt>
                <c:pt idx="13">
                  <c:v>3.0287510659225303</c:v>
                </c:pt>
                <c:pt idx="14">
                  <c:v>3.9373763856992894</c:v>
                </c:pt>
                <c:pt idx="15">
                  <c:v>5.1185893014090764</c:v>
                </c:pt>
                <c:pt idx="16">
                  <c:v>6.6541660918318</c:v>
                </c:pt>
                <c:pt idx="17">
                  <c:v>8.6504159193813397</c:v>
                </c:pt>
                <c:pt idx="18">
                  <c:v>11.245540695195741</c:v>
                </c:pt>
                <c:pt idx="19">
                  <c:v>14.619202903754465</c:v>
                </c:pt>
              </c:numCache>
            </c:numRef>
          </c:xVal>
          <c:yVal>
            <c:numRef>
              <c:f>endogeen!$H$18:$H$37</c:f>
              <c:numCache>
                <c:formatCode>0.000</c:formatCode>
                <c:ptCount val="20"/>
                <c:pt idx="0">
                  <c:v>0.1</c:v>
                </c:pt>
                <c:pt idx="1">
                  <c:v>0.13</c:v>
                </c:pt>
                <c:pt idx="2">
                  <c:v>0.16900000000000001</c:v>
                </c:pt>
                <c:pt idx="3">
                  <c:v>0.21970000000000003</c:v>
                </c:pt>
                <c:pt idx="4">
                  <c:v>0.28561000000000003</c:v>
                </c:pt>
                <c:pt idx="5">
                  <c:v>0.37129300000000004</c:v>
                </c:pt>
                <c:pt idx="6">
                  <c:v>0.48268090000000008</c:v>
                </c:pt>
                <c:pt idx="7">
                  <c:v>0.62748517000000015</c:v>
                </c:pt>
                <c:pt idx="8">
                  <c:v>0.81573072100000021</c:v>
                </c:pt>
                <c:pt idx="9">
                  <c:v>1.0604499373000003</c:v>
                </c:pt>
                <c:pt idx="10">
                  <c:v>1.3785849184900003</c:v>
                </c:pt>
                <c:pt idx="11">
                  <c:v>1.7921603940370006</c:v>
                </c:pt>
                <c:pt idx="12">
                  <c:v>2.3298085122481007</c:v>
                </c:pt>
                <c:pt idx="13">
                  <c:v>3.0287510659225312</c:v>
                </c:pt>
                <c:pt idx="14">
                  <c:v>3.9373763856992907</c:v>
                </c:pt>
                <c:pt idx="15">
                  <c:v>5.1185893014090782</c:v>
                </c:pt>
                <c:pt idx="16">
                  <c:v>6.6541660918318017</c:v>
                </c:pt>
                <c:pt idx="17">
                  <c:v>8.6504159193813432</c:v>
                </c:pt>
                <c:pt idx="18">
                  <c:v>11.245540695195746</c:v>
                </c:pt>
                <c:pt idx="19">
                  <c:v>14.61920290375447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F6-4241-BF48-61F3ADBD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2672"/>
        <c:axId val="116174208"/>
      </c:scatterChart>
      <c:valAx>
        <c:axId val="11617267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16174208"/>
        <c:crosses val="autoZero"/>
        <c:crossBetween val="midCat"/>
      </c:valAx>
      <c:valAx>
        <c:axId val="1161742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6172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F(K,L)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'Blijvende kapitaalopbouw'!$E$22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'Blijvende kapitaalopbouw'!$D$23:$D$42</c:f>
              <c:numCache>
                <c:formatCode>0.000</c:formatCode>
                <c:ptCount val="20"/>
                <c:pt idx="0">
                  <c:v>0.1</c:v>
                </c:pt>
                <c:pt idx="1">
                  <c:v>0.19486832980505137</c:v>
                </c:pt>
                <c:pt idx="2">
                  <c:v>0.37973665961010272</c:v>
                </c:pt>
                <c:pt idx="3">
                  <c:v>0.73998648623970031</c:v>
                </c:pt>
                <c:pt idx="4">
                  <c:v>1.4419993065183905</c:v>
                </c:pt>
                <c:pt idx="5">
                  <c:v>2.8099999644128109</c:v>
                </c:pt>
                <c:pt idx="6">
                  <c:v>5.4757999981737822</c:v>
                </c:pt>
                <c:pt idx="7">
                  <c:v>10.670599999906283</c:v>
                </c:pt>
                <c:pt idx="8">
                  <c:v>20.79361999999519</c:v>
                </c:pt>
                <c:pt idx="9">
                  <c:v>40.520179999999748</c:v>
                </c:pt>
                <c:pt idx="10">
                  <c:v>78.960997999999975</c:v>
                </c:pt>
                <c:pt idx="11">
                  <c:v>153.86997799999997</c:v>
                </c:pt>
                <c:pt idx="12">
                  <c:v>299.84385619999995</c:v>
                </c:pt>
                <c:pt idx="13">
                  <c:v>584.30071459999976</c:v>
                </c:pt>
                <c:pt idx="14">
                  <c:v>1138.6170435799995</c:v>
                </c:pt>
                <c:pt idx="15">
                  <c:v>2218.8040156999987</c:v>
                </c:pt>
                <c:pt idx="16">
                  <c:v>4323.7463270419976</c:v>
                </c:pt>
                <c:pt idx="17">
                  <c:v>8425.6122525139945</c:v>
                </c:pt>
                <c:pt idx="18">
                  <c:v>16418.84987232379</c:v>
                </c:pt>
                <c:pt idx="19">
                  <c:v>31995.13851939618</c:v>
                </c:pt>
              </c:numCache>
            </c:numRef>
          </c:xVal>
          <c:yVal>
            <c:numRef>
              <c:f>'Blijvende kapitaalopbouw'!$E$23:$E$42</c:f>
              <c:numCache>
                <c:formatCode>0.000</c:formatCode>
                <c:ptCount val="20"/>
                <c:pt idx="0">
                  <c:v>0.316227766016838</c:v>
                </c:pt>
                <c:pt idx="1">
                  <c:v>0.61622776601683793</c:v>
                </c:pt>
                <c:pt idx="2">
                  <c:v>1.200832755431992</c:v>
                </c:pt>
                <c:pt idx="3">
                  <c:v>2.3400427342623003</c:v>
                </c:pt>
                <c:pt idx="4">
                  <c:v>4.5600021929814014</c:v>
                </c:pt>
                <c:pt idx="5">
                  <c:v>8.8860001125365731</c:v>
                </c:pt>
                <c:pt idx="6">
                  <c:v>17.316000005775006</c:v>
                </c:pt>
                <c:pt idx="7">
                  <c:v>33.743400000296354</c:v>
                </c:pt>
                <c:pt idx="8">
                  <c:v>65.755200000015208</c:v>
                </c:pt>
                <c:pt idx="9">
                  <c:v>128.13606000000078</c:v>
                </c:pt>
                <c:pt idx="10">
                  <c:v>249.69660000000002</c:v>
                </c:pt>
                <c:pt idx="11">
                  <c:v>486.57959399999993</c:v>
                </c:pt>
                <c:pt idx="12">
                  <c:v>948.18952799999988</c:v>
                </c:pt>
                <c:pt idx="13">
                  <c:v>1847.7210965999993</c:v>
                </c:pt>
                <c:pt idx="14">
                  <c:v>3600.6232403999988</c:v>
                </c:pt>
                <c:pt idx="15">
                  <c:v>7016.474371139996</c:v>
                </c:pt>
                <c:pt idx="16">
                  <c:v>13672.886418239994</c:v>
                </c:pt>
                <c:pt idx="17">
                  <c:v>26644.125399365985</c:v>
                </c:pt>
                <c:pt idx="18">
                  <c:v>51920.962156907968</c:v>
                </c:pt>
                <c:pt idx="19">
                  <c:v>101177.51177387935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7-8C4C-A4CD-F8C66F242036}"/>
            </c:ext>
          </c:extLst>
        </c:ser>
        <c:ser>
          <c:idx val="4"/>
          <c:order val="1"/>
          <c:tx>
            <c:strRef>
              <c:f>'Blijvende kapitaalopbouw'!$K$22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xVal>
            <c:numRef>
              <c:f>'Blijvende kapitaalopbouw'!$D$23:$D$33</c:f>
              <c:numCache>
                <c:formatCode>0.000</c:formatCode>
                <c:ptCount val="11"/>
                <c:pt idx="0">
                  <c:v>0.1</c:v>
                </c:pt>
                <c:pt idx="1">
                  <c:v>0.19486832980505137</c:v>
                </c:pt>
                <c:pt idx="2">
                  <c:v>0.37973665961010272</c:v>
                </c:pt>
                <c:pt idx="3">
                  <c:v>0.73998648623970031</c:v>
                </c:pt>
                <c:pt idx="4">
                  <c:v>1.4419993065183905</c:v>
                </c:pt>
                <c:pt idx="5">
                  <c:v>2.8099999644128109</c:v>
                </c:pt>
                <c:pt idx="6">
                  <c:v>5.4757999981737822</c:v>
                </c:pt>
                <c:pt idx="7">
                  <c:v>10.670599999906283</c:v>
                </c:pt>
                <c:pt idx="8">
                  <c:v>20.79361999999519</c:v>
                </c:pt>
                <c:pt idx="9">
                  <c:v>40.520179999999748</c:v>
                </c:pt>
                <c:pt idx="10">
                  <c:v>78.960997999999975</c:v>
                </c:pt>
              </c:numCache>
            </c:numRef>
          </c:xVal>
          <c:yVal>
            <c:numRef>
              <c:f>'Blijvende kapitaalopbouw'!$K$23:$K$42</c:f>
              <c:numCache>
                <c:formatCode>0.000</c:formatCode>
                <c:ptCount val="20"/>
                <c:pt idx="0">
                  <c:v>9.4868329805051402E-2</c:v>
                </c:pt>
                <c:pt idx="1">
                  <c:v>0.18486832980505138</c:v>
                </c:pt>
                <c:pt idx="2">
                  <c:v>0.36024982662959759</c:v>
                </c:pt>
                <c:pt idx="3">
                  <c:v>0.70201282027869005</c:v>
                </c:pt>
                <c:pt idx="4">
                  <c:v>1.3680006578944204</c:v>
                </c:pt>
                <c:pt idx="5">
                  <c:v>2.6658000337609717</c:v>
                </c:pt>
                <c:pt idx="6">
                  <c:v>5.194800001732502</c:v>
                </c:pt>
                <c:pt idx="7">
                  <c:v>10.123020000088905</c:v>
                </c:pt>
                <c:pt idx="8">
                  <c:v>19.726560000004561</c:v>
                </c:pt>
                <c:pt idx="9">
                  <c:v>38.440818000000235</c:v>
                </c:pt>
                <c:pt idx="10">
                  <c:v>74.90898</c:v>
                </c:pt>
                <c:pt idx="11">
                  <c:v>145.97387819999997</c:v>
                </c:pt>
                <c:pt idx="12">
                  <c:v>284.45685839999993</c:v>
                </c:pt>
                <c:pt idx="13">
                  <c:v>554.31632897999975</c:v>
                </c:pt>
                <c:pt idx="14">
                  <c:v>1080.1869721199996</c:v>
                </c:pt>
                <c:pt idx="15">
                  <c:v>2104.9423113419989</c:v>
                </c:pt>
                <c:pt idx="16">
                  <c:v>4101.8659254719978</c:v>
                </c:pt>
                <c:pt idx="17">
                  <c:v>7993.2376198097954</c:v>
                </c:pt>
                <c:pt idx="18">
                  <c:v>15576.28864707239</c:v>
                </c:pt>
                <c:pt idx="19">
                  <c:v>30353.253532163802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27-8C4C-A4CD-F8C66F2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39840"/>
        <c:axId val="116341376"/>
      </c:scatterChart>
      <c:valAx>
        <c:axId val="11633984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16341376"/>
        <c:crosses val="autoZero"/>
        <c:crossBetween val="midCat"/>
      </c:valAx>
      <c:valAx>
        <c:axId val="1163413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6339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f(k)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'Blijvende kapitaalopbouw'!$F$22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'Blijvende kapitaalopbouw'!$D$23:$D$42</c:f>
              <c:numCache>
                <c:formatCode>0.000</c:formatCode>
                <c:ptCount val="20"/>
                <c:pt idx="0">
                  <c:v>0.1</c:v>
                </c:pt>
                <c:pt idx="1">
                  <c:v>0.19486832980505137</c:v>
                </c:pt>
                <c:pt idx="2">
                  <c:v>0.37973665961010272</c:v>
                </c:pt>
                <c:pt idx="3">
                  <c:v>0.73998648623970031</c:v>
                </c:pt>
                <c:pt idx="4">
                  <c:v>1.4419993065183905</c:v>
                </c:pt>
                <c:pt idx="5">
                  <c:v>2.8099999644128109</c:v>
                </c:pt>
                <c:pt idx="6">
                  <c:v>5.4757999981737822</c:v>
                </c:pt>
                <c:pt idx="7">
                  <c:v>10.670599999906283</c:v>
                </c:pt>
                <c:pt idx="8">
                  <c:v>20.79361999999519</c:v>
                </c:pt>
                <c:pt idx="9">
                  <c:v>40.520179999999748</c:v>
                </c:pt>
                <c:pt idx="10">
                  <c:v>78.960997999999975</c:v>
                </c:pt>
                <c:pt idx="11">
                  <c:v>153.86997799999997</c:v>
                </c:pt>
                <c:pt idx="12">
                  <c:v>299.84385619999995</c:v>
                </c:pt>
                <c:pt idx="13">
                  <c:v>584.30071459999976</c:v>
                </c:pt>
                <c:pt idx="14">
                  <c:v>1138.6170435799995</c:v>
                </c:pt>
                <c:pt idx="15">
                  <c:v>2218.8040156999987</c:v>
                </c:pt>
                <c:pt idx="16">
                  <c:v>4323.7463270419976</c:v>
                </c:pt>
                <c:pt idx="17">
                  <c:v>8425.6122525139945</c:v>
                </c:pt>
                <c:pt idx="18">
                  <c:v>16418.84987232379</c:v>
                </c:pt>
                <c:pt idx="19">
                  <c:v>31995.13851939618</c:v>
                </c:pt>
              </c:numCache>
            </c:numRef>
          </c:xVal>
          <c:yVal>
            <c:numRef>
              <c:f>'Blijvende kapitaalopbouw'!$F$23:$F$42</c:f>
              <c:numCache>
                <c:formatCode>0.000</c:formatCode>
                <c:ptCount val="20"/>
                <c:pt idx="0">
                  <c:v>3.1622776601683798E-2</c:v>
                </c:pt>
                <c:pt idx="1">
                  <c:v>6.162277660168379E-2</c:v>
                </c:pt>
                <c:pt idx="2">
                  <c:v>0.1200832755431992</c:v>
                </c:pt>
                <c:pt idx="3">
                  <c:v>0.23400427342623004</c:v>
                </c:pt>
                <c:pt idx="4">
                  <c:v>0.45600021929814016</c:v>
                </c:pt>
                <c:pt idx="5">
                  <c:v>0.88860001125365728</c:v>
                </c:pt>
                <c:pt idx="6">
                  <c:v>1.7316000005775005</c:v>
                </c:pt>
                <c:pt idx="7">
                  <c:v>3.3743400000296355</c:v>
                </c:pt>
                <c:pt idx="8">
                  <c:v>6.5755200000015206</c:v>
                </c:pt>
                <c:pt idx="9">
                  <c:v>12.813606000000078</c:v>
                </c:pt>
                <c:pt idx="10">
                  <c:v>24.969660000000001</c:v>
                </c:pt>
                <c:pt idx="11">
                  <c:v>48.657959399999996</c:v>
                </c:pt>
                <c:pt idx="12">
                  <c:v>94.818952799999991</c:v>
                </c:pt>
                <c:pt idx="13">
                  <c:v>184.77210965999993</c:v>
                </c:pt>
                <c:pt idx="14">
                  <c:v>360.06232403999991</c:v>
                </c:pt>
                <c:pt idx="15">
                  <c:v>701.64743711399956</c:v>
                </c:pt>
                <c:pt idx="16">
                  <c:v>1367.2886418239993</c:v>
                </c:pt>
                <c:pt idx="17">
                  <c:v>2664.4125399365985</c:v>
                </c:pt>
                <c:pt idx="18">
                  <c:v>5192.0962156907972</c:v>
                </c:pt>
                <c:pt idx="19">
                  <c:v>10117.751177387934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5-0547-9C1C-FD1CFE5F1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8624"/>
        <c:axId val="116380416"/>
      </c:scatterChart>
      <c:valAx>
        <c:axId val="11637862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16380416"/>
        <c:crosses val="autoZero"/>
        <c:crossBetween val="midCat"/>
      </c:valAx>
      <c:valAx>
        <c:axId val="1163804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6378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'R&amp;D'!$F$24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'R&amp;D'!$F$25:$F$124</c:f>
              <c:numCache>
                <c:formatCode>0.000</c:formatCode>
                <c:ptCount val="100"/>
                <c:pt idx="0">
                  <c:v>0.5</c:v>
                </c:pt>
                <c:pt idx="1">
                  <c:v>3</c:v>
                </c:pt>
                <c:pt idx="2">
                  <c:v>5.9905779971282884</c:v>
                </c:pt>
                <c:pt idx="3">
                  <c:v>9.195296449195812</c:v>
                </c:pt>
                <c:pt idx="4">
                  <c:v>12.540323096005698</c:v>
                </c:pt>
                <c:pt idx="5">
                  <c:v>15.990758337153533</c:v>
                </c:pt>
                <c:pt idx="6">
                  <c:v>19.526087976160095</c:v>
                </c:pt>
                <c:pt idx="7">
                  <c:v>23.132742404772216</c:v>
                </c:pt>
                <c:pt idx="8">
                  <c:v>26.801049792168975</c:v>
                </c:pt>
                <c:pt idx="9">
                  <c:v>30.523751073796248</c:v>
                </c:pt>
                <c:pt idx="10">
                  <c:v>34.295187562452952</c:v>
                </c:pt>
                <c:pt idx="11">
                  <c:v>38.110818192853962</c:v>
                </c:pt>
                <c:pt idx="12">
                  <c:v>41.966914175948979</c:v>
                </c:pt>
                <c:pt idx="13">
                  <c:v>45.860356197912466</c:v>
                </c:pt>
                <c:pt idx="14">
                  <c:v>49.788494324081526</c:v>
                </c:pt>
                <c:pt idx="15">
                  <c:v>53.749048036646855</c:v>
                </c:pt>
                <c:pt idx="16">
                  <c:v>57.740032948516429</c:v>
                </c:pt>
                <c:pt idx="17">
                  <c:v>61.759705821407934</c:v>
                </c:pt>
                <c:pt idx="18">
                  <c:v>65.806522489505809</c:v>
                </c:pt>
                <c:pt idx="19">
                  <c:v>69.879105098464819</c:v>
                </c:pt>
                <c:pt idx="20">
                  <c:v>73.976216207570118</c:v>
                </c:pt>
                <c:pt idx="21">
                  <c:v>78.096738040522183</c:v>
                </c:pt>
                <c:pt idx="22">
                  <c:v>82.239655661049099</c:v>
                </c:pt>
                <c:pt idx="23">
                  <c:v>86.404043183615101</c:v>
                </c:pt>
                <c:pt idx="24">
                  <c:v>90.589052361626827</c:v>
                </c:pt>
                <c:pt idx="25">
                  <c:v>94.793903059840019</c:v>
                </c:pt>
                <c:pt idx="26">
                  <c:v>99.01787523591139</c:v>
                </c:pt>
                <c:pt idx="27">
                  <c:v>103.26030214242944</c:v>
                </c:pt>
                <c:pt idx="28">
                  <c:v>107.52056452474929</c:v>
                </c:pt>
                <c:pt idx="29">
                  <c:v>111.79808563795821</c:v>
                </c:pt>
                <c:pt idx="30">
                  <c:v>116.09232694272515</c:v>
                </c:pt>
                <c:pt idx="31">
                  <c:v>120.40278436772672</c:v>
                </c:pt>
                <c:pt idx="32">
                  <c:v>124.72898504798451</c:v>
                </c:pt>
                <c:pt idx="33">
                  <c:v>129.07048446536737</c:v>
                </c:pt>
                <c:pt idx="34">
                  <c:v>133.42686393085188</c:v>
                </c:pt>
                <c:pt idx="35">
                  <c:v>137.79772835873544</c:v>
                </c:pt>
                <c:pt idx="36">
                  <c:v>142.18270429148507</c:v>
                </c:pt>
                <c:pt idx="37">
                  <c:v>146.58143814074816</c:v>
                </c:pt>
                <c:pt idx="38">
                  <c:v>150.99359461560636</c:v>
                </c:pt>
                <c:pt idx="39">
                  <c:v>155.41885531368825</c:v>
                </c:pt>
                <c:pt idx="40">
                  <c:v>159.85691745448253</c:v>
                </c:pt>
                <c:pt idx="41">
                  <c:v>164.30749273726852</c:v>
                </c:pt>
                <c:pt idx="42">
                  <c:v>168.77030630863558</c:v>
                </c:pt>
                <c:pt idx="43">
                  <c:v>173.24509582669245</c:v>
                </c:pt>
                <c:pt idx="44">
                  <c:v>177.73161061085347</c:v>
                </c:pt>
                <c:pt idx="45">
                  <c:v>182.22961086759148</c:v>
                </c:pt>
                <c:pt idx="46">
                  <c:v>186.73886698381781</c:v>
                </c:pt>
                <c:pt idx="47">
                  <c:v>191.25915888062789</c:v>
                </c:pt>
                <c:pt idx="48">
                  <c:v>195.79027542107025</c:v>
                </c:pt>
                <c:pt idx="49">
                  <c:v>200.33201386638211</c:v>
                </c:pt>
                <c:pt idx="50">
                  <c:v>204.88417937580894</c:v>
                </c:pt>
                <c:pt idx="51">
                  <c:v>209.44658454570583</c:v>
                </c:pt>
                <c:pt idx="52">
                  <c:v>214.01904898411996</c:v>
                </c:pt>
                <c:pt idx="53">
                  <c:v>218.60139891748744</c:v>
                </c:pt>
                <c:pt idx="54">
                  <c:v>223.1934668264557</c:v>
                </c:pt>
                <c:pt idx="55">
                  <c:v>227.79509110817091</c:v>
                </c:pt>
                <c:pt idx="56">
                  <c:v>232.40611576265746</c:v>
                </c:pt>
                <c:pt idx="57">
                  <c:v>237.02639010116815</c:v>
                </c:pt>
                <c:pt idx="58">
                  <c:v>241.6557684746048</c:v>
                </c:pt>
                <c:pt idx="59">
                  <c:v>246.29411002030318</c:v>
                </c:pt>
                <c:pt idx="60">
                  <c:v>250.94127842564833</c:v>
                </c:pt>
                <c:pt idx="61">
                  <c:v>255.59714170713769</c:v>
                </c:pt>
                <c:pt idx="62">
                  <c:v>260.26157200364406</c:v>
                </c:pt>
                <c:pt idx="63">
                  <c:v>264.93444538274997</c:v>
                </c:pt>
                <c:pt idx="64">
                  <c:v>269.61564165913131</c:v>
                </c:pt>
                <c:pt idx="65">
                  <c:v>274.30504422406273</c:v>
                </c:pt>
                <c:pt idx="66">
                  <c:v>279.00253988520177</c:v>
                </c:pt>
                <c:pt idx="67">
                  <c:v>283.70801871588509</c:v>
                </c:pt>
                <c:pt idx="68">
                  <c:v>288.42137391323752</c:v>
                </c:pt>
                <c:pt idx="69">
                  <c:v>293.14250166445538</c:v>
                </c:pt>
                <c:pt idx="70">
                  <c:v>297.87130102068147</c:v>
                </c:pt>
                <c:pt idx="71">
                  <c:v>302.6076737779369</c:v>
                </c:pt>
                <c:pt idx="72">
                  <c:v>307.35152436462153</c:v>
                </c:pt>
                <c:pt idx="73">
                  <c:v>312.10275973513274</c:v>
                </c:pt>
                <c:pt idx="74">
                  <c:v>316.86128926919122</c:v>
                </c:pt>
                <c:pt idx="75">
                  <c:v>321.62702467649319</c:v>
                </c:pt>
                <c:pt idx="76">
                  <c:v>326.39987990634023</c:v>
                </c:pt>
                <c:pt idx="77">
                  <c:v>331.17977106192404</c:v>
                </c:pt>
                <c:pt idx="78">
                  <c:v>335.96661631896899</c:v>
                </c:pt>
                <c:pt idx="79">
                  <c:v>340.76033584845715</c:v>
                </c:pt>
                <c:pt idx="80">
                  <c:v>345.56085174318224</c:v>
                </c:pt>
                <c:pt idx="81">
                  <c:v>350.36808794789607</c:v>
                </c:pt>
                <c:pt idx="82">
                  <c:v>355.18197019283042</c:v>
                </c:pt>
                <c:pt idx="83">
                  <c:v>360.00242593039081</c:v>
                </c:pt>
                <c:pt idx="84">
                  <c:v>364.82938427483532</c:v>
                </c:pt>
                <c:pt idx="85">
                  <c:v>369.66277594476247</c:v>
                </c:pt>
                <c:pt idx="86">
                  <c:v>374.50253320824663</c:v>
                </c:pt>
                <c:pt idx="87">
                  <c:v>379.34858983046917</c:v>
                </c:pt>
                <c:pt idx="88">
                  <c:v>384.20088102370426</c:v>
                </c:pt>
                <c:pt idx="89">
                  <c:v>389.05934339952779</c:v>
                </c:pt>
                <c:pt idx="90">
                  <c:v>393.92391492312674</c:v>
                </c:pt>
                <c:pt idx="91">
                  <c:v>398.79453486959409</c:v>
                </c:pt>
                <c:pt idx="92">
                  <c:v>403.67114378210198</c:v>
                </c:pt>
                <c:pt idx="93">
                  <c:v>408.55368343185319</c:v>
                </c:pt>
                <c:pt idx="94">
                  <c:v>413.44209677971605</c:v>
                </c:pt>
                <c:pt idx="95">
                  <c:v>418.33632793945588</c:v>
                </c:pt>
                <c:pt idx="96">
                  <c:v>423.23632214247942</c:v>
                </c:pt>
                <c:pt idx="97">
                  <c:v>428.1420257040154</c:v>
                </c:pt>
                <c:pt idx="98">
                  <c:v>433.05338599065789</c:v>
                </c:pt>
                <c:pt idx="99">
                  <c:v>437.97035138920501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F-E240-90DE-65E3685E7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8048"/>
        <c:axId val="116419584"/>
      </c:lineChart>
      <c:catAx>
        <c:axId val="1164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19584"/>
        <c:crosses val="autoZero"/>
        <c:auto val="1"/>
        <c:lblAlgn val="ctr"/>
        <c:lblOffset val="100"/>
        <c:noMultiLvlLbl val="0"/>
      </c:catAx>
      <c:valAx>
        <c:axId val="1164195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64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'R&amp;D'!$H$24</c:f>
              <c:strCache>
                <c:ptCount val="1"/>
                <c:pt idx="0">
                  <c:v>ΔA/A</c:v>
                </c:pt>
              </c:strCache>
            </c:strRef>
          </c:tx>
          <c:marker>
            <c:symbol val="none"/>
          </c:marker>
          <c:val>
            <c:numRef>
              <c:f>'R&amp;D'!$H$25:$H$124</c:f>
              <c:numCache>
                <c:formatCode>0.000</c:formatCode>
                <c:ptCount val="100"/>
                <c:pt idx="0">
                  <c:v>5</c:v>
                </c:pt>
                <c:pt idx="1">
                  <c:v>0.99685933237609603</c:v>
                </c:pt>
                <c:pt idx="2">
                  <c:v>0.53495980748498273</c:v>
                </c:pt>
                <c:pt idx="3">
                  <c:v>0.36377583531876562</c:v>
                </c:pt>
                <c:pt idx="4">
                  <c:v>0.2751472362180889</c:v>
                </c:pt>
                <c:pt idx="5">
                  <c:v>0.2210858024658183</c:v>
                </c:pt>
                <c:pt idx="6">
                  <c:v>0.18470952466339291</c:v>
                </c:pt>
                <c:pt idx="7">
                  <c:v>0.15857641619871221</c:v>
                </c:pt>
                <c:pt idx="8">
                  <c:v>0.13890132328753083</c:v>
                </c:pt>
                <c:pt idx="9">
                  <c:v>0.12355743825647851</c:v>
                </c:pt>
                <c:pt idx="10">
                  <c:v>0.11125848556601672</c:v>
                </c:pt>
                <c:pt idx="11">
                  <c:v>0.10118113874075943</c:v>
                </c:pt>
                <c:pt idx="12">
                  <c:v>9.2774084023428072E-2</c:v>
                </c:pt>
                <c:pt idx="13">
                  <c:v>8.5654330926192568E-2</c:v>
                </c:pt>
                <c:pt idx="14">
                  <c:v>7.9547569500403648E-2</c:v>
                </c:pt>
                <c:pt idx="15">
                  <c:v>7.4252197157956445E-2</c:v>
                </c:pt>
                <c:pt idx="16">
                  <c:v>6.9616740199570426E-2</c:v>
                </c:pt>
                <c:pt idx="17">
                  <c:v>6.5525193397134335E-2</c:v>
                </c:pt>
                <c:pt idx="18">
                  <c:v>6.1887218088578839E-2</c:v>
                </c:pt>
                <c:pt idx="19">
                  <c:v>5.8631419268065359E-2</c:v>
                </c:pt>
                <c:pt idx="20">
                  <c:v>5.5700629799586898E-2</c:v>
                </c:pt>
                <c:pt idx="21">
                  <c:v>5.3048536014106959E-2</c:v>
                </c:pt>
                <c:pt idx="22">
                  <c:v>5.0637219831385645E-2</c:v>
                </c:pt>
                <c:pt idx="23">
                  <c:v>4.8435339641667755E-2</c:v>
                </c:pt>
                <c:pt idx="24">
                  <c:v>4.6416764372671004E-2</c:v>
                </c:pt>
                <c:pt idx="25">
                  <c:v>4.4559534313139582E-2</c:v>
                </c:pt>
                <c:pt idx="26">
                  <c:v>4.2845061019643291E-2</c:v>
                </c:pt>
                <c:pt idx="27">
                  <c:v>4.1257504519438333E-2</c:v>
                </c:pt>
                <c:pt idx="28">
                  <c:v>3.9783283617566167E-2</c:v>
                </c:pt>
                <c:pt idx="29">
                  <c:v>3.8410687269487043E-2</c:v>
                </c:pt>
                <c:pt idx="30">
                  <c:v>3.7129563499301362E-2</c:v>
                </c:pt>
                <c:pt idx="31">
                  <c:v>3.5931068396599299E-2</c:v>
                </c:pt>
                <c:pt idx="32">
                  <c:v>3.4807462080386861E-2</c:v>
                </c:pt>
                <c:pt idx="33">
                  <c:v>3.3751941689297828E-2</c:v>
                </c:pt>
                <c:pt idx="34">
                  <c:v>3.2758503790876456E-2</c:v>
                </c:pt>
                <c:pt idx="35">
                  <c:v>3.1821830337681677E-2</c:v>
                </c:pt>
                <c:pt idx="36">
                  <c:v>3.0937193600181993E-2</c:v>
                </c:pt>
                <c:pt idx="37">
                  <c:v>3.010037649256524E-2</c:v>
                </c:pt>
                <c:pt idx="38">
                  <c:v>2.930760546066568E-2</c:v>
                </c:pt>
                <c:pt idx="39">
                  <c:v>2.8555493680845496E-2</c:v>
                </c:pt>
                <c:pt idx="40">
                  <c:v>2.7840992768131172E-2</c:v>
                </c:pt>
                <c:pt idx="41">
                  <c:v>2.7161351542885553E-2</c:v>
                </c:pt>
                <c:pt idx="42">
                  <c:v>2.651408068119325E-2</c:v>
                </c:pt>
                <c:pt idx="43">
                  <c:v>2.5896922292387041E-2</c:v>
                </c:pt>
                <c:pt idx="44">
                  <c:v>2.5307823640817989E-2</c:v>
                </c:pt>
                <c:pt idx="45">
                  <c:v>2.4744914367966109E-2</c:v>
                </c:pt>
                <c:pt idx="46">
                  <c:v>2.4206486682827467E-2</c:v>
                </c:pt>
                <c:pt idx="47">
                  <c:v>2.3690978078965558E-2</c:v>
                </c:pt>
                <c:pt idx="48">
                  <c:v>2.3196956210129939E-2</c:v>
                </c:pt>
                <c:pt idx="49">
                  <c:v>2.2723105616374591E-2</c:v>
                </c:pt>
                <c:pt idx="50">
                  <c:v>2.2268216041846266E-2</c:v>
                </c:pt>
                <c:pt idx="51">
                  <c:v>2.1831172125971392E-2</c:v>
                </c:pt>
                <c:pt idx="52">
                  <c:v>2.1410944283316982E-2</c:v>
                </c:pt>
                <c:pt idx="53">
                  <c:v>2.1006580615257509E-2</c:v>
                </c:pt>
                <c:pt idx="54">
                  <c:v>2.0617199719798293E-2</c:v>
                </c:pt>
                <c:pt idx="55">
                  <c:v>2.0241984285328394E-2</c:v>
                </c:pt>
                <c:pt idx="56">
                  <c:v>1.9880175370380997E-2</c:v>
                </c:pt>
                <c:pt idx="57">
                  <c:v>1.9531067285211243E-2</c:v>
                </c:pt>
                <c:pt idx="58">
                  <c:v>1.9194003002604942E-2</c:v>
                </c:pt>
                <c:pt idx="59">
                  <c:v>1.8868370035166733E-2</c:v>
                </c:pt>
                <c:pt idx="60">
                  <c:v>1.8553596724696846E-2</c:v>
                </c:pt>
                <c:pt idx="61">
                  <c:v>1.8249148896394295E-2</c:v>
                </c:pt>
                <c:pt idx="62">
                  <c:v>1.7954526836718231E-2</c:v>
                </c:pt>
                <c:pt idx="63">
                  <c:v>1.7669262558964179E-2</c:v>
                </c:pt>
                <c:pt idx="64">
                  <c:v>1.7392917325101342E-2</c:v>
                </c:pt>
                <c:pt idx="65">
                  <c:v>1.7125079396286748E-2</c:v>
                </c:pt>
                <c:pt idx="66">
                  <c:v>1.686536198781358E-2</c:v>
                </c:pt>
                <c:pt idx="67">
                  <c:v>1.6613401407143614E-2</c:v>
                </c:pt>
                <c:pt idx="68">
                  <c:v>1.6368855356184792E-2</c:v>
                </c:pt>
                <c:pt idx="69">
                  <c:v>1.6131401381157841E-2</c:v>
                </c:pt>
                <c:pt idx="70">
                  <c:v>1.5900735455298513E-2</c:v>
                </c:pt>
                <c:pt idx="71">
                  <c:v>1.567657068130332E-2</c:v>
                </c:pt>
                <c:pt idx="72">
                  <c:v>1.5458636101881402E-2</c:v>
                </c:pt>
                <c:pt idx="73">
                  <c:v>1.5246675608049161E-2</c:v>
                </c:pt>
                <c:pt idx="74">
                  <c:v>1.5040446935924727E-2</c:v>
                </c:pt>
                <c:pt idx="75">
                  <c:v>1.4839720743764519E-2</c:v>
                </c:pt>
                <c:pt idx="76">
                  <c:v>1.4644279761853399E-2</c:v>
                </c:pt>
                <c:pt idx="77">
                  <c:v>1.4453918008627008E-2</c:v>
                </c:pt>
                <c:pt idx="78">
                  <c:v>1.4268440067083899E-2</c:v>
                </c:pt>
                <c:pt idx="79">
                  <c:v>1.4087660416146428E-2</c:v>
                </c:pt>
                <c:pt idx="80">
                  <c:v>1.3911402812163836E-2</c:v>
                </c:pt>
                <c:pt idx="81">
                  <c:v>1.3739499716224741E-2</c:v>
                </c:pt>
                <c:pt idx="82">
                  <c:v>1.3571791763369544E-2</c:v>
                </c:pt>
                <c:pt idx="83">
                  <c:v>1.3408127270169668E-2</c:v>
                </c:pt>
                <c:pt idx="84">
                  <c:v>1.3248361777476826E-2</c:v>
                </c:pt>
                <c:pt idx="85">
                  <c:v>1.3092357625446556E-2</c:v>
                </c:pt>
                <c:pt idx="86">
                  <c:v>1.2939983558209561E-2</c:v>
                </c:pt>
                <c:pt idx="87">
                  <c:v>1.2791114355805489E-2</c:v>
                </c:pt>
                <c:pt idx="88">
                  <c:v>1.2645630491211117E-2</c:v>
                </c:pt>
                <c:pt idx="89">
                  <c:v>1.2503417810489349E-2</c:v>
                </c:pt>
                <c:pt idx="90">
                  <c:v>1.2364367234260999E-2</c:v>
                </c:pt>
                <c:pt idx="91">
                  <c:v>1.22283744788593E-2</c:v>
                </c:pt>
                <c:pt idx="92">
                  <c:v>1.2095339795669739E-2</c:v>
                </c:pt>
                <c:pt idx="93">
                  <c:v>1.1965167727286553E-2</c:v>
                </c:pt>
                <c:pt idx="94">
                  <c:v>1.1837766879233649E-2</c:v>
                </c:pt>
                <c:pt idx="95">
                  <c:v>1.1713049706103264E-2</c:v>
                </c:pt>
                <c:pt idx="96">
                  <c:v>1.1590932311061159E-2</c:v>
                </c:pt>
                <c:pt idx="97">
                  <c:v>1.147133425775362E-2</c:v>
                </c:pt>
                <c:pt idx="98">
                  <c:v>1.135417839373085E-2</c:v>
                </c:pt>
                <c:pt idx="99">
                  <c:v>1.1239390684572054E-2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0-3E43-A8B7-12F64468A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2736"/>
        <c:axId val="116454528"/>
      </c:lineChart>
      <c:catAx>
        <c:axId val="1164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54528"/>
        <c:crosses val="autoZero"/>
        <c:auto val="1"/>
        <c:lblAlgn val="ctr"/>
        <c:lblOffset val="100"/>
        <c:noMultiLvlLbl val="0"/>
      </c:catAx>
      <c:valAx>
        <c:axId val="1164545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645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35</xdr:row>
      <xdr:rowOff>167640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ADEDC3D-E0DE-5D7D-5070-BD180579E1CE}"/>
                </a:ext>
              </a:extLst>
            </xdr:cNvPr>
            <xdr:cNvSpPr txBox="1"/>
          </xdr:nvSpPr>
          <xdr:spPr>
            <a:xfrm>
              <a:off x="6629400" y="2209800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nl-BE" sz="11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ADEDC3D-E0DE-5D7D-5070-BD180579E1CE}"/>
                </a:ext>
              </a:extLst>
            </xdr:cNvPr>
            <xdr:cNvSpPr txBox="1"/>
          </xdr:nvSpPr>
          <xdr:spPr>
            <a:xfrm>
              <a:off x="6629400" y="2209800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NL" sz="1100" b="0" i="0">
                  <a:latin typeface="Cambria Math" panose="02040503050406030204" pitchFamily="18" charset="0"/>
                </a:rPr>
                <a:t>𝑥</a:t>
              </a:r>
              <a:endParaRPr lang="nl-BE" sz="1100"/>
            </a:p>
          </xdr:txBody>
        </xdr:sp>
      </mc:Fallback>
    </mc:AlternateContent>
    <xdr:clientData/>
  </xdr:oneCellAnchor>
  <xdr:oneCellAnchor>
    <xdr:from>
      <xdr:col>10</xdr:col>
      <xdr:colOff>533400</xdr:colOff>
      <xdr:row>17</xdr:row>
      <xdr:rowOff>152400</xdr:rowOff>
    </xdr:from>
    <xdr:ext cx="65" cy="172227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7A194D06-7A5D-942D-C100-7092F9D0EF0F}"/>
            </a:ext>
          </a:extLst>
        </xdr:cNvPr>
        <xdr:cNvSpPr txBox="1"/>
      </xdr:nvSpPr>
      <xdr:spPr>
        <a:xfrm>
          <a:off x="6629400" y="3520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B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3</xdr:row>
      <xdr:rowOff>57150</xdr:rowOff>
    </xdr:from>
    <xdr:to>
      <xdr:col>23</xdr:col>
      <xdr:colOff>314325</xdr:colOff>
      <xdr:row>17</xdr:row>
      <xdr:rowOff>133350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18</xdr:row>
      <xdr:rowOff>76200</xdr:rowOff>
    </xdr:from>
    <xdr:to>
      <xdr:col>23</xdr:col>
      <xdr:colOff>323850</xdr:colOff>
      <xdr:row>32</xdr:row>
      <xdr:rowOff>152400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352425</xdr:colOff>
      <xdr:row>12</xdr:row>
      <xdr:rowOff>47625</xdr:rowOff>
    </xdr:from>
    <xdr:to>
      <xdr:col>31</xdr:col>
      <xdr:colOff>47625</xdr:colOff>
      <xdr:row>26</xdr:row>
      <xdr:rowOff>123825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17</xdr:row>
      <xdr:rowOff>114300</xdr:rowOff>
    </xdr:from>
    <xdr:to>
      <xdr:col>23</xdr:col>
      <xdr:colOff>390525</xdr:colOff>
      <xdr:row>32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32</xdr:row>
      <xdr:rowOff>180975</xdr:rowOff>
    </xdr:from>
    <xdr:to>
      <xdr:col>23</xdr:col>
      <xdr:colOff>400050</xdr:colOff>
      <xdr:row>47</xdr:row>
      <xdr:rowOff>66675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24</xdr:row>
      <xdr:rowOff>19049</xdr:rowOff>
    </xdr:from>
    <xdr:to>
      <xdr:col>24</xdr:col>
      <xdr:colOff>19050</xdr:colOff>
      <xdr:row>53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6</xdr:row>
      <xdr:rowOff>142875</xdr:rowOff>
    </xdr:from>
    <xdr:to>
      <xdr:col>19</xdr:col>
      <xdr:colOff>333375</xdr:colOff>
      <xdr:row>20</xdr:row>
      <xdr:rowOff>152400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8A17-35D9-4952-A045-F126799D23E4}">
  <dimension ref="A2:C40"/>
  <sheetViews>
    <sheetView topLeftCell="A18" workbookViewId="0">
      <selection activeCell="A39" sqref="A39"/>
    </sheetView>
  </sheetViews>
  <sheetFormatPr defaultRowHeight="14.4" x14ac:dyDescent="0.3"/>
  <sheetData>
    <row r="2" spans="1:3" x14ac:dyDescent="0.3">
      <c r="A2" t="s">
        <v>117</v>
      </c>
    </row>
    <row r="3" spans="1:3" ht="31.2" x14ac:dyDescent="0.6">
      <c r="A3" s="2" t="s">
        <v>102</v>
      </c>
    </row>
    <row r="5" spans="1:3" x14ac:dyDescent="0.3">
      <c r="A5" s="1" t="s">
        <v>0</v>
      </c>
    </row>
    <row r="6" spans="1:3" x14ac:dyDescent="0.3">
      <c r="A6" t="s">
        <v>1</v>
      </c>
    </row>
    <row r="7" spans="1:3" x14ac:dyDescent="0.3">
      <c r="A7" t="s">
        <v>2</v>
      </c>
    </row>
    <row r="8" spans="1:3" x14ac:dyDescent="0.3">
      <c r="A8" s="3" t="s">
        <v>4</v>
      </c>
    </row>
    <row r="9" spans="1:3" x14ac:dyDescent="0.3">
      <c r="A9" t="s">
        <v>5</v>
      </c>
    </row>
    <row r="10" spans="1:3" x14ac:dyDescent="0.3">
      <c r="A10" t="s">
        <v>6</v>
      </c>
    </row>
    <row r="11" spans="1:3" x14ac:dyDescent="0.3">
      <c r="A11" t="s">
        <v>7</v>
      </c>
    </row>
    <row r="12" spans="1:3" x14ac:dyDescent="0.3">
      <c r="A12" t="s">
        <v>31</v>
      </c>
    </row>
    <row r="14" spans="1:3" x14ac:dyDescent="0.3">
      <c r="A14" s="1" t="s">
        <v>8</v>
      </c>
    </row>
    <row r="15" spans="1:3" ht="16.2" x14ac:dyDescent="0.3">
      <c r="A15" s="4" t="s">
        <v>9</v>
      </c>
      <c r="B15" t="s">
        <v>10</v>
      </c>
    </row>
    <row r="16" spans="1:3" ht="16.2" x14ac:dyDescent="0.3">
      <c r="B16" t="s">
        <v>13</v>
      </c>
      <c r="C16" t="s">
        <v>64</v>
      </c>
    </row>
    <row r="19" spans="1:2" ht="21" x14ac:dyDescent="0.4">
      <c r="A19" s="18" t="s">
        <v>120</v>
      </c>
    </row>
    <row r="20" spans="1:2" ht="18" x14ac:dyDescent="0.35">
      <c r="A20" s="17" t="s">
        <v>127</v>
      </c>
    </row>
    <row r="21" spans="1:2" x14ac:dyDescent="0.3">
      <c r="A21" t="s">
        <v>11</v>
      </c>
      <c r="B21" t="s">
        <v>126</v>
      </c>
    </row>
    <row r="22" spans="1:2" x14ac:dyDescent="0.3">
      <c r="A22" t="s">
        <v>19</v>
      </c>
      <c r="B22" t="s">
        <v>125</v>
      </c>
    </row>
    <row r="23" spans="1:2" x14ac:dyDescent="0.3">
      <c r="A23" t="s">
        <v>54</v>
      </c>
      <c r="B23" t="s">
        <v>121</v>
      </c>
    </row>
    <row r="24" spans="1:2" x14ac:dyDescent="0.3">
      <c r="A24" s="3" t="s">
        <v>39</v>
      </c>
      <c r="B24" t="s">
        <v>123</v>
      </c>
    </row>
    <row r="25" spans="1:2" x14ac:dyDescent="0.3">
      <c r="A25" s="3" t="s">
        <v>87</v>
      </c>
      <c r="B25" t="s">
        <v>122</v>
      </c>
    </row>
    <row r="26" spans="1:2" x14ac:dyDescent="0.3">
      <c r="A26" s="3" t="s">
        <v>118</v>
      </c>
      <c r="B26" t="s">
        <v>124</v>
      </c>
    </row>
    <row r="28" spans="1:2" ht="18" x14ac:dyDescent="0.35">
      <c r="A28" s="17" t="s">
        <v>128</v>
      </c>
    </row>
    <row r="29" spans="1:2" x14ac:dyDescent="0.3">
      <c r="A29" t="s">
        <v>21</v>
      </c>
      <c r="B29" t="s">
        <v>134</v>
      </c>
    </row>
    <row r="30" spans="1:2" x14ac:dyDescent="0.3">
      <c r="A30" t="s">
        <v>22</v>
      </c>
      <c r="B30" t="s">
        <v>135</v>
      </c>
    </row>
    <row r="31" spans="1:2" x14ac:dyDescent="0.3">
      <c r="A31" t="s">
        <v>62</v>
      </c>
      <c r="B31" t="s">
        <v>129</v>
      </c>
    </row>
    <row r="32" spans="1:2" x14ac:dyDescent="0.3">
      <c r="A32" t="s">
        <v>28</v>
      </c>
      <c r="B32" t="s">
        <v>130</v>
      </c>
    </row>
    <row r="33" spans="1:2" x14ac:dyDescent="0.3">
      <c r="A33" t="s">
        <v>91</v>
      </c>
      <c r="B33" t="s">
        <v>131</v>
      </c>
    </row>
    <row r="35" spans="1:2" ht="18" x14ac:dyDescent="0.35">
      <c r="A35" s="17" t="s">
        <v>132</v>
      </c>
    </row>
    <row r="36" spans="1:2" ht="15.6" x14ac:dyDescent="0.35">
      <c r="A36" s="3" t="s">
        <v>146</v>
      </c>
      <c r="B36" t="s">
        <v>133</v>
      </c>
    </row>
    <row r="37" spans="1:2" ht="15.6" x14ac:dyDescent="0.35">
      <c r="A37" s="3" t="s">
        <v>145</v>
      </c>
      <c r="B37" t="s">
        <v>141</v>
      </c>
    </row>
    <row r="38" spans="1:2" ht="15.6" x14ac:dyDescent="0.35">
      <c r="A38" s="3" t="s">
        <v>147</v>
      </c>
      <c r="B38" t="s">
        <v>142</v>
      </c>
    </row>
    <row r="39" spans="1:2" ht="15.6" x14ac:dyDescent="0.35">
      <c r="A39" s="3" t="s">
        <v>148</v>
      </c>
      <c r="B39" t="s">
        <v>143</v>
      </c>
    </row>
    <row r="40" spans="1:2" ht="15.6" x14ac:dyDescent="0.35">
      <c r="A40" t="s">
        <v>149</v>
      </c>
      <c r="B40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zoomScale="85" zoomScaleNormal="85" workbookViewId="0">
      <selection activeCell="E4" sqref="E4"/>
    </sheetView>
  </sheetViews>
  <sheetFormatPr defaultRowHeight="14.4" x14ac:dyDescent="0.3"/>
  <cols>
    <col min="1" max="1" width="17.44140625" bestFit="1" customWidth="1"/>
    <col min="4" max="4" width="15" bestFit="1" customWidth="1"/>
    <col min="9" max="9" width="10.5546875" style="5" bestFit="1" customWidth="1"/>
    <col min="20" max="20" width="24.33203125" bestFit="1" customWidth="1"/>
    <col min="21" max="21" width="12" bestFit="1" customWidth="1"/>
    <col min="22" max="22" width="9.109375" customWidth="1"/>
  </cols>
  <sheetData>
    <row r="1" spans="1:9" ht="31.2" x14ac:dyDescent="0.6">
      <c r="A1" s="24" t="s">
        <v>138</v>
      </c>
      <c r="B1" s="24"/>
      <c r="C1" s="24"/>
      <c r="D1" s="24"/>
      <c r="E1" s="24"/>
    </row>
    <row r="2" spans="1:9" ht="17.399999999999999" customHeight="1" x14ac:dyDescent="0.6">
      <c r="A2" s="19"/>
      <c r="B2" s="19"/>
      <c r="C2" s="19"/>
      <c r="D2" s="19"/>
      <c r="E2" s="19"/>
    </row>
    <row r="3" spans="1:9" x14ac:dyDescent="0.3">
      <c r="A3" s="40" t="s">
        <v>154</v>
      </c>
      <c r="B3" s="37"/>
    </row>
    <row r="4" spans="1:9" x14ac:dyDescent="0.3">
      <c r="A4" s="39" t="s">
        <v>11</v>
      </c>
      <c r="B4" s="43">
        <v>0.5</v>
      </c>
    </row>
    <row r="5" spans="1:9" x14ac:dyDescent="0.3">
      <c r="A5" s="39" t="s">
        <v>19</v>
      </c>
      <c r="B5" s="43">
        <v>0.1</v>
      </c>
    </row>
    <row r="6" spans="1:9" x14ac:dyDescent="0.3">
      <c r="A6" s="39" t="s">
        <v>54</v>
      </c>
      <c r="B6" s="43">
        <v>0.03</v>
      </c>
    </row>
    <row r="7" spans="1:9" x14ac:dyDescent="0.3">
      <c r="A7" s="39" t="s">
        <v>118</v>
      </c>
      <c r="B7" s="43">
        <v>0.02</v>
      </c>
    </row>
    <row r="9" spans="1:9" x14ac:dyDescent="0.3">
      <c r="A9" s="38" t="s">
        <v>139</v>
      </c>
    </row>
    <row r="10" spans="1:9" x14ac:dyDescent="0.3">
      <c r="A10" s="39" t="s">
        <v>21</v>
      </c>
      <c r="B10" s="39" t="s">
        <v>22</v>
      </c>
      <c r="C10" s="39" t="s">
        <v>62</v>
      </c>
      <c r="D10" s="39" t="s">
        <v>28</v>
      </c>
      <c r="E10" s="39" t="s">
        <v>96</v>
      </c>
      <c r="F10" s="39" t="s">
        <v>136</v>
      </c>
      <c r="G10" s="39"/>
      <c r="H10" s="39" t="s">
        <v>89</v>
      </c>
      <c r="I10" s="39" t="s">
        <v>90</v>
      </c>
    </row>
    <row r="11" spans="1:9" x14ac:dyDescent="0.3">
      <c r="A11" s="29">
        <f>(B5/(B6+B7))^(1/(1-B4))</f>
        <v>4</v>
      </c>
      <c r="B11" s="29">
        <f>(B5/(B6+B7))^(B4/(1-B4))</f>
        <v>2</v>
      </c>
      <c r="C11" s="29">
        <f>B5/(B6+B7)</f>
        <v>2</v>
      </c>
      <c r="D11" s="29">
        <f>B4/C11</f>
        <v>0.25</v>
      </c>
      <c r="E11" s="29">
        <f>C16-B6</f>
        <v>-0.03</v>
      </c>
      <c r="F11" s="29">
        <f>E11-B7</f>
        <v>-0.05</v>
      </c>
      <c r="G11" s="29"/>
      <c r="H11" s="30">
        <f>B11-I11</f>
        <v>1.8</v>
      </c>
      <c r="I11" s="29">
        <f>B11*B5</f>
        <v>0.2</v>
      </c>
    </row>
    <row r="13" spans="1:9" x14ac:dyDescent="0.3">
      <c r="A13" s="42" t="s">
        <v>140</v>
      </c>
      <c r="B13" s="42"/>
    </row>
    <row r="14" spans="1:9" x14ac:dyDescent="0.3">
      <c r="A14" s="39" t="s">
        <v>25</v>
      </c>
      <c r="B14" s="39" t="s">
        <v>26</v>
      </c>
      <c r="C14" s="39" t="s">
        <v>67</v>
      </c>
      <c r="D14" s="39" t="s">
        <v>95</v>
      </c>
      <c r="E14" s="39" t="s">
        <v>96</v>
      </c>
      <c r="F14" s="39" t="s">
        <v>136</v>
      </c>
      <c r="G14" s="39" t="s">
        <v>24</v>
      </c>
      <c r="H14" s="39" t="s">
        <v>150</v>
      </c>
      <c r="I14" s="39" t="s">
        <v>151</v>
      </c>
    </row>
    <row r="15" spans="1:9" x14ac:dyDescent="0.3">
      <c r="A15" s="29">
        <f>(B4/(B6+B7))^(1/(1-B4))</f>
        <v>100</v>
      </c>
      <c r="B15" s="29">
        <f>(B4/(B6+B7))^(B4/(1-B4))</f>
        <v>10</v>
      </c>
      <c r="C15" s="29">
        <f>B4/(B6+B7)</f>
        <v>10</v>
      </c>
      <c r="D15" s="29">
        <f>B4/C15</f>
        <v>0.05</v>
      </c>
      <c r="E15" s="29">
        <f>D15-B6</f>
        <v>2.0000000000000004E-2</v>
      </c>
      <c r="F15" s="29">
        <f>E15-B7</f>
        <v>0</v>
      </c>
      <c r="G15" s="29">
        <f>B4</f>
        <v>0.5</v>
      </c>
      <c r="H15" s="30">
        <f>B15-I15</f>
        <v>5</v>
      </c>
      <c r="I15" s="29">
        <f>B15*G15</f>
        <v>5</v>
      </c>
    </row>
    <row r="17" spans="1:9" x14ac:dyDescent="0.3">
      <c r="A17" s="41" t="s">
        <v>155</v>
      </c>
      <c r="B17" s="41"/>
      <c r="C17" s="41"/>
      <c r="D17" s="41"/>
      <c r="E17" s="41"/>
      <c r="F17" s="41"/>
      <c r="G17" s="41"/>
      <c r="H17" s="41"/>
      <c r="I17" s="41"/>
    </row>
    <row r="18" spans="1:9" x14ac:dyDescent="0.3">
      <c r="A18" s="26">
        <f>H15-H11</f>
        <v>3.2</v>
      </c>
      <c r="B18" s="27">
        <f>H15/H11</f>
        <v>2.7777777777777777</v>
      </c>
    </row>
    <row r="19" spans="1:9" x14ac:dyDescent="0.3">
      <c r="I19"/>
    </row>
    <row r="20" spans="1:9" x14ac:dyDescent="0.3">
      <c r="I20"/>
    </row>
    <row r="21" spans="1:9" x14ac:dyDescent="0.3">
      <c r="E21" s="5"/>
      <c r="F21" s="5"/>
      <c r="G21" s="5"/>
      <c r="H21" s="5"/>
    </row>
    <row r="22" spans="1:9" x14ac:dyDescent="0.3">
      <c r="B22" s="5"/>
      <c r="C22" s="5"/>
      <c r="D22" s="5"/>
      <c r="E22" s="5"/>
      <c r="F22" s="5"/>
      <c r="G22" s="5"/>
      <c r="H22" s="5"/>
    </row>
    <row r="23" spans="1:9" x14ac:dyDescent="0.3">
      <c r="B23" s="5"/>
      <c r="C23" s="5"/>
      <c r="D23" s="5"/>
      <c r="E23" s="5"/>
      <c r="F23" s="5"/>
      <c r="G23" s="5"/>
      <c r="H23" s="5"/>
    </row>
    <row r="24" spans="1:9" x14ac:dyDescent="0.3">
      <c r="B24" s="5"/>
      <c r="C24" s="5"/>
      <c r="D24" s="5"/>
      <c r="E24" s="5"/>
      <c r="F24" s="5"/>
      <c r="G24" s="5"/>
      <c r="H24" s="5"/>
    </row>
    <row r="25" spans="1:9" x14ac:dyDescent="0.3">
      <c r="B25" s="5"/>
      <c r="C25" s="5"/>
      <c r="D25" s="5"/>
      <c r="E25" s="5"/>
      <c r="F25" s="5"/>
      <c r="G25" s="5"/>
      <c r="H25" s="5"/>
    </row>
    <row r="26" spans="1:9" x14ac:dyDescent="0.3">
      <c r="B26" s="5"/>
      <c r="C26" s="5"/>
      <c r="D26" s="5"/>
      <c r="E26" s="5"/>
      <c r="F26" s="5"/>
      <c r="G26" s="5"/>
      <c r="H26" s="5"/>
    </row>
    <row r="27" spans="1:9" x14ac:dyDescent="0.3">
      <c r="B27" s="5"/>
      <c r="C27" s="5"/>
      <c r="D27" s="5"/>
      <c r="E27" s="5"/>
      <c r="F27" s="5"/>
      <c r="G27" s="5"/>
      <c r="H27" s="5"/>
    </row>
    <row r="28" spans="1:9" x14ac:dyDescent="0.3">
      <c r="B28" s="5"/>
      <c r="C28" s="5"/>
      <c r="D28" s="5"/>
      <c r="E28" s="5"/>
      <c r="F28" s="5"/>
      <c r="G28" s="5"/>
      <c r="H28" s="5"/>
    </row>
    <row r="29" spans="1:9" x14ac:dyDescent="0.3">
      <c r="B29" s="5"/>
      <c r="C29" s="5"/>
      <c r="D29" s="5"/>
      <c r="E29" s="5"/>
      <c r="F29" s="5"/>
      <c r="G29" s="5"/>
      <c r="H29" s="5"/>
    </row>
    <row r="30" spans="1:9" x14ac:dyDescent="0.3">
      <c r="B30" s="5"/>
      <c r="C30" s="5"/>
      <c r="D30" s="5"/>
      <c r="E30" s="5"/>
      <c r="F30" s="5"/>
      <c r="G30" s="5"/>
      <c r="H30" s="5"/>
    </row>
    <row r="31" spans="1:9" x14ac:dyDescent="0.3">
      <c r="B31" s="5"/>
      <c r="C31" s="5"/>
      <c r="D31" s="5"/>
      <c r="E31" s="5"/>
      <c r="F31" s="5"/>
      <c r="G31" s="5"/>
      <c r="H31" s="5"/>
    </row>
    <row r="32" spans="1:9" x14ac:dyDescent="0.3">
      <c r="B32" s="5"/>
      <c r="C32" s="5"/>
      <c r="D32" s="5"/>
      <c r="E32" s="5"/>
      <c r="F32" s="5"/>
      <c r="G32" s="5"/>
      <c r="H32" s="5"/>
    </row>
    <row r="33" spans="2:8" x14ac:dyDescent="0.3">
      <c r="B33" s="5"/>
      <c r="C33" s="5"/>
      <c r="D33" s="5"/>
      <c r="E33" s="5"/>
      <c r="F33" s="5"/>
      <c r="G33" s="5"/>
      <c r="H33" s="5"/>
    </row>
    <row r="34" spans="2:8" x14ac:dyDescent="0.3">
      <c r="B34" s="5"/>
      <c r="C34" s="5"/>
      <c r="D34" s="5"/>
      <c r="E34" s="5"/>
      <c r="F34" s="5"/>
      <c r="G34" s="5"/>
      <c r="H34" s="5"/>
    </row>
    <row r="35" spans="2:8" x14ac:dyDescent="0.3">
      <c r="B35" s="5"/>
      <c r="C35" s="5"/>
      <c r="D35" s="5"/>
      <c r="E35" s="5"/>
      <c r="F35" s="5"/>
      <c r="G35" s="5"/>
      <c r="H35" s="5"/>
    </row>
    <row r="36" spans="2:8" x14ac:dyDescent="0.3">
      <c r="B36" s="5"/>
      <c r="C36" s="5"/>
      <c r="D36" s="5"/>
      <c r="E36" s="5"/>
      <c r="F36" s="5"/>
      <c r="G36" s="5"/>
      <c r="H36" s="5"/>
    </row>
    <row r="37" spans="2:8" x14ac:dyDescent="0.3">
      <c r="B37" s="5"/>
      <c r="C37" s="5"/>
      <c r="D37" s="5"/>
      <c r="E37" s="5"/>
      <c r="F37" s="5"/>
      <c r="G37" s="5"/>
      <c r="H37" s="5"/>
    </row>
    <row r="38" spans="2:8" x14ac:dyDescent="0.3">
      <c r="B38" s="5"/>
      <c r="C38" s="5"/>
      <c r="D38" s="5"/>
      <c r="E38" s="5"/>
      <c r="F38" s="5"/>
      <c r="G38" s="5"/>
      <c r="H38" s="5"/>
    </row>
    <row r="39" spans="2:8" x14ac:dyDescent="0.3">
      <c r="B39" s="5"/>
      <c r="C39" s="5"/>
      <c r="D39" s="5"/>
      <c r="E39" s="5"/>
      <c r="F39" s="5"/>
      <c r="G39" s="5"/>
      <c r="H39" s="5"/>
    </row>
    <row r="40" spans="2:8" x14ac:dyDescent="0.3">
      <c r="B40" s="5"/>
      <c r="C40" s="5"/>
      <c r="D40" s="5"/>
      <c r="E40" s="5"/>
      <c r="F40" s="5"/>
      <c r="G40" s="5"/>
      <c r="H40" s="5"/>
    </row>
    <row r="41" spans="2:8" x14ac:dyDescent="0.3">
      <c r="B41" s="5"/>
      <c r="C41" s="5"/>
      <c r="D41" s="5"/>
      <c r="E41" s="5"/>
      <c r="F41" s="5"/>
      <c r="G41" s="5"/>
      <c r="H41" s="5"/>
    </row>
    <row r="42" spans="2:8" x14ac:dyDescent="0.3">
      <c r="B42" s="5"/>
      <c r="C42" s="5"/>
      <c r="D42" s="5"/>
      <c r="E42" s="5"/>
      <c r="F42" s="5"/>
      <c r="G42" s="5"/>
      <c r="H42" s="5"/>
    </row>
    <row r="43" spans="2:8" x14ac:dyDescent="0.3">
      <c r="B43" s="5"/>
      <c r="C43" s="5"/>
      <c r="D43" s="5"/>
      <c r="E43" s="5"/>
      <c r="F43" s="5"/>
      <c r="G43" s="5"/>
      <c r="H43" s="5"/>
    </row>
    <row r="44" spans="2:8" x14ac:dyDescent="0.3">
      <c r="B44" s="5"/>
      <c r="C44" s="5"/>
      <c r="D44" s="5"/>
      <c r="E44" s="5"/>
      <c r="F44" s="5"/>
      <c r="G44" s="5"/>
      <c r="H44" s="5"/>
    </row>
    <row r="45" spans="2:8" x14ac:dyDescent="0.3">
      <c r="B45" s="5"/>
      <c r="C45" s="5"/>
      <c r="D45" s="5"/>
      <c r="E45" s="5"/>
      <c r="F45" s="5"/>
      <c r="G45" s="5"/>
      <c r="H45" s="5"/>
    </row>
    <row r="46" spans="2:8" x14ac:dyDescent="0.3">
      <c r="B46" s="5"/>
      <c r="C46" s="5"/>
      <c r="D46" s="5"/>
      <c r="E46" s="5"/>
      <c r="F46" s="5"/>
      <c r="G46" s="5"/>
      <c r="H46" s="5"/>
    </row>
    <row r="47" spans="2:8" x14ac:dyDescent="0.3">
      <c r="B47" s="5"/>
      <c r="C47" s="5"/>
      <c r="D47" s="5"/>
      <c r="E47" s="5"/>
      <c r="F47" s="5"/>
      <c r="G47" s="5"/>
      <c r="H47" s="5"/>
    </row>
    <row r="48" spans="2:8" x14ac:dyDescent="0.3">
      <c r="B48" s="5"/>
      <c r="C48" s="5"/>
      <c r="D48" s="5"/>
      <c r="E48" s="5"/>
      <c r="F48" s="5"/>
      <c r="G48" s="5"/>
      <c r="H48" s="5"/>
    </row>
    <row r="49" spans="2:8" x14ac:dyDescent="0.3">
      <c r="B49" s="5"/>
      <c r="C49" s="5"/>
      <c r="D49" s="5"/>
      <c r="E49" s="5"/>
      <c r="F49" s="5"/>
      <c r="G49" s="5"/>
      <c r="H49" s="5"/>
    </row>
    <row r="50" spans="2:8" x14ac:dyDescent="0.3">
      <c r="B50" s="5"/>
      <c r="C50" s="5"/>
      <c r="D50" s="5"/>
      <c r="E50" s="5"/>
      <c r="F50" s="5"/>
      <c r="G50" s="5"/>
      <c r="H50" s="5"/>
    </row>
    <row r="51" spans="2:8" x14ac:dyDescent="0.3">
      <c r="B51" s="5"/>
      <c r="C51" s="5"/>
      <c r="D51" s="5"/>
      <c r="E51" s="5"/>
      <c r="F51" s="5"/>
      <c r="G51" s="5"/>
      <c r="H51" s="5"/>
    </row>
    <row r="52" spans="2:8" x14ac:dyDescent="0.3">
      <c r="B52" s="5"/>
      <c r="C52" s="5"/>
      <c r="D52" s="5"/>
      <c r="E52" s="5"/>
      <c r="F52" s="5"/>
      <c r="G52" s="5"/>
      <c r="H52" s="5"/>
    </row>
    <row r="53" spans="2:8" x14ac:dyDescent="0.3">
      <c r="B53" s="5"/>
      <c r="C53" s="5"/>
      <c r="D53" s="5"/>
      <c r="E53" s="5"/>
      <c r="F53" s="5"/>
      <c r="G53" s="5"/>
      <c r="H53" s="5"/>
    </row>
    <row r="54" spans="2:8" x14ac:dyDescent="0.3">
      <c r="B54" s="5"/>
      <c r="C54" s="5"/>
      <c r="D54" s="5"/>
      <c r="E54" s="5"/>
      <c r="F54" s="5"/>
      <c r="G54" s="5"/>
      <c r="H54" s="5"/>
    </row>
    <row r="55" spans="2:8" x14ac:dyDescent="0.3">
      <c r="B55" s="5"/>
      <c r="C55" s="5"/>
      <c r="D55" s="5"/>
      <c r="E55" s="5"/>
      <c r="F55" s="5"/>
      <c r="G55" s="5"/>
      <c r="H55" s="5"/>
    </row>
    <row r="56" spans="2:8" x14ac:dyDescent="0.3">
      <c r="B56" s="5"/>
      <c r="C56" s="5"/>
      <c r="D56" s="5"/>
      <c r="E56" s="5"/>
      <c r="F56" s="5"/>
      <c r="G56" s="5"/>
      <c r="H56" s="5"/>
    </row>
    <row r="57" spans="2:8" x14ac:dyDescent="0.3">
      <c r="B57" s="5"/>
      <c r="C57" s="5"/>
      <c r="D57" s="5"/>
      <c r="E57" s="5"/>
      <c r="F57" s="5"/>
      <c r="G57" s="5"/>
      <c r="H57" s="5"/>
    </row>
    <row r="58" spans="2:8" x14ac:dyDescent="0.3">
      <c r="B58" s="5"/>
      <c r="C58" s="5"/>
      <c r="D58" s="5"/>
      <c r="E58" s="5"/>
      <c r="F58" s="5"/>
      <c r="G58" s="5"/>
      <c r="H58" s="5"/>
    </row>
    <row r="59" spans="2:8" x14ac:dyDescent="0.3">
      <c r="B59" s="5"/>
      <c r="C59" s="5"/>
      <c r="D59" s="5"/>
      <c r="E59" s="5"/>
      <c r="F59" s="5"/>
      <c r="G59" s="5"/>
      <c r="H59" s="5"/>
    </row>
    <row r="60" spans="2:8" x14ac:dyDescent="0.3">
      <c r="B60" s="5"/>
      <c r="C60" s="5"/>
      <c r="D60" s="5"/>
      <c r="E60" s="5"/>
      <c r="F60" s="5"/>
      <c r="G60" s="5"/>
      <c r="H60" s="5"/>
    </row>
    <row r="61" spans="2:8" x14ac:dyDescent="0.3">
      <c r="B61" s="5"/>
      <c r="C61" s="5"/>
      <c r="D61" s="5"/>
      <c r="E61" s="5"/>
      <c r="F61" s="5"/>
      <c r="G61" s="5"/>
      <c r="H61" s="5"/>
    </row>
    <row r="62" spans="2:8" x14ac:dyDescent="0.3">
      <c r="B62" s="5"/>
      <c r="C62" s="5"/>
      <c r="D62" s="5"/>
      <c r="E62" s="5"/>
      <c r="F62" s="5"/>
      <c r="G62" s="5"/>
      <c r="H62" s="5"/>
    </row>
    <row r="63" spans="2:8" x14ac:dyDescent="0.3">
      <c r="B63" s="5"/>
      <c r="C63" s="5"/>
      <c r="D63" s="5"/>
      <c r="E63" s="5"/>
      <c r="F63" s="5"/>
      <c r="G63" s="5"/>
      <c r="H63" s="5"/>
    </row>
    <row r="64" spans="2:8" x14ac:dyDescent="0.3">
      <c r="B64" s="5"/>
      <c r="C64" s="5"/>
      <c r="D64" s="5"/>
      <c r="E64" s="5"/>
      <c r="F64" s="5"/>
      <c r="G64" s="5"/>
      <c r="H64" s="5"/>
    </row>
    <row r="65" spans="2:8" x14ac:dyDescent="0.3">
      <c r="B65" s="5"/>
      <c r="C65" s="5"/>
      <c r="D65" s="5"/>
      <c r="E65" s="5"/>
      <c r="F65" s="5"/>
      <c r="G65" s="5"/>
      <c r="H65" s="5"/>
    </row>
    <row r="66" spans="2:8" x14ac:dyDescent="0.3">
      <c r="B66" s="5"/>
      <c r="C66" s="5"/>
      <c r="D66" s="5"/>
      <c r="E66" s="5"/>
      <c r="F66" s="5"/>
      <c r="G66" s="5"/>
      <c r="H66" s="5"/>
    </row>
    <row r="67" spans="2:8" x14ac:dyDescent="0.3">
      <c r="B67" s="5"/>
      <c r="C67" s="5"/>
      <c r="D67" s="5"/>
      <c r="E67" s="5"/>
      <c r="F67" s="5"/>
      <c r="G67" s="5"/>
      <c r="H67" s="5"/>
    </row>
    <row r="68" spans="2:8" x14ac:dyDescent="0.3">
      <c r="B68" s="5"/>
      <c r="C68" s="5"/>
      <c r="D68" s="5"/>
      <c r="E68" s="5"/>
      <c r="F68" s="5"/>
      <c r="G68" s="5"/>
      <c r="H68" s="5"/>
    </row>
    <row r="69" spans="2:8" x14ac:dyDescent="0.3">
      <c r="B69" s="5"/>
      <c r="C69" s="5"/>
      <c r="D69" s="5"/>
      <c r="E69" s="5"/>
      <c r="F69" s="5"/>
      <c r="G69" s="5"/>
      <c r="H69" s="5"/>
    </row>
    <row r="70" spans="2:8" x14ac:dyDescent="0.3">
      <c r="B70" s="5"/>
      <c r="C70" s="5"/>
      <c r="D70" s="5"/>
      <c r="E70" s="5"/>
      <c r="F70" s="5"/>
      <c r="G70" s="5"/>
      <c r="H70" s="5"/>
    </row>
    <row r="71" spans="2:8" x14ac:dyDescent="0.3">
      <c r="B71" s="5"/>
      <c r="C71" s="5"/>
      <c r="D71" s="5"/>
      <c r="E71" s="5"/>
      <c r="F71" s="5"/>
      <c r="G71" s="5"/>
      <c r="H71" s="5"/>
    </row>
    <row r="72" spans="2:8" x14ac:dyDescent="0.3">
      <c r="B72" s="5"/>
      <c r="C72" s="5"/>
      <c r="D72" s="5"/>
      <c r="E72" s="5"/>
      <c r="F72" s="5"/>
      <c r="G72" s="5"/>
      <c r="H72" s="5"/>
    </row>
    <row r="73" spans="2:8" x14ac:dyDescent="0.3">
      <c r="B73" s="5"/>
      <c r="C73" s="5"/>
      <c r="D73" s="5"/>
      <c r="E73" s="5"/>
      <c r="F73" s="5"/>
      <c r="G73" s="5"/>
      <c r="H73" s="5"/>
    </row>
    <row r="74" spans="2:8" x14ac:dyDescent="0.3">
      <c r="B74" s="5"/>
      <c r="C74" s="5"/>
      <c r="D74" s="5"/>
      <c r="E74" s="5"/>
      <c r="F74" s="5"/>
      <c r="G74" s="5"/>
      <c r="H74" s="5"/>
    </row>
    <row r="75" spans="2:8" x14ac:dyDescent="0.3">
      <c r="B75" s="5"/>
      <c r="C75" s="5"/>
      <c r="D75" s="5"/>
      <c r="E75" s="5"/>
      <c r="F75" s="5"/>
      <c r="G75" s="5"/>
      <c r="H75" s="5"/>
    </row>
    <row r="76" spans="2:8" x14ac:dyDescent="0.3">
      <c r="B76" s="5"/>
      <c r="C76" s="5"/>
      <c r="D76" s="5"/>
      <c r="E76" s="5"/>
      <c r="F76" s="5"/>
      <c r="G76" s="5"/>
      <c r="H76" s="5"/>
    </row>
    <row r="77" spans="2:8" x14ac:dyDescent="0.3">
      <c r="B77" s="5"/>
      <c r="C77" s="5"/>
      <c r="D77" s="5"/>
      <c r="E77" s="5"/>
      <c r="F77" s="5"/>
      <c r="G77" s="5"/>
      <c r="H77" s="5"/>
    </row>
    <row r="78" spans="2:8" x14ac:dyDescent="0.3">
      <c r="B78" s="5"/>
      <c r="C78" s="5"/>
      <c r="D78" s="5"/>
      <c r="E78" s="5"/>
      <c r="F78" s="5"/>
      <c r="G78" s="5"/>
      <c r="H78" s="5"/>
    </row>
    <row r="79" spans="2:8" x14ac:dyDescent="0.3">
      <c r="B79" s="5"/>
      <c r="C79" s="5"/>
      <c r="D79" s="5"/>
      <c r="E79" s="5"/>
      <c r="F79" s="5"/>
      <c r="G79" s="5"/>
      <c r="H79" s="5"/>
    </row>
  </sheetData>
  <mergeCells count="3">
    <mergeCell ref="A13:B13"/>
    <mergeCell ref="A17:I17"/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C962-957C-4A83-B82A-63E74F626F91}">
  <dimension ref="A1:D18"/>
  <sheetViews>
    <sheetView workbookViewId="0">
      <selection activeCell="F3" sqref="F3"/>
    </sheetView>
  </sheetViews>
  <sheetFormatPr defaultRowHeight="14.4" x14ac:dyDescent="0.3"/>
  <cols>
    <col min="1" max="1" width="30.88671875" bestFit="1" customWidth="1"/>
  </cols>
  <sheetData>
    <row r="1" spans="1:4" ht="18" x14ac:dyDescent="0.35">
      <c r="A1" s="22" t="s">
        <v>153</v>
      </c>
      <c r="B1" s="8" t="s">
        <v>119</v>
      </c>
    </row>
    <row r="2" spans="1:4" x14ac:dyDescent="0.3">
      <c r="A2" s="21" t="s">
        <v>154</v>
      </c>
      <c r="B2" s="20"/>
      <c r="C2" s="20"/>
    </row>
    <row r="3" spans="1:4" x14ac:dyDescent="0.3">
      <c r="A3" s="20" t="s">
        <v>11</v>
      </c>
      <c r="B3" s="43">
        <v>0.5</v>
      </c>
      <c r="C3" s="20"/>
    </row>
    <row r="4" spans="1:4" x14ac:dyDescent="0.3">
      <c r="A4" s="20" t="s">
        <v>19</v>
      </c>
      <c r="B4" s="43">
        <v>0.2</v>
      </c>
      <c r="C4" s="20"/>
    </row>
    <row r="5" spans="1:4" x14ac:dyDescent="0.3">
      <c r="A5" s="20" t="s">
        <v>54</v>
      </c>
      <c r="B5" s="43">
        <v>0.03</v>
      </c>
      <c r="C5" s="20"/>
    </row>
    <row r="6" spans="1:4" x14ac:dyDescent="0.3">
      <c r="A6" s="20" t="s">
        <v>118</v>
      </c>
      <c r="B6" s="43">
        <v>0.02</v>
      </c>
      <c r="C6" s="20"/>
    </row>
    <row r="7" spans="1:4" x14ac:dyDescent="0.3">
      <c r="A7" s="20"/>
      <c r="B7" s="20"/>
      <c r="C7" s="20"/>
    </row>
    <row r="8" spans="1:4" x14ac:dyDescent="0.3">
      <c r="A8" s="28" t="s">
        <v>152</v>
      </c>
    </row>
    <row r="9" spans="1:4" x14ac:dyDescent="0.3">
      <c r="A9" s="20" t="s">
        <v>22</v>
      </c>
      <c r="B9" s="25">
        <f>(B4/(B5+B6))^(B3/(1-B3))</f>
        <v>4</v>
      </c>
    </row>
    <row r="11" spans="1:4" x14ac:dyDescent="0.3">
      <c r="A11" s="20" t="s">
        <v>92</v>
      </c>
      <c r="B11" s="27">
        <f>(B3)/(1-B3)</f>
        <v>1</v>
      </c>
    </row>
    <row r="12" spans="1:4" x14ac:dyDescent="0.3">
      <c r="A12" s="20" t="s">
        <v>93</v>
      </c>
      <c r="B12" s="27">
        <f>(1-B3)*(B5+B6)</f>
        <v>2.5000000000000001E-2</v>
      </c>
    </row>
    <row r="14" spans="1:4" x14ac:dyDescent="0.3">
      <c r="A14" s="31" t="s">
        <v>157</v>
      </c>
      <c r="B14" s="23">
        <v>0.5</v>
      </c>
      <c r="C14" s="36"/>
    </row>
    <row r="15" spans="1:4" x14ac:dyDescent="0.3">
      <c r="A15" s="31" t="s">
        <v>94</v>
      </c>
      <c r="B15" s="32">
        <f>(B14/B4)-1</f>
        <v>1.5</v>
      </c>
      <c r="C15" s="29"/>
    </row>
    <row r="16" spans="1:4" x14ac:dyDescent="0.3">
      <c r="A16" s="31" t="s">
        <v>159</v>
      </c>
      <c r="B16" s="32">
        <f>B11*B15</f>
        <v>1.5</v>
      </c>
      <c r="C16" s="33">
        <f>B9*(1+B16)</f>
        <v>10</v>
      </c>
      <c r="D16" t="s">
        <v>137</v>
      </c>
    </row>
    <row r="17" spans="1:3" x14ac:dyDescent="0.3">
      <c r="A17" s="31" t="s">
        <v>158</v>
      </c>
      <c r="B17" s="32">
        <f>B16*B12</f>
        <v>3.7500000000000006E-2</v>
      </c>
      <c r="C17" s="29">
        <f>B9*(1+B17)</f>
        <v>4.1500000000000004</v>
      </c>
    </row>
    <row r="18" spans="1:3" x14ac:dyDescent="0.3">
      <c r="A18" s="34" t="s">
        <v>156</v>
      </c>
      <c r="B18" s="35">
        <f>70/(B12*100)</f>
        <v>28</v>
      </c>
      <c r="C18" s="35">
        <f>B9*(1+B17)^B18</f>
        <v>11.213132191701931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FD0B-EF21-45F5-BE28-0EB4D740070C}">
  <dimension ref="A1:S27"/>
  <sheetViews>
    <sheetView topLeftCell="A8" workbookViewId="0">
      <selection activeCell="D35" sqref="D35"/>
    </sheetView>
  </sheetViews>
  <sheetFormatPr defaultRowHeight="14.4" x14ac:dyDescent="0.3"/>
  <cols>
    <col min="2" max="2" width="7.33203125" customWidth="1"/>
    <col min="3" max="3" width="17.44140625" bestFit="1" customWidth="1"/>
    <col min="5" max="5" width="16.44140625" customWidth="1"/>
  </cols>
  <sheetData>
    <row r="1" spans="1:19" ht="31.2" x14ac:dyDescent="0.6">
      <c r="A1" s="2" t="s">
        <v>23</v>
      </c>
      <c r="I1" s="5"/>
    </row>
    <row r="2" spans="1:19" x14ac:dyDescent="0.3">
      <c r="I2" s="5"/>
    </row>
    <row r="3" spans="1:19" x14ac:dyDescent="0.3">
      <c r="A3" s="1" t="s">
        <v>0</v>
      </c>
      <c r="I3" s="5"/>
    </row>
    <row r="4" spans="1:19" x14ac:dyDescent="0.3">
      <c r="A4" t="s">
        <v>1</v>
      </c>
      <c r="I4" s="5"/>
    </row>
    <row r="5" spans="1:19" x14ac:dyDescent="0.3">
      <c r="A5" t="s">
        <v>2</v>
      </c>
      <c r="I5" s="5"/>
    </row>
    <row r="6" spans="1:19" x14ac:dyDescent="0.3">
      <c r="A6" s="3" t="s">
        <v>4</v>
      </c>
      <c r="I6" s="5"/>
      <c r="P6" t="s">
        <v>63</v>
      </c>
    </row>
    <row r="7" spans="1:19" x14ac:dyDescent="0.3">
      <c r="A7" t="s">
        <v>5</v>
      </c>
      <c r="I7" s="5"/>
      <c r="P7">
        <f>B18-H14</f>
        <v>-6.0732984293192932E-4</v>
      </c>
    </row>
    <row r="8" spans="1:19" x14ac:dyDescent="0.3">
      <c r="A8" t="s">
        <v>6</v>
      </c>
      <c r="I8" s="5"/>
    </row>
    <row r="9" spans="1:19" x14ac:dyDescent="0.3">
      <c r="A9" t="s">
        <v>7</v>
      </c>
      <c r="I9" s="5"/>
    </row>
    <row r="10" spans="1:19" x14ac:dyDescent="0.3">
      <c r="A10" t="s">
        <v>31</v>
      </c>
      <c r="I10" s="5"/>
    </row>
    <row r="11" spans="1:19" x14ac:dyDescent="0.3">
      <c r="F11" t="s">
        <v>89</v>
      </c>
      <c r="G11" s="5">
        <f>F17-G12</f>
        <v>2.0213218295321607</v>
      </c>
      <c r="I11" s="5"/>
    </row>
    <row r="12" spans="1:19" x14ac:dyDescent="0.3">
      <c r="A12" s="1" t="s">
        <v>8</v>
      </c>
      <c r="F12" t="s">
        <v>90</v>
      </c>
      <c r="G12" s="5">
        <f>F16*(B18)</f>
        <v>1.2494254674454457</v>
      </c>
      <c r="I12" s="13" t="s">
        <v>95</v>
      </c>
      <c r="P12" t="s">
        <v>98</v>
      </c>
      <c r="R12">
        <f>H14-B18</f>
        <v>6.0732984293192932E-4</v>
      </c>
    </row>
    <row r="13" spans="1:19" ht="16.2" x14ac:dyDescent="0.3">
      <c r="A13" s="4" t="s">
        <v>9</v>
      </c>
      <c r="B13" t="s">
        <v>10</v>
      </c>
      <c r="F13" t="s">
        <v>90</v>
      </c>
      <c r="G13">
        <f>F17*B17</f>
        <v>1.2494254674454457</v>
      </c>
      <c r="I13" s="14">
        <f>B16/H19</f>
        <v>5.7999999999999989E-2</v>
      </c>
    </row>
    <row r="14" spans="1:19" ht="16.2" x14ac:dyDescent="0.3">
      <c r="B14" t="s">
        <v>13</v>
      </c>
      <c r="C14" t="s">
        <v>64</v>
      </c>
      <c r="G14" t="s">
        <v>28</v>
      </c>
      <c r="H14">
        <f>B16*F16^(B16-1)</f>
        <v>5.8607329842931925E-2</v>
      </c>
      <c r="I14">
        <f>B16/F18</f>
        <v>5.8607329842931939E-2</v>
      </c>
      <c r="J14">
        <f>B16*(F17^((B16-1)/B16))</f>
        <v>5.8607329842931925E-2</v>
      </c>
      <c r="K14">
        <f>((B16*B18))/B17</f>
        <v>5.8607329842931932E-2</v>
      </c>
      <c r="L14" t="s">
        <v>65</v>
      </c>
      <c r="M14">
        <f>B16/(B18)</f>
        <v>6.6551724137931041</v>
      </c>
      <c r="P14" t="s">
        <v>96</v>
      </c>
      <c r="R14">
        <f>H14-B23</f>
        <v>1.8607329842931924E-2</v>
      </c>
      <c r="S14">
        <f>B16*((B22+B21+B23)/B17)-B23</f>
        <v>1.8607329842931938E-2</v>
      </c>
    </row>
    <row r="15" spans="1:19" x14ac:dyDescent="0.3">
      <c r="G15" t="s">
        <v>91</v>
      </c>
      <c r="H15" s="15">
        <f>F16^(B16-1)</f>
        <v>0.15183246073298426</v>
      </c>
      <c r="L15" t="s">
        <v>19</v>
      </c>
      <c r="M15">
        <f>B18*F18</f>
        <v>0.38199999999999995</v>
      </c>
      <c r="P15" t="s">
        <v>97</v>
      </c>
      <c r="R15">
        <f>R14-B22-B21</f>
        <v>6.0732984293192585E-4</v>
      </c>
    </row>
    <row r="16" spans="1:19" x14ac:dyDescent="0.3">
      <c r="A16" t="s">
        <v>11</v>
      </c>
      <c r="B16" s="15">
        <v>0.38600000000000001</v>
      </c>
      <c r="E16" t="s">
        <v>21</v>
      </c>
      <c r="F16">
        <f>(B17/B18)^(1/(1-B16))</f>
        <v>21.541818404231822</v>
      </c>
      <c r="G16" t="s">
        <v>24</v>
      </c>
      <c r="H16">
        <f>H14/H15</f>
        <v>0.38600000000000001</v>
      </c>
      <c r="L16" t="s">
        <v>66</v>
      </c>
      <c r="M16">
        <f>(B18)*((B16)/B18)</f>
        <v>0.38600000000000001</v>
      </c>
      <c r="N16">
        <f>B18*H19</f>
        <v>0.38600000000000007</v>
      </c>
    </row>
    <row r="17" spans="1:13" x14ac:dyDescent="0.3">
      <c r="A17" t="s">
        <v>19</v>
      </c>
      <c r="B17">
        <v>0.38200000000000001</v>
      </c>
      <c r="E17" t="s">
        <v>22</v>
      </c>
      <c r="F17">
        <f>(B17/B18)^(B16/(1-B16))</f>
        <v>3.2707472969776066</v>
      </c>
      <c r="G17" t="s">
        <v>25</v>
      </c>
      <c r="H17">
        <f>(B16/B18)^(1/(1-B16))</f>
        <v>21.91040189886894</v>
      </c>
      <c r="M17">
        <f>(H17*I13)/H18</f>
        <v>0.38600000000000001</v>
      </c>
    </row>
    <row r="18" spans="1:13" x14ac:dyDescent="0.3">
      <c r="A18" t="s">
        <v>27</v>
      </c>
      <c r="B18">
        <f>B21+B22+B23</f>
        <v>5.7999999999999996E-2</v>
      </c>
      <c r="E18" t="s">
        <v>62</v>
      </c>
      <c r="F18">
        <f>F16/F17</f>
        <v>6.5862068965517242</v>
      </c>
      <c r="G18" t="s">
        <v>26</v>
      </c>
      <c r="H18">
        <f>(B16/B18)^(B16/(1-B16))</f>
        <v>3.2922365547523271</v>
      </c>
      <c r="I18">
        <f>H18-F17</f>
        <v>2.1489257774720549E-2</v>
      </c>
    </row>
    <row r="19" spans="1:13" x14ac:dyDescent="0.3">
      <c r="A19" t="s">
        <v>20</v>
      </c>
      <c r="B19">
        <v>1</v>
      </c>
      <c r="F19">
        <f>B17/B18</f>
        <v>6.5862068965517251</v>
      </c>
      <c r="G19" t="s">
        <v>67</v>
      </c>
      <c r="H19">
        <f>H17/H18</f>
        <v>6.655172413793105</v>
      </c>
      <c r="I19" s="5"/>
    </row>
    <row r="21" spans="1:13" x14ac:dyDescent="0.3">
      <c r="A21" t="s">
        <v>39</v>
      </c>
      <c r="B21">
        <v>0</v>
      </c>
    </row>
    <row r="22" spans="1:13" x14ac:dyDescent="0.3">
      <c r="A22" t="s">
        <v>87</v>
      </c>
      <c r="B22">
        <v>1.7999999999999999E-2</v>
      </c>
    </row>
    <row r="23" spans="1:13" x14ac:dyDescent="0.3">
      <c r="A23" t="s">
        <v>54</v>
      </c>
      <c r="B23">
        <v>0.04</v>
      </c>
      <c r="E23" t="s">
        <v>113</v>
      </c>
      <c r="F23">
        <f>-1*(B16*((B18)/(B17*B17)))</f>
        <v>-0.15342232943175899</v>
      </c>
      <c r="H23" s="1" t="s">
        <v>116</v>
      </c>
    </row>
    <row r="24" spans="1:13" x14ac:dyDescent="0.3">
      <c r="A24" t="s">
        <v>100</v>
      </c>
      <c r="B24">
        <f>H14-B23</f>
        <v>1.8607329842931924E-2</v>
      </c>
      <c r="E24" t="s">
        <v>99</v>
      </c>
      <c r="F24">
        <f>B16/B17</f>
        <v>1.0104712041884816</v>
      </c>
      <c r="H24">
        <f>F23</f>
        <v>-0.15342232943175899</v>
      </c>
      <c r="I24" s="1" t="s">
        <v>115</v>
      </c>
    </row>
    <row r="26" spans="1:13" x14ac:dyDescent="0.3">
      <c r="H26" s="1" t="s">
        <v>114</v>
      </c>
    </row>
    <row r="27" spans="1:13" x14ac:dyDescent="0.3">
      <c r="H27" s="15">
        <f>F24</f>
        <v>1.0104712041884816</v>
      </c>
      <c r="I27" s="1" t="s">
        <v>115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CF97-2CAB-4ABB-8A97-6643A383C9A2}">
  <dimension ref="A1:P45"/>
  <sheetViews>
    <sheetView workbookViewId="0">
      <selection activeCell="G11" sqref="G11"/>
    </sheetView>
  </sheetViews>
  <sheetFormatPr defaultRowHeight="14.4" x14ac:dyDescent="0.3"/>
  <cols>
    <col min="6" max="6" width="10" bestFit="1" customWidth="1"/>
  </cols>
  <sheetData>
    <row r="1" spans="1:9" ht="31.2" x14ac:dyDescent="0.6">
      <c r="A1" s="2" t="s">
        <v>101</v>
      </c>
      <c r="I1" s="5"/>
    </row>
    <row r="2" spans="1:9" x14ac:dyDescent="0.3">
      <c r="I2" s="5"/>
    </row>
    <row r="3" spans="1:9" x14ac:dyDescent="0.3">
      <c r="A3" s="1" t="s">
        <v>0</v>
      </c>
      <c r="I3" s="5"/>
    </row>
    <row r="4" spans="1:9" x14ac:dyDescent="0.3">
      <c r="A4" t="s">
        <v>1</v>
      </c>
      <c r="I4" s="5"/>
    </row>
    <row r="5" spans="1:9" x14ac:dyDescent="0.3">
      <c r="A5" t="s">
        <v>2</v>
      </c>
    </row>
    <row r="6" spans="1:9" x14ac:dyDescent="0.3">
      <c r="A6" s="3" t="s">
        <v>4</v>
      </c>
    </row>
    <row r="7" spans="1:9" x14ac:dyDescent="0.3">
      <c r="A7" t="s">
        <v>5</v>
      </c>
    </row>
    <row r="8" spans="1:9" x14ac:dyDescent="0.3">
      <c r="A8" t="s">
        <v>6</v>
      </c>
    </row>
    <row r="9" spans="1:9" x14ac:dyDescent="0.3">
      <c r="A9" t="s">
        <v>7</v>
      </c>
    </row>
    <row r="10" spans="1:9" x14ac:dyDescent="0.3">
      <c r="A10" t="s">
        <v>31</v>
      </c>
    </row>
    <row r="12" spans="1:9" x14ac:dyDescent="0.3">
      <c r="A12" s="1" t="s">
        <v>8</v>
      </c>
    </row>
    <row r="13" spans="1:9" ht="16.2" x14ac:dyDescent="0.3">
      <c r="A13" s="4" t="s">
        <v>9</v>
      </c>
      <c r="B13" t="s">
        <v>10</v>
      </c>
    </row>
    <row r="14" spans="1:9" ht="16.2" x14ac:dyDescent="0.3">
      <c r="B14" t="s">
        <v>13</v>
      </c>
      <c r="C14" t="s">
        <v>64</v>
      </c>
    </row>
    <row r="16" spans="1:9" x14ac:dyDescent="0.3">
      <c r="A16" t="s">
        <v>11</v>
      </c>
      <c r="B16">
        <f>1/3</f>
        <v>0.33333333333333331</v>
      </c>
      <c r="E16" s="11" t="s">
        <v>108</v>
      </c>
      <c r="F16">
        <f>((1-B23)*B25)/(1-B23*B25)</f>
        <v>1.4347826086956523</v>
      </c>
      <c r="I16">
        <f>F19-B19-B18</f>
        <v>1.3492063492063482E-2</v>
      </c>
    </row>
    <row r="17" spans="1:16" x14ac:dyDescent="0.3">
      <c r="A17" t="s">
        <v>19</v>
      </c>
      <c r="B17">
        <v>0.5</v>
      </c>
      <c r="E17" s="3" t="s">
        <v>105</v>
      </c>
      <c r="F17">
        <f>((1-B22)/B21)-B20</f>
        <v>6.1111111111111088E-2</v>
      </c>
    </row>
    <row r="18" spans="1:16" x14ac:dyDescent="0.3">
      <c r="A18" s="3" t="s">
        <v>87</v>
      </c>
      <c r="B18">
        <v>0.02</v>
      </c>
      <c r="E18" s="3" t="s">
        <v>107</v>
      </c>
      <c r="F18">
        <f>F16*(((F17-B18)/B24)+B18+B20)</f>
        <v>0.1341407867494824</v>
      </c>
    </row>
    <row r="19" spans="1:16" x14ac:dyDescent="0.3">
      <c r="A19" s="3" t="s">
        <v>39</v>
      </c>
      <c r="B19">
        <v>0.01</v>
      </c>
      <c r="E19" s="3" t="s">
        <v>109</v>
      </c>
      <c r="F19">
        <f>(F18/F16)-B20</f>
        <v>4.3492063492063485E-2</v>
      </c>
    </row>
    <row r="20" spans="1:16" x14ac:dyDescent="0.3">
      <c r="A20" t="s">
        <v>54</v>
      </c>
      <c r="B20">
        <v>0.05</v>
      </c>
      <c r="E20" s="3" t="s">
        <v>110</v>
      </c>
      <c r="F20">
        <f>(B24-1)*(F19-B18)*B21</f>
        <v>5.2857142857142839E-2</v>
      </c>
      <c r="G20">
        <f>F20*(1-B23)</f>
        <v>2.9071428571428564E-2</v>
      </c>
      <c r="H20" t="s">
        <v>112</v>
      </c>
    </row>
    <row r="21" spans="1:16" x14ac:dyDescent="0.3">
      <c r="A21" t="s">
        <v>106</v>
      </c>
      <c r="B21">
        <v>3</v>
      </c>
      <c r="E21" s="3" t="s">
        <v>111</v>
      </c>
      <c r="F21">
        <f>(1-(1/F16)-F20)/B22</f>
        <v>0.37525974025974035</v>
      </c>
    </row>
    <row r="22" spans="1:16" x14ac:dyDescent="0.3">
      <c r="A22" s="11" t="s">
        <v>76</v>
      </c>
      <c r="B22">
        <f>1-B16</f>
        <v>0.66666666666666674</v>
      </c>
    </row>
    <row r="23" spans="1:16" x14ac:dyDescent="0.3">
      <c r="A23" s="11" t="s">
        <v>103</v>
      </c>
      <c r="B23">
        <v>0.45</v>
      </c>
    </row>
    <row r="24" spans="1:16" x14ac:dyDescent="0.3">
      <c r="A24" s="16" t="s">
        <v>104</v>
      </c>
      <c r="B24">
        <v>1.75</v>
      </c>
    </row>
    <row r="25" spans="1:16" x14ac:dyDescent="0.3">
      <c r="A25" s="11" t="s">
        <v>75</v>
      </c>
      <c r="B25">
        <v>1.2</v>
      </c>
    </row>
    <row r="30" spans="1:16" x14ac:dyDescent="0.3">
      <c r="A30" t="s">
        <v>20</v>
      </c>
      <c r="B30">
        <v>1</v>
      </c>
      <c r="I30" s="5"/>
    </row>
    <row r="31" spans="1:16" x14ac:dyDescent="0.3">
      <c r="I31" s="5"/>
      <c r="P31" t="s">
        <v>63</v>
      </c>
    </row>
    <row r="32" spans="1:16" x14ac:dyDescent="0.3">
      <c r="I32" s="5"/>
      <c r="P32">
        <f>B18-H39</f>
        <v>6.666666666666661E-3</v>
      </c>
    </row>
    <row r="33" spans="5:16" x14ac:dyDescent="0.3">
      <c r="I33" s="5"/>
    </row>
    <row r="34" spans="5:16" x14ac:dyDescent="0.3">
      <c r="I34" s="5"/>
    </row>
    <row r="35" spans="5:16" x14ac:dyDescent="0.3">
      <c r="I35" s="5"/>
    </row>
    <row r="36" spans="5:16" x14ac:dyDescent="0.3">
      <c r="F36" t="s">
        <v>89</v>
      </c>
      <c r="G36" s="5">
        <f>F42-G37</f>
        <v>2.5000000000000009</v>
      </c>
      <c r="I36" s="5"/>
    </row>
    <row r="37" spans="5:16" x14ac:dyDescent="0.3">
      <c r="F37" t="s">
        <v>90</v>
      </c>
      <c r="G37" s="5">
        <f>F41*(B18)</f>
        <v>2.4999999999999964</v>
      </c>
      <c r="I37" s="13" t="s">
        <v>95</v>
      </c>
    </row>
    <row r="38" spans="5:16" x14ac:dyDescent="0.3">
      <c r="F38" t="s">
        <v>90</v>
      </c>
      <c r="G38">
        <f>F42*B17</f>
        <v>2.4999999999999987</v>
      </c>
      <c r="I38" s="14">
        <f>B16/H45</f>
        <v>2.0000000000000007E-2</v>
      </c>
    </row>
    <row r="39" spans="5:16" x14ac:dyDescent="0.3">
      <c r="G39" t="s">
        <v>28</v>
      </c>
      <c r="H39">
        <f>B16*F41^(B16-1)</f>
        <v>1.3333333333333339E-2</v>
      </c>
      <c r="I39">
        <f>B16/F43</f>
        <v>1.3333333333333345E-2</v>
      </c>
      <c r="J39">
        <f>B16*(F42^((B16-1)/B16))</f>
        <v>1.3333333333333336E-2</v>
      </c>
      <c r="K39">
        <f>((B16*B18))/B17</f>
        <v>1.3333333333333332E-2</v>
      </c>
      <c r="L39" t="s">
        <v>65</v>
      </c>
      <c r="M39">
        <f>B16/(B18)</f>
        <v>16.666666666666664</v>
      </c>
      <c r="P39" t="s">
        <v>96</v>
      </c>
    </row>
    <row r="40" spans="5:16" x14ac:dyDescent="0.3">
      <c r="G40" t="s">
        <v>91</v>
      </c>
      <c r="H40">
        <f>F41^(B16-1)</f>
        <v>4.0000000000000022E-2</v>
      </c>
      <c r="L40" t="s">
        <v>19</v>
      </c>
      <c r="M40">
        <f>B18*F43</f>
        <v>0.49999999999999961</v>
      </c>
      <c r="P40" t="s">
        <v>97</v>
      </c>
    </row>
    <row r="41" spans="5:16" x14ac:dyDescent="0.3">
      <c r="E41" t="s">
        <v>21</v>
      </c>
      <c r="F41">
        <f>(B17/B18)^(1/(1-B16))</f>
        <v>124.99999999999983</v>
      </c>
      <c r="G41" t="s">
        <v>24</v>
      </c>
      <c r="H41">
        <f>H39/H40</f>
        <v>0.33333333333333331</v>
      </c>
      <c r="L41" t="s">
        <v>66</v>
      </c>
      <c r="M41">
        <f>(B18)*((B16)/B18)</f>
        <v>0.33333333333333331</v>
      </c>
      <c r="N41">
        <f>B18*H45</f>
        <v>0.3333333333333332</v>
      </c>
    </row>
    <row r="42" spans="5:16" x14ac:dyDescent="0.3">
      <c r="E42" t="s">
        <v>22</v>
      </c>
      <c r="F42">
        <f>(B17/B18)^(B16/(1-B16))</f>
        <v>4.9999999999999973</v>
      </c>
      <c r="G42" t="s">
        <v>25</v>
      </c>
      <c r="H42">
        <f>(B16/B18)^(1/(1-B16))</f>
        <v>68.041381743977141</v>
      </c>
      <c r="M42">
        <f>(H42*I38)/H43</f>
        <v>0.33333333333333337</v>
      </c>
    </row>
    <row r="43" spans="5:16" x14ac:dyDescent="0.3">
      <c r="E43" t="s">
        <v>62</v>
      </c>
      <c r="F43">
        <f>F41/F42</f>
        <v>24.999999999999979</v>
      </c>
      <c r="G43" t="s">
        <v>26</v>
      </c>
      <c r="H43">
        <f>(B16/B18)^(B16/(1-B16))</f>
        <v>4.0824829046386295</v>
      </c>
      <c r="I43">
        <f>H43-F42</f>
        <v>-0.91751709536136783</v>
      </c>
    </row>
    <row r="45" spans="5:16" x14ac:dyDescent="0.3">
      <c r="F45">
        <f>B17/B18</f>
        <v>25</v>
      </c>
      <c r="G45" t="s">
        <v>67</v>
      </c>
      <c r="H45">
        <f>H42/H43</f>
        <v>16.666666666666661</v>
      </c>
      <c r="I45" s="5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topLeftCell="A4" workbookViewId="0">
      <selection activeCell="I20" sqref="I20"/>
    </sheetView>
  </sheetViews>
  <sheetFormatPr defaultRowHeight="14.4" x14ac:dyDescent="0.3"/>
  <cols>
    <col min="3" max="3" width="9.5546875" customWidth="1"/>
    <col min="4" max="4" width="9.33203125" bestFit="1" customWidth="1"/>
    <col min="5" max="5" width="12.109375" bestFit="1" customWidth="1"/>
    <col min="6" max="6" width="12.109375" customWidth="1"/>
    <col min="7" max="7" width="9.5546875" bestFit="1" customWidth="1"/>
    <col min="8" max="8" width="9.5546875" customWidth="1"/>
    <col min="9" max="9" width="9.33203125" bestFit="1" customWidth="1"/>
    <col min="10" max="12" width="9.33203125" customWidth="1"/>
    <col min="13" max="13" width="9.33203125" bestFit="1" customWidth="1"/>
  </cols>
  <sheetData>
    <row r="1" spans="1:18" ht="31.2" x14ac:dyDescent="0.6">
      <c r="A1" s="2" t="s">
        <v>86</v>
      </c>
      <c r="B1" s="2"/>
      <c r="R1" s="5"/>
    </row>
    <row r="2" spans="1:18" x14ac:dyDescent="0.3">
      <c r="R2" s="5"/>
    </row>
    <row r="3" spans="1:18" ht="21" x14ac:dyDescent="0.4">
      <c r="A3" s="1" t="s">
        <v>0</v>
      </c>
      <c r="B3" s="1"/>
      <c r="F3" s="12" t="s">
        <v>85</v>
      </c>
      <c r="R3" s="5"/>
    </row>
    <row r="4" spans="1:18" x14ac:dyDescent="0.3">
      <c r="A4" t="s">
        <v>1</v>
      </c>
      <c r="R4" s="5"/>
    </row>
    <row r="5" spans="1:18" x14ac:dyDescent="0.3">
      <c r="A5" t="s">
        <v>2</v>
      </c>
      <c r="R5" s="5"/>
    </row>
    <row r="6" spans="1:18" x14ac:dyDescent="0.3">
      <c r="A6" s="3" t="s">
        <v>4</v>
      </c>
      <c r="B6" s="3"/>
      <c r="R6" s="5"/>
    </row>
    <row r="7" spans="1:18" x14ac:dyDescent="0.3">
      <c r="A7" t="s">
        <v>5</v>
      </c>
      <c r="R7" s="5"/>
    </row>
    <row r="8" spans="1:18" x14ac:dyDescent="0.3">
      <c r="A8" t="s">
        <v>6</v>
      </c>
      <c r="R8" s="5"/>
    </row>
    <row r="9" spans="1:18" x14ac:dyDescent="0.3">
      <c r="A9" t="s">
        <v>7</v>
      </c>
      <c r="R9" s="5"/>
    </row>
    <row r="10" spans="1:18" x14ac:dyDescent="0.3">
      <c r="A10" t="s">
        <v>31</v>
      </c>
      <c r="R10" s="5"/>
    </row>
    <row r="11" spans="1:18" x14ac:dyDescent="0.3">
      <c r="R11" s="5"/>
    </row>
    <row r="12" spans="1:18" x14ac:dyDescent="0.3">
      <c r="A12" s="1" t="s">
        <v>8</v>
      </c>
      <c r="B12" s="1"/>
      <c r="R12" s="5"/>
    </row>
    <row r="13" spans="1:18" ht="16.2" x14ac:dyDescent="0.3">
      <c r="A13" s="4" t="s">
        <v>9</v>
      </c>
      <c r="B13" s="4"/>
      <c r="C13" t="s">
        <v>83</v>
      </c>
      <c r="R13" s="5"/>
    </row>
    <row r="14" spans="1:18" ht="16.2" x14ac:dyDescent="0.3">
      <c r="C14" t="s">
        <v>84</v>
      </c>
      <c r="R14" s="5"/>
    </row>
    <row r="15" spans="1:18" x14ac:dyDescent="0.3">
      <c r="R15" s="5"/>
    </row>
    <row r="16" spans="1:18" x14ac:dyDescent="0.3">
      <c r="A16" t="s">
        <v>39</v>
      </c>
      <c r="C16">
        <v>0.02</v>
      </c>
      <c r="G16">
        <v>10</v>
      </c>
      <c r="R16" s="5"/>
    </row>
    <row r="17" spans="1:19" x14ac:dyDescent="0.3">
      <c r="A17" t="s">
        <v>53</v>
      </c>
      <c r="C17">
        <v>1</v>
      </c>
      <c r="R17" s="5"/>
    </row>
    <row r="18" spans="1:19" x14ac:dyDescent="0.3">
      <c r="A18" t="s">
        <v>87</v>
      </c>
      <c r="C18">
        <v>0.02</v>
      </c>
      <c r="R18" s="5"/>
    </row>
    <row r="19" spans="1:19" x14ac:dyDescent="0.3">
      <c r="A19" t="s">
        <v>11</v>
      </c>
      <c r="C19">
        <v>0.5</v>
      </c>
      <c r="H19" t="s">
        <v>21</v>
      </c>
      <c r="I19">
        <f>(((1-C19)*C17)/(1+C16)*(2+C22))^(1/(1-C19))</f>
        <v>0.96116878123798533</v>
      </c>
      <c r="R19">
        <f>(1-C19)/((1+C16)*(2+C22))</f>
        <v>0.24509803921568626</v>
      </c>
      <c r="S19">
        <f>C19/(C23)</f>
        <v>16.666666666666668</v>
      </c>
    </row>
    <row r="20" spans="1:19" x14ac:dyDescent="0.3">
      <c r="A20" t="s">
        <v>19</v>
      </c>
      <c r="C20">
        <v>0.5</v>
      </c>
      <c r="H20" t="s">
        <v>22</v>
      </c>
      <c r="I20">
        <f>C17*(((1-C19)*C17)/(1+C16)*(2+C22))^(C19/(1-C19))</f>
        <v>0.98039215686274506</v>
      </c>
      <c r="M20">
        <f>C17*(I19^C19)</f>
        <v>0.98039215686274506</v>
      </c>
      <c r="R20" s="5"/>
    </row>
    <row r="21" spans="1:19" x14ac:dyDescent="0.3">
      <c r="A21" t="s">
        <v>82</v>
      </c>
      <c r="H21" t="s">
        <v>62</v>
      </c>
      <c r="I21">
        <f>I19/I20</f>
        <v>0.98039215686274506</v>
      </c>
      <c r="R21" s="5"/>
    </row>
    <row r="22" spans="1:19" x14ac:dyDescent="0.3">
      <c r="A22" s="10" t="s">
        <v>61</v>
      </c>
      <c r="B22" s="10"/>
      <c r="C22">
        <v>0</v>
      </c>
      <c r="H22" t="s">
        <v>28</v>
      </c>
      <c r="I22">
        <f>C19*((1+C16)*(2+C22))/((1-C19)*C17)</f>
        <v>2.04</v>
      </c>
      <c r="M22">
        <f>C19/I21</f>
        <v>0.51</v>
      </c>
      <c r="N22">
        <f>(1-C19)/((1+C16)*(2+C22))</f>
        <v>0.24509803921568626</v>
      </c>
      <c r="R22" s="5"/>
    </row>
    <row r="23" spans="1:19" x14ac:dyDescent="0.3">
      <c r="A23" t="s">
        <v>27</v>
      </c>
      <c r="C23">
        <v>0.03</v>
      </c>
      <c r="H23" t="s">
        <v>25</v>
      </c>
      <c r="I23">
        <f>(C19*C17/(C23))^(1/(1-C19))</f>
        <v>277.77777777777783</v>
      </c>
      <c r="R23" s="5"/>
    </row>
    <row r="24" spans="1:19" x14ac:dyDescent="0.3">
      <c r="A24" t="s">
        <v>20</v>
      </c>
      <c r="C24">
        <v>1</v>
      </c>
      <c r="R24" s="5"/>
    </row>
    <row r="25" spans="1:19" x14ac:dyDescent="0.3">
      <c r="R25" s="5"/>
    </row>
    <row r="26" spans="1:19" x14ac:dyDescent="0.3">
      <c r="A26" s="1" t="s">
        <v>14</v>
      </c>
      <c r="B26" s="1"/>
      <c r="C26" s="1" t="s">
        <v>19</v>
      </c>
      <c r="D26" s="1" t="s">
        <v>46</v>
      </c>
      <c r="E26" s="1" t="s">
        <v>12</v>
      </c>
      <c r="F26" s="1"/>
      <c r="G26" s="1" t="s">
        <v>44</v>
      </c>
      <c r="H26" s="1"/>
      <c r="I26" s="1" t="s">
        <v>3</v>
      </c>
      <c r="J26" s="1" t="s">
        <v>82</v>
      </c>
      <c r="K26" s="1" t="s">
        <v>88</v>
      </c>
      <c r="L26" s="1" t="s">
        <v>16</v>
      </c>
      <c r="M26" s="1" t="s">
        <v>58</v>
      </c>
      <c r="N26" s="1" t="s">
        <v>15</v>
      </c>
      <c r="O26" s="1" t="s">
        <v>16</v>
      </c>
      <c r="P26" s="1" t="s">
        <v>17</v>
      </c>
      <c r="Q26" s="1" t="s">
        <v>18</v>
      </c>
      <c r="R26" s="6" t="s">
        <v>28</v>
      </c>
    </row>
    <row r="27" spans="1:19" x14ac:dyDescent="0.3">
      <c r="A27">
        <v>1</v>
      </c>
      <c r="B27">
        <f>(1-$C$19)*$C$17*I27</f>
        <v>0.49507377148833714</v>
      </c>
      <c r="C27" s="5">
        <f>B27/(2+$C$22)</f>
        <v>0.24753688574416857</v>
      </c>
      <c r="D27" s="5">
        <v>100</v>
      </c>
      <c r="E27" s="5">
        <v>1</v>
      </c>
      <c r="F27" s="5">
        <v>10</v>
      </c>
      <c r="G27" s="5">
        <f>G16</f>
        <v>10</v>
      </c>
      <c r="H27" s="5"/>
      <c r="I27" s="5">
        <f>((1/(1+C16))^C19)*E27^C19</f>
        <v>0.99014754297667429</v>
      </c>
      <c r="J27" s="5">
        <f>(1-C19)*I27</f>
        <v>0.49507377148833714</v>
      </c>
      <c r="K27" s="5">
        <f>C19*(1/(1+C16))^(C19-1)*E27^(C19-1)</f>
        <v>0.50497524691810391</v>
      </c>
      <c r="L27" s="5">
        <f>I27-J27</f>
        <v>0.49507377148833714</v>
      </c>
      <c r="M27" s="5">
        <f t="shared" ref="M27:M66" si="0">$C$17*E27^($C$19)</f>
        <v>1</v>
      </c>
      <c r="N27" s="5" t="e">
        <f>(1-$C$20)*#REF!</f>
        <v>#REF!</v>
      </c>
      <c r="O27" s="5"/>
      <c r="P27" s="5"/>
      <c r="Q27" s="5"/>
      <c r="R27" s="5"/>
      <c r="S27" s="5"/>
    </row>
    <row r="28" spans="1:19" x14ac:dyDescent="0.3">
      <c r="A28">
        <v>2</v>
      </c>
      <c r="B28" t="e">
        <f t="shared" ref="B28:B66" si="1">(1-$C$19)*$C$17*I28</f>
        <v>#REF!</v>
      </c>
      <c r="C28" s="5" t="e">
        <f t="shared" ref="C28:C66" si="2">$B$28/(2+$C$22)</f>
        <v>#REF!</v>
      </c>
      <c r="D28" s="5" t="e">
        <f>G27*#REF!*$C$20</f>
        <v>#REF!</v>
      </c>
      <c r="E28" s="5">
        <f t="shared" ref="E28:E66" si="3">((1-$C$19)*$C$17*E27^($C$19))/((1+$C$16)*(2+$C$22))</f>
        <v>0.24509803921568626</v>
      </c>
      <c r="F28" s="5">
        <f>C27/(1+$C$16)</f>
        <v>0.24268322131781231</v>
      </c>
      <c r="G28" s="5">
        <f t="shared" ref="G28:G66" si="4">(1+$C$16)*G27</f>
        <v>10.199999999999999</v>
      </c>
      <c r="H28" s="5"/>
      <c r="I28" s="5" t="e">
        <f>#REF!/G28</f>
        <v>#REF!</v>
      </c>
      <c r="J28" s="5"/>
      <c r="K28" s="5"/>
      <c r="L28" s="5"/>
      <c r="M28" s="5">
        <f t="shared" si="0"/>
        <v>0.49507377148833714</v>
      </c>
      <c r="N28" s="5" t="e">
        <f>(1-$C$20)*#REF!</f>
        <v>#REF!</v>
      </c>
      <c r="O28" s="5"/>
      <c r="P28" s="5"/>
      <c r="Q28" s="5"/>
      <c r="R28" s="5"/>
      <c r="S28" s="5"/>
    </row>
    <row r="29" spans="1:19" x14ac:dyDescent="0.3">
      <c r="A29">
        <v>3</v>
      </c>
      <c r="B29" t="e">
        <f t="shared" si="1"/>
        <v>#REF!</v>
      </c>
      <c r="C29" s="5" t="e">
        <f t="shared" si="2"/>
        <v>#REF!</v>
      </c>
      <c r="D29" s="5" t="e">
        <f>G28*#REF!*$C$20</f>
        <v>#REF!</v>
      </c>
      <c r="E29" s="5">
        <f t="shared" si="3"/>
        <v>0.12134161065890615</v>
      </c>
      <c r="F29" s="5" t="e">
        <f>C28/(1+$C$16)</f>
        <v>#REF!</v>
      </c>
      <c r="G29" s="5">
        <f t="shared" si="4"/>
        <v>10.404</v>
      </c>
      <c r="H29" s="5"/>
      <c r="I29" s="5" t="e">
        <f>#REF!/G29</f>
        <v>#REF!</v>
      </c>
      <c r="J29" s="5"/>
      <c r="K29" s="5"/>
      <c r="L29" s="5"/>
      <c r="M29" s="5">
        <f t="shared" si="0"/>
        <v>0.34834122733162975</v>
      </c>
      <c r="N29" s="5" t="e">
        <f>(1-$C$20)*#REF!</f>
        <v>#REF!</v>
      </c>
      <c r="O29" s="5"/>
      <c r="P29" s="5"/>
      <c r="Q29" s="5"/>
      <c r="R29" s="5"/>
      <c r="S29" s="5"/>
    </row>
    <row r="30" spans="1:19" x14ac:dyDescent="0.3">
      <c r="A30">
        <v>4</v>
      </c>
      <c r="B30" t="e">
        <f t="shared" si="1"/>
        <v>#REF!</v>
      </c>
      <c r="C30" s="5" t="e">
        <f t="shared" si="2"/>
        <v>#REF!</v>
      </c>
      <c r="D30" s="5" t="e">
        <f>G29*#REF!*$C$20</f>
        <v>#REF!</v>
      </c>
      <c r="E30" s="5">
        <f t="shared" si="3"/>
        <v>8.5377751796968077E-2</v>
      </c>
      <c r="F30" s="5" t="e">
        <f t="shared" ref="F30:F65" si="5">C29/(1+$C$16)</f>
        <v>#REF!</v>
      </c>
      <c r="G30" s="5">
        <f t="shared" si="4"/>
        <v>10.612080000000001</v>
      </c>
      <c r="H30" s="5"/>
      <c r="I30" s="5" t="e">
        <f>#REF!/G30</f>
        <v>#REF!</v>
      </c>
      <c r="J30" s="5"/>
      <c r="K30" s="5"/>
      <c r="L30" s="5"/>
      <c r="M30" s="5">
        <f t="shared" si="0"/>
        <v>0.29219471555277671</v>
      </c>
      <c r="N30" s="5" t="e">
        <f>(1-$C$20)*#REF!</f>
        <v>#REF!</v>
      </c>
      <c r="O30" s="5"/>
      <c r="P30" s="5"/>
      <c r="Q30" s="5"/>
      <c r="R30" s="5"/>
      <c r="S30" s="5"/>
    </row>
    <row r="31" spans="1:19" x14ac:dyDescent="0.3">
      <c r="A31">
        <v>5</v>
      </c>
      <c r="B31" t="e">
        <f>(1-$C$19)*$C$17*I31</f>
        <v>#REF!</v>
      </c>
      <c r="C31" s="5" t="e">
        <f t="shared" si="2"/>
        <v>#REF!</v>
      </c>
      <c r="D31" s="5" t="e">
        <f>G30*#REF!*$C$20</f>
        <v>#REF!</v>
      </c>
      <c r="E31" s="5">
        <f t="shared" si="3"/>
        <v>7.1616351851170754E-2</v>
      </c>
      <c r="F31" s="5" t="e">
        <f t="shared" si="5"/>
        <v>#REF!</v>
      </c>
      <c r="G31" s="5">
        <f t="shared" si="4"/>
        <v>10.824321600000001</v>
      </c>
      <c r="H31" s="5"/>
      <c r="I31" s="5" t="e">
        <f>#REF!/G31</f>
        <v>#REF!</v>
      </c>
      <c r="J31" s="5"/>
      <c r="K31" s="5"/>
      <c r="L31" s="5"/>
      <c r="M31" s="5">
        <f t="shared" si="0"/>
        <v>0.26761231632936994</v>
      </c>
      <c r="N31" s="5" t="e">
        <f>(1-$C$20)*#REF!</f>
        <v>#REF!</v>
      </c>
      <c r="O31" s="5"/>
      <c r="P31" s="5"/>
      <c r="Q31" s="5"/>
      <c r="R31" s="5"/>
      <c r="S31" s="5"/>
    </row>
    <row r="32" spans="1:19" x14ac:dyDescent="0.3">
      <c r="A32">
        <v>6</v>
      </c>
      <c r="B32" t="e">
        <f t="shared" si="1"/>
        <v>#REF!</v>
      </c>
      <c r="C32" s="5" t="e">
        <f t="shared" si="2"/>
        <v>#REF!</v>
      </c>
      <c r="D32" s="5" t="e">
        <f>G31*#REF!*$C$20</f>
        <v>#REF!</v>
      </c>
      <c r="E32" s="5">
        <f t="shared" si="3"/>
        <v>6.5591254002296553E-2</v>
      </c>
      <c r="F32" s="5" t="e">
        <f t="shared" si="5"/>
        <v>#REF!</v>
      </c>
      <c r="G32" s="5">
        <f t="shared" si="4"/>
        <v>11.040808032000001</v>
      </c>
      <c r="H32" s="5"/>
      <c r="I32" s="5" t="e">
        <f>#REF!/G32</f>
        <v>#REF!</v>
      </c>
      <c r="J32" s="5"/>
      <c r="K32" s="5"/>
      <c r="L32" s="5"/>
      <c r="M32" s="5">
        <f t="shared" si="0"/>
        <v>0.25610789523616129</v>
      </c>
      <c r="N32" s="5" t="e">
        <f>(1-$C$20)*#REF!</f>
        <v>#REF!</v>
      </c>
      <c r="O32" s="5"/>
      <c r="P32" s="5"/>
      <c r="Q32" s="5"/>
      <c r="R32" s="5"/>
      <c r="S32" s="5"/>
    </row>
    <row r="33" spans="1:19" x14ac:dyDescent="0.3">
      <c r="A33">
        <v>7</v>
      </c>
      <c r="B33" t="e">
        <f t="shared" si="1"/>
        <v>#REF!</v>
      </c>
      <c r="C33" s="5" t="e">
        <f t="shared" si="2"/>
        <v>#REF!</v>
      </c>
      <c r="D33" s="5" t="e">
        <f>G32*#REF!*$C$20</f>
        <v>#REF!</v>
      </c>
      <c r="E33" s="5">
        <f t="shared" si="3"/>
        <v>6.2771542950039533E-2</v>
      </c>
      <c r="F33" s="5" t="e">
        <f t="shared" si="5"/>
        <v>#REF!</v>
      </c>
      <c r="G33" s="5">
        <f t="shared" si="4"/>
        <v>11.261624192640001</v>
      </c>
      <c r="H33" s="5"/>
      <c r="I33" s="5" t="e">
        <f>#REF!/G33</f>
        <v>#REF!</v>
      </c>
      <c r="J33" s="5"/>
      <c r="K33" s="5"/>
      <c r="L33" s="5"/>
      <c r="M33" s="5">
        <f t="shared" si="0"/>
        <v>0.25054249729345224</v>
      </c>
      <c r="N33" s="5" t="e">
        <f>(1-$C$20)*#REF!</f>
        <v>#REF!</v>
      </c>
      <c r="O33" s="5"/>
      <c r="P33" s="5"/>
      <c r="Q33" s="5"/>
      <c r="R33" s="5"/>
      <c r="S33" s="5"/>
    </row>
    <row r="34" spans="1:19" x14ac:dyDescent="0.3">
      <c r="A34">
        <v>8</v>
      </c>
      <c r="B34" t="e">
        <f t="shared" si="1"/>
        <v>#REF!</v>
      </c>
      <c r="C34" s="5" t="e">
        <f t="shared" si="2"/>
        <v>#REF!</v>
      </c>
      <c r="D34" s="5" t="e">
        <f>G33*#REF!*$C$20</f>
        <v>#REF!</v>
      </c>
      <c r="E34" s="5">
        <f t="shared" si="3"/>
        <v>6.1407474826826527E-2</v>
      </c>
      <c r="F34" s="5" t="e">
        <f t="shared" si="5"/>
        <v>#REF!</v>
      </c>
      <c r="G34" s="5">
        <f t="shared" si="4"/>
        <v>11.486856676492801</v>
      </c>
      <c r="H34" s="5"/>
      <c r="I34" s="5" t="e">
        <f>#REF!/G34</f>
        <v>#REF!</v>
      </c>
      <c r="J34" s="5"/>
      <c r="K34" s="5"/>
      <c r="L34" s="5"/>
      <c r="M34" s="5">
        <f t="shared" si="0"/>
        <v>0.2478053163812805</v>
      </c>
      <c r="N34" s="5" t="e">
        <f>(1-$C$20)*#REF!</f>
        <v>#REF!</v>
      </c>
      <c r="O34" s="5"/>
      <c r="P34" s="5"/>
      <c r="Q34" s="5"/>
      <c r="R34" s="5"/>
      <c r="S34" s="5"/>
    </row>
    <row r="35" spans="1:19" x14ac:dyDescent="0.3">
      <c r="A35">
        <v>9</v>
      </c>
      <c r="B35" t="e">
        <f t="shared" si="1"/>
        <v>#REF!</v>
      </c>
      <c r="C35" s="5" t="e">
        <f t="shared" si="2"/>
        <v>#REF!</v>
      </c>
      <c r="D35" s="5" t="e">
        <f>G34*#REF!*$C$20</f>
        <v>#REF!</v>
      </c>
      <c r="E35" s="5">
        <f t="shared" si="3"/>
        <v>6.0736597152274634E-2</v>
      </c>
      <c r="F35" s="5" t="e">
        <f t="shared" si="5"/>
        <v>#REF!</v>
      </c>
      <c r="G35" s="5">
        <f t="shared" si="4"/>
        <v>11.716593810022657</v>
      </c>
      <c r="H35" s="5"/>
      <c r="I35" s="5" t="e">
        <f>#REF!/G35</f>
        <v>#REF!</v>
      </c>
      <c r="J35" s="5"/>
      <c r="K35" s="5"/>
      <c r="L35" s="5"/>
      <c r="M35" s="5">
        <f t="shared" si="0"/>
        <v>0.24644796033295677</v>
      </c>
      <c r="N35" s="5" t="e">
        <f>(1-$C$20)*#REF!</f>
        <v>#REF!</v>
      </c>
      <c r="O35" s="5"/>
      <c r="P35" s="5"/>
      <c r="Q35" s="5"/>
      <c r="R35" s="5"/>
      <c r="S35" s="5"/>
    </row>
    <row r="36" spans="1:19" x14ac:dyDescent="0.3">
      <c r="A36">
        <v>10</v>
      </c>
      <c r="B36" t="e">
        <f t="shared" si="1"/>
        <v>#REF!</v>
      </c>
      <c r="C36" s="5" t="e">
        <f t="shared" si="2"/>
        <v>#REF!</v>
      </c>
      <c r="D36" s="5" t="e">
        <f>G35*#REF!*$C$20</f>
        <v>#REF!</v>
      </c>
      <c r="E36" s="5">
        <f t="shared" si="3"/>
        <v>6.0403911846312934E-2</v>
      </c>
      <c r="F36" s="5" t="e">
        <f t="shared" si="5"/>
        <v>#REF!</v>
      </c>
      <c r="G36" s="5">
        <f t="shared" si="4"/>
        <v>11.95092568622311</v>
      </c>
      <c r="H36" s="5"/>
      <c r="I36" s="5" t="e">
        <f>#REF!/G36</f>
        <v>#REF!</v>
      </c>
      <c r="J36" s="5"/>
      <c r="K36" s="5"/>
      <c r="L36" s="5"/>
      <c r="M36" s="5">
        <f t="shared" si="0"/>
        <v>0.24577207295848919</v>
      </c>
      <c r="N36" s="5" t="e">
        <f>(1-$C$20)*#REF!</f>
        <v>#REF!</v>
      </c>
      <c r="O36" s="5"/>
      <c r="P36" s="5"/>
      <c r="Q36" s="5"/>
      <c r="R36" s="5"/>
      <c r="S36" s="5"/>
    </row>
    <row r="37" spans="1:19" x14ac:dyDescent="0.3">
      <c r="A37">
        <v>11</v>
      </c>
      <c r="B37" t="e">
        <f t="shared" si="1"/>
        <v>#REF!</v>
      </c>
      <c r="C37" s="5" t="e">
        <f t="shared" si="2"/>
        <v>#REF!</v>
      </c>
      <c r="D37" s="5" t="e">
        <f>G36*#REF!*$C$20</f>
        <v>#REF!</v>
      </c>
      <c r="E37" s="5">
        <f t="shared" si="3"/>
        <v>6.0238253176100293E-2</v>
      </c>
      <c r="F37" s="5" t="e">
        <f t="shared" si="5"/>
        <v>#REF!</v>
      </c>
      <c r="G37" s="5">
        <f t="shared" si="4"/>
        <v>12.189944199947572</v>
      </c>
      <c r="H37" s="5"/>
      <c r="I37" s="5" t="e">
        <f>#REF!/G37</f>
        <v>#REF!</v>
      </c>
      <c r="J37" s="5"/>
      <c r="K37" s="5"/>
      <c r="L37" s="5"/>
      <c r="M37" s="5">
        <f t="shared" si="0"/>
        <v>0.24543482470118272</v>
      </c>
      <c r="N37" s="5" t="e">
        <f>(1-$C$20)*#REF!</f>
        <v>#REF!</v>
      </c>
      <c r="O37" s="5"/>
      <c r="P37" s="5"/>
      <c r="Q37" s="5"/>
      <c r="R37" s="5"/>
      <c r="S37" s="5"/>
    </row>
    <row r="38" spans="1:19" x14ac:dyDescent="0.3">
      <c r="A38">
        <v>12</v>
      </c>
      <c r="B38" t="e">
        <f t="shared" si="1"/>
        <v>#REF!</v>
      </c>
      <c r="C38" s="5" t="e">
        <f t="shared" si="2"/>
        <v>#REF!</v>
      </c>
      <c r="D38" s="5" t="e">
        <f>G37*#REF!*$C$20</f>
        <v>#REF!</v>
      </c>
      <c r="E38" s="5">
        <f t="shared" si="3"/>
        <v>6.0155594289505565E-2</v>
      </c>
      <c r="F38" s="5" t="e">
        <f t="shared" si="5"/>
        <v>#REF!</v>
      </c>
      <c r="G38" s="5">
        <f t="shared" si="4"/>
        <v>12.433743083946524</v>
      </c>
      <c r="H38" s="5"/>
      <c r="I38" s="5" t="e">
        <f>#REF!/G38</f>
        <v>#REF!</v>
      </c>
      <c r="J38" s="5"/>
      <c r="K38" s="5"/>
      <c r="L38" s="5"/>
      <c r="M38" s="5">
        <f t="shared" si="0"/>
        <v>0.24526637415166713</v>
      </c>
      <c r="N38" s="5" t="e">
        <f>(1-$C$20)*#REF!</f>
        <v>#REF!</v>
      </c>
      <c r="O38" s="5"/>
      <c r="P38" s="5"/>
      <c r="Q38" s="5"/>
      <c r="R38" s="5"/>
      <c r="S38" s="5"/>
    </row>
    <row r="39" spans="1:19" x14ac:dyDescent="0.3">
      <c r="A39">
        <v>13</v>
      </c>
      <c r="B39" t="e">
        <f t="shared" si="1"/>
        <v>#REF!</v>
      </c>
      <c r="C39" s="5" t="e">
        <f t="shared" si="2"/>
        <v>#REF!</v>
      </c>
      <c r="D39" s="5" t="e">
        <f>G38*#REF!*$C$20</f>
        <v>#REF!</v>
      </c>
      <c r="E39" s="5">
        <f t="shared" si="3"/>
        <v>6.0114307390114495E-2</v>
      </c>
      <c r="F39" s="5" t="e">
        <f t="shared" si="5"/>
        <v>#REF!</v>
      </c>
      <c r="G39" s="5">
        <f t="shared" si="4"/>
        <v>12.682417945625454</v>
      </c>
      <c r="H39" s="5"/>
      <c r="I39" s="5" t="e">
        <f>#REF!/G39</f>
        <v>#REF!</v>
      </c>
      <c r="J39" s="5"/>
      <c r="K39" s="5"/>
      <c r="L39" s="5"/>
      <c r="M39" s="5">
        <f t="shared" si="0"/>
        <v>0.24518219223694548</v>
      </c>
      <c r="N39" s="5" t="e">
        <f>(1-$C$20)*#REF!</f>
        <v>#REF!</v>
      </c>
      <c r="O39" s="5"/>
      <c r="P39" s="5"/>
      <c r="Q39" s="5"/>
      <c r="R39" s="5"/>
      <c r="S39" s="5"/>
    </row>
    <row r="40" spans="1:19" x14ac:dyDescent="0.3">
      <c r="A40">
        <v>14</v>
      </c>
      <c r="B40" t="e">
        <f t="shared" si="1"/>
        <v>#REF!</v>
      </c>
      <c r="C40" s="5" t="e">
        <f t="shared" si="2"/>
        <v>#REF!</v>
      </c>
      <c r="D40" s="5" t="e">
        <f>G39*#REF!*$C$20</f>
        <v>#REF!</v>
      </c>
      <c r="E40" s="5">
        <f t="shared" si="3"/>
        <v>6.0093674567878792E-2</v>
      </c>
      <c r="F40" s="5" t="e">
        <f t="shared" si="5"/>
        <v>#REF!</v>
      </c>
      <c r="G40" s="5">
        <f t="shared" si="4"/>
        <v>12.936066304537963</v>
      </c>
      <c r="H40" s="5"/>
      <c r="I40" s="5" t="e">
        <f>#REF!/G40</f>
        <v>#REF!</v>
      </c>
      <c r="J40" s="5"/>
      <c r="K40" s="5"/>
      <c r="L40" s="5"/>
      <c r="M40" s="5">
        <f t="shared" si="0"/>
        <v>0.24514011211525297</v>
      </c>
      <c r="N40" s="5" t="e">
        <f>(1-$C$20)*#REF!</f>
        <v>#REF!</v>
      </c>
      <c r="O40" s="5"/>
      <c r="P40" s="5"/>
      <c r="Q40" s="5"/>
      <c r="R40" s="5"/>
      <c r="S40" s="5"/>
    </row>
    <row r="41" spans="1:19" x14ac:dyDescent="0.3">
      <c r="A41">
        <v>15</v>
      </c>
      <c r="B41" t="e">
        <f t="shared" si="1"/>
        <v>#REF!</v>
      </c>
      <c r="C41" s="5" t="e">
        <f t="shared" si="2"/>
        <v>#REF!</v>
      </c>
      <c r="D41" s="5" t="e">
        <f>G40*#REF!*$C$20</f>
        <v>#REF!</v>
      </c>
      <c r="E41" s="5">
        <f t="shared" si="3"/>
        <v>6.0083360812561999E-2</v>
      </c>
      <c r="F41" s="5" t="e">
        <f t="shared" si="5"/>
        <v>#REF!</v>
      </c>
      <c r="G41" s="5">
        <f t="shared" si="4"/>
        <v>13.194787630628722</v>
      </c>
      <c r="H41" s="5"/>
      <c r="I41" s="5" t="e">
        <f>#REF!/G41</f>
        <v>#REF!</v>
      </c>
      <c r="J41" s="5"/>
      <c r="K41" s="5"/>
      <c r="L41" s="5"/>
      <c r="M41" s="5">
        <f t="shared" si="0"/>
        <v>0.24511907476278136</v>
      </c>
      <c r="N41" s="5" t="e">
        <f>(1-$C$20)*#REF!</f>
        <v>#REF!</v>
      </c>
      <c r="O41" s="5"/>
      <c r="P41" s="5"/>
      <c r="Q41" s="5"/>
      <c r="R41" s="5"/>
      <c r="S41" s="5"/>
    </row>
    <row r="42" spans="1:19" x14ac:dyDescent="0.3">
      <c r="A42">
        <v>16</v>
      </c>
      <c r="B42" t="e">
        <f t="shared" si="1"/>
        <v>#REF!</v>
      </c>
      <c r="C42" s="5" t="e">
        <f t="shared" si="2"/>
        <v>#REF!</v>
      </c>
      <c r="D42" s="5" t="e">
        <f>G41*#REF!*$C$20</f>
        <v>#REF!</v>
      </c>
      <c r="E42" s="5">
        <f t="shared" si="3"/>
        <v>6.0078204598720923E-2</v>
      </c>
      <c r="F42" s="5" t="e">
        <f t="shared" si="5"/>
        <v>#REF!</v>
      </c>
      <c r="G42" s="5">
        <f t="shared" si="4"/>
        <v>13.458683383241297</v>
      </c>
      <c r="H42" s="5"/>
      <c r="I42" s="5" t="e">
        <f>#REF!/G42</f>
        <v>#REF!</v>
      </c>
      <c r="J42" s="5"/>
      <c r="K42" s="5"/>
      <c r="L42" s="5"/>
      <c r="M42" s="5">
        <f t="shared" si="0"/>
        <v>0.24510855676357143</v>
      </c>
      <c r="N42" s="5" t="e">
        <f>(1-$C$20)*#REF!</f>
        <v>#REF!</v>
      </c>
      <c r="O42" s="5"/>
      <c r="P42" s="5"/>
      <c r="Q42" s="5"/>
      <c r="R42" s="5"/>
      <c r="S42" s="5"/>
    </row>
    <row r="43" spans="1:19" x14ac:dyDescent="0.3">
      <c r="A43">
        <v>17</v>
      </c>
      <c r="B43" t="e">
        <f t="shared" si="1"/>
        <v>#REF!</v>
      </c>
      <c r="C43" s="5" t="e">
        <f t="shared" si="2"/>
        <v>#REF!</v>
      </c>
      <c r="D43" s="5" t="e">
        <f>G42*#REF!*$C$20</f>
        <v>#REF!</v>
      </c>
      <c r="E43" s="5">
        <f t="shared" si="3"/>
        <v>6.0075626657738093E-2</v>
      </c>
      <c r="F43" s="5" t="e">
        <f t="shared" si="5"/>
        <v>#REF!</v>
      </c>
      <c r="G43" s="5">
        <f t="shared" si="4"/>
        <v>13.727857050906124</v>
      </c>
      <c r="H43" s="5"/>
      <c r="I43" s="5" t="e">
        <f>#REF!/G43</f>
        <v>#REF!</v>
      </c>
      <c r="J43" s="5"/>
      <c r="K43" s="5"/>
      <c r="L43" s="5"/>
      <c r="M43" s="5">
        <f t="shared" si="0"/>
        <v>0.24510329793321448</v>
      </c>
      <c r="N43" s="5" t="e">
        <f>(1-$C$20)*#REF!</f>
        <v>#REF!</v>
      </c>
      <c r="O43" s="5"/>
      <c r="P43" s="5"/>
      <c r="Q43" s="5"/>
      <c r="R43" s="5"/>
      <c r="S43" s="5"/>
    </row>
    <row r="44" spans="1:19" x14ac:dyDescent="0.3">
      <c r="A44">
        <v>18</v>
      </c>
      <c r="B44" t="e">
        <f t="shared" si="1"/>
        <v>#REF!</v>
      </c>
      <c r="C44" s="5" t="e">
        <f t="shared" si="2"/>
        <v>#REF!</v>
      </c>
      <c r="D44" s="5" t="e">
        <f>G43*#REF!*$C$20</f>
        <v>#REF!</v>
      </c>
      <c r="E44" s="5">
        <f t="shared" si="3"/>
        <v>6.0074337728729034E-2</v>
      </c>
      <c r="F44" s="5" t="e">
        <f t="shared" si="5"/>
        <v>#REF!</v>
      </c>
      <c r="G44" s="5">
        <f t="shared" si="4"/>
        <v>14.002414191924247</v>
      </c>
      <c r="H44" s="5"/>
      <c r="I44" s="5" t="e">
        <f>#REF!/G44</f>
        <v>#REF!</v>
      </c>
      <c r="J44" s="5"/>
      <c r="K44" s="5"/>
      <c r="L44" s="5"/>
      <c r="M44" s="5">
        <f t="shared" si="0"/>
        <v>0.24510066856034693</v>
      </c>
      <c r="N44" s="5" t="e">
        <f>(1-$C$20)*#REF!</f>
        <v>#REF!</v>
      </c>
      <c r="O44" s="5"/>
      <c r="P44" s="5"/>
      <c r="Q44" s="5"/>
      <c r="R44" s="5"/>
      <c r="S44" s="5"/>
    </row>
    <row r="45" spans="1:19" x14ac:dyDescent="0.3">
      <c r="A45">
        <v>19</v>
      </c>
      <c r="B45" t="e">
        <f t="shared" si="1"/>
        <v>#REF!</v>
      </c>
      <c r="C45" s="5" t="e">
        <f t="shared" si="2"/>
        <v>#REF!</v>
      </c>
      <c r="D45" s="5" t="e">
        <f>G44*#REF!*$C$20</f>
        <v>#REF!</v>
      </c>
      <c r="E45" s="5">
        <f t="shared" si="3"/>
        <v>6.0073693274594837E-2</v>
      </c>
      <c r="F45" s="5" t="e">
        <f t="shared" si="5"/>
        <v>#REF!</v>
      </c>
      <c r="G45" s="5">
        <f t="shared" si="4"/>
        <v>14.282462475762733</v>
      </c>
      <c r="H45" s="5"/>
      <c r="I45" s="5" t="e">
        <f>#REF!/G45</f>
        <v>#REF!</v>
      </c>
      <c r="J45" s="5"/>
      <c r="K45" s="5"/>
      <c r="L45" s="5"/>
      <c r="M45" s="5">
        <f t="shared" si="0"/>
        <v>0.24509935388449075</v>
      </c>
      <c r="N45" s="5" t="e">
        <f>(1-$C$20)*#REF!</f>
        <v>#REF!</v>
      </c>
      <c r="O45" s="5"/>
      <c r="P45" s="5"/>
      <c r="Q45" s="5"/>
      <c r="R45" s="5"/>
      <c r="S45" s="5"/>
    </row>
    <row r="46" spans="1:19" x14ac:dyDescent="0.3">
      <c r="A46">
        <v>20</v>
      </c>
      <c r="B46" t="e">
        <f t="shared" si="1"/>
        <v>#REF!</v>
      </c>
      <c r="C46" s="5" t="e">
        <f t="shared" si="2"/>
        <v>#REF!</v>
      </c>
      <c r="D46" s="5" t="e">
        <f>G45*#REF!*$C$20</f>
        <v>#REF!</v>
      </c>
      <c r="E46" s="5">
        <f t="shared" si="3"/>
        <v>6.0073371050120283E-2</v>
      </c>
      <c r="F46" s="5" t="e">
        <f t="shared" si="5"/>
        <v>#REF!</v>
      </c>
      <c r="G46" s="5">
        <f t="shared" si="4"/>
        <v>14.568111725277987</v>
      </c>
      <c r="H46" s="5"/>
      <c r="I46" s="5" t="e">
        <f>#REF!/G46</f>
        <v>#REF!</v>
      </c>
      <c r="J46" s="5"/>
      <c r="K46" s="5"/>
      <c r="L46" s="5"/>
      <c r="M46" s="5">
        <f t="shared" si="0"/>
        <v>0.24509869654920705</v>
      </c>
      <c r="N46" s="5" t="e">
        <f>(1-$C$20)*#REF!</f>
        <v>#REF!</v>
      </c>
      <c r="O46" s="5"/>
      <c r="P46" s="5"/>
      <c r="Q46" s="5"/>
      <c r="R46" s="5"/>
      <c r="S46" s="5"/>
    </row>
    <row r="47" spans="1:19" x14ac:dyDescent="0.3">
      <c r="A47">
        <v>21</v>
      </c>
      <c r="B47" t="e">
        <f t="shared" si="1"/>
        <v>#REF!</v>
      </c>
      <c r="C47" s="5" t="e">
        <f t="shared" si="2"/>
        <v>#REF!</v>
      </c>
      <c r="D47" s="5" t="e">
        <f>G46*#REF!*$C$20</f>
        <v>#REF!</v>
      </c>
      <c r="E47" s="5">
        <f t="shared" si="3"/>
        <v>6.0073209938531137E-2</v>
      </c>
      <c r="F47" s="5" t="e">
        <f t="shared" si="5"/>
        <v>#REF!</v>
      </c>
      <c r="G47" s="5">
        <f t="shared" si="4"/>
        <v>14.859473959783546</v>
      </c>
      <c r="H47" s="5"/>
      <c r="I47" s="5" t="e">
        <f>#REF!/G47</f>
        <v>#REF!</v>
      </c>
      <c r="J47" s="5"/>
      <c r="K47" s="5"/>
      <c r="L47" s="5"/>
      <c r="M47" s="5">
        <f t="shared" si="0"/>
        <v>0.2450983678822263</v>
      </c>
      <c r="N47" s="5" t="e">
        <f>(1-$C$20)*#REF!</f>
        <v>#REF!</v>
      </c>
      <c r="O47" s="5"/>
      <c r="P47" s="5"/>
      <c r="Q47" s="5"/>
      <c r="R47" s="5"/>
      <c r="S47" s="5"/>
    </row>
    <row r="48" spans="1:19" x14ac:dyDescent="0.3">
      <c r="A48">
        <v>22</v>
      </c>
      <c r="B48" t="e">
        <f t="shared" si="1"/>
        <v>#REF!</v>
      </c>
      <c r="C48" s="5" t="e">
        <f t="shared" si="2"/>
        <v>#REF!</v>
      </c>
      <c r="D48" s="5" t="e">
        <f>G47*#REF!*$C$20</f>
        <v>#REF!</v>
      </c>
      <c r="E48" s="5">
        <f t="shared" si="3"/>
        <v>6.0073129382898605E-2</v>
      </c>
      <c r="F48" s="5" t="e">
        <f t="shared" si="5"/>
        <v>#REF!</v>
      </c>
      <c r="G48" s="5">
        <f t="shared" si="4"/>
        <v>15.156663438979217</v>
      </c>
      <c r="H48" s="5"/>
      <c r="I48" s="5" t="e">
        <f>#REF!/G48</f>
        <v>#REF!</v>
      </c>
      <c r="J48" s="5"/>
      <c r="K48" s="5"/>
      <c r="L48" s="5"/>
      <c r="M48" s="5">
        <f t="shared" si="0"/>
        <v>0.24509820354890119</v>
      </c>
      <c r="N48" s="5" t="e">
        <f>(1-$C$20)*#REF!</f>
        <v>#REF!</v>
      </c>
      <c r="O48" s="5"/>
      <c r="P48" s="5"/>
      <c r="Q48" s="5"/>
      <c r="R48" s="5"/>
      <c r="S48" s="5"/>
    </row>
    <row r="49" spans="1:19" x14ac:dyDescent="0.3">
      <c r="A49">
        <v>23</v>
      </c>
      <c r="B49" t="e">
        <f t="shared" si="1"/>
        <v>#REF!</v>
      </c>
      <c r="C49" s="5" t="e">
        <f t="shared" si="2"/>
        <v>#REF!</v>
      </c>
      <c r="D49" s="5" t="e">
        <f>G48*#REF!*$C$20</f>
        <v>#REF!</v>
      </c>
      <c r="E49" s="5">
        <f t="shared" si="3"/>
        <v>6.0073089105122837E-2</v>
      </c>
      <c r="F49" s="5" t="e">
        <f t="shared" si="5"/>
        <v>#REF!</v>
      </c>
      <c r="G49" s="5">
        <f t="shared" si="4"/>
        <v>15.459796707758802</v>
      </c>
      <c r="H49" s="5"/>
      <c r="I49" s="5" t="e">
        <f>#REF!/G49</f>
        <v>#REF!</v>
      </c>
      <c r="J49" s="5"/>
      <c r="K49" s="5"/>
      <c r="L49" s="5"/>
      <c r="M49" s="5">
        <f t="shared" si="0"/>
        <v>0.24509812138227996</v>
      </c>
      <c r="N49" s="5" t="e">
        <f>(1-$C$20)*#REF!</f>
        <v>#REF!</v>
      </c>
      <c r="O49" s="5"/>
      <c r="P49" s="5"/>
      <c r="Q49" s="5"/>
      <c r="R49" s="5"/>
      <c r="S49" s="5"/>
    </row>
    <row r="50" spans="1:19" x14ac:dyDescent="0.3">
      <c r="A50">
        <v>24</v>
      </c>
      <c r="B50" t="e">
        <f t="shared" si="1"/>
        <v>#REF!</v>
      </c>
      <c r="C50" s="5" t="e">
        <f t="shared" si="2"/>
        <v>#REF!</v>
      </c>
      <c r="D50" s="5" t="e">
        <f>G49*#REF!*$C$20</f>
        <v>#REF!</v>
      </c>
      <c r="E50" s="5">
        <f t="shared" si="3"/>
        <v>6.0073068966245084E-2</v>
      </c>
      <c r="F50" s="5" t="e">
        <f t="shared" si="5"/>
        <v>#REF!</v>
      </c>
      <c r="G50" s="5">
        <f t="shared" si="4"/>
        <v>15.768992641913979</v>
      </c>
      <c r="H50" s="5"/>
      <c r="I50" s="5" t="e">
        <f>#REF!/G50</f>
        <v>#REF!</v>
      </c>
      <c r="J50" s="5"/>
      <c r="K50" s="5"/>
      <c r="L50" s="5"/>
      <c r="M50" s="5">
        <f t="shared" si="0"/>
        <v>0.24509808029897967</v>
      </c>
      <c r="N50" s="5" t="e">
        <f>(1-$C$20)*#REF!</f>
        <v>#REF!</v>
      </c>
      <c r="O50" s="5"/>
      <c r="P50" s="5"/>
      <c r="Q50" s="5"/>
      <c r="R50" s="5"/>
      <c r="S50" s="5"/>
    </row>
    <row r="51" spans="1:19" x14ac:dyDescent="0.3">
      <c r="A51">
        <v>25</v>
      </c>
      <c r="B51" t="e">
        <f t="shared" si="1"/>
        <v>#REF!</v>
      </c>
      <c r="C51" s="5" t="e">
        <f t="shared" si="2"/>
        <v>#REF!</v>
      </c>
      <c r="D51" s="5" t="e">
        <f>G50*#REF!*$C$20</f>
        <v>#REF!</v>
      </c>
      <c r="E51" s="5">
        <f t="shared" si="3"/>
        <v>6.0073058896808744E-2</v>
      </c>
      <c r="F51" s="5" t="e">
        <f t="shared" si="5"/>
        <v>#REF!</v>
      </c>
      <c r="G51" s="5">
        <f t="shared" si="4"/>
        <v>16.084372494752259</v>
      </c>
      <c r="H51" s="5"/>
      <c r="I51" s="5" t="e">
        <f>#REF!/G51</f>
        <v>#REF!</v>
      </c>
      <c r="J51" s="5"/>
      <c r="K51" s="5"/>
      <c r="L51" s="5"/>
      <c r="M51" s="5">
        <f t="shared" si="0"/>
        <v>0.24509805975733212</v>
      </c>
      <c r="N51" s="5" t="e">
        <f>(1-$C$20)*#REF!</f>
        <v>#REF!</v>
      </c>
      <c r="O51" s="5"/>
      <c r="P51" s="5"/>
      <c r="Q51" s="5"/>
      <c r="R51" s="5"/>
      <c r="S51" s="5"/>
    </row>
    <row r="52" spans="1:19" x14ac:dyDescent="0.3">
      <c r="A52">
        <v>26</v>
      </c>
      <c r="B52" t="e">
        <f t="shared" si="1"/>
        <v>#REF!</v>
      </c>
      <c r="C52" s="5" t="e">
        <f t="shared" si="2"/>
        <v>#REF!</v>
      </c>
      <c r="D52" s="5" t="e">
        <f>G51*#REF!*$C$20</f>
        <v>#REF!</v>
      </c>
      <c r="E52" s="5">
        <f t="shared" si="3"/>
        <v>6.0073053862091205E-2</v>
      </c>
      <c r="F52" s="5" t="e">
        <f t="shared" si="5"/>
        <v>#REF!</v>
      </c>
      <c r="G52" s="5">
        <f t="shared" si="4"/>
        <v>16.406059944647303</v>
      </c>
      <c r="H52" s="5"/>
      <c r="I52" s="5" t="e">
        <f>#REF!/G52</f>
        <v>#REF!</v>
      </c>
      <c r="J52" s="5"/>
      <c r="K52" s="5"/>
      <c r="L52" s="5"/>
      <c r="M52" s="5">
        <f t="shared" si="0"/>
        <v>0.24509804948650898</v>
      </c>
      <c r="N52" s="5" t="e">
        <f>(1-$C$20)*#REF!</f>
        <v>#REF!</v>
      </c>
      <c r="O52" s="5"/>
      <c r="P52" s="5"/>
      <c r="Q52" s="5"/>
      <c r="R52" s="5"/>
      <c r="S52" s="5"/>
    </row>
    <row r="53" spans="1:19" x14ac:dyDescent="0.3">
      <c r="A53">
        <v>27</v>
      </c>
      <c r="B53" t="e">
        <f t="shared" si="1"/>
        <v>#REF!</v>
      </c>
      <c r="C53" s="5" t="e">
        <f t="shared" si="2"/>
        <v>#REF!</v>
      </c>
      <c r="D53" s="5" t="e">
        <f>G52*#REF!*$C$20</f>
        <v>#REF!</v>
      </c>
      <c r="E53" s="5">
        <f t="shared" si="3"/>
        <v>6.0073051344732592E-2</v>
      </c>
      <c r="F53" s="5" t="e">
        <f t="shared" si="5"/>
        <v>#REF!</v>
      </c>
      <c r="G53" s="5">
        <f t="shared" si="4"/>
        <v>16.734181143540251</v>
      </c>
      <c r="H53" s="5"/>
      <c r="I53" s="5" t="e">
        <f>#REF!/G53</f>
        <v>#REF!</v>
      </c>
      <c r="J53" s="5"/>
      <c r="K53" s="5"/>
      <c r="L53" s="5"/>
      <c r="M53" s="5">
        <f t="shared" si="0"/>
        <v>0.24509804435109758</v>
      </c>
      <c r="N53" s="5" t="e">
        <f>(1-$C$20)*#REF!</f>
        <v>#REF!</v>
      </c>
      <c r="O53" s="5"/>
      <c r="P53" s="5"/>
      <c r="Q53" s="5"/>
      <c r="R53" s="5"/>
      <c r="S53" s="5"/>
    </row>
    <row r="54" spans="1:19" x14ac:dyDescent="0.3">
      <c r="A54">
        <v>28</v>
      </c>
      <c r="B54" t="e">
        <f t="shared" si="1"/>
        <v>#REF!</v>
      </c>
      <c r="C54" s="5" t="e">
        <f t="shared" si="2"/>
        <v>#REF!</v>
      </c>
      <c r="D54" s="5" t="e">
        <f>G53*#REF!*$C$20</f>
        <v>#REF!</v>
      </c>
      <c r="E54" s="5">
        <f t="shared" si="3"/>
        <v>6.0073050086053327E-2</v>
      </c>
      <c r="F54" s="5" t="e">
        <f t="shared" si="5"/>
        <v>#REF!</v>
      </c>
      <c r="G54" s="5">
        <f t="shared" si="4"/>
        <v>17.068864766411057</v>
      </c>
      <c r="H54" s="5"/>
      <c r="I54" s="5" t="e">
        <f>#REF!/G54</f>
        <v>#REF!</v>
      </c>
      <c r="J54" s="5"/>
      <c r="K54" s="5"/>
      <c r="L54" s="5"/>
      <c r="M54" s="5">
        <f t="shared" si="0"/>
        <v>0.24509804178339192</v>
      </c>
      <c r="N54" s="5" t="e">
        <f>(1-$C$20)*#REF!</f>
        <v>#REF!</v>
      </c>
      <c r="O54" s="5"/>
      <c r="P54" s="5"/>
      <c r="Q54" s="5"/>
      <c r="R54" s="5"/>
      <c r="S54" s="5"/>
    </row>
    <row r="55" spans="1:19" x14ac:dyDescent="0.3">
      <c r="A55">
        <v>29</v>
      </c>
      <c r="B55" t="e">
        <f t="shared" si="1"/>
        <v>#REF!</v>
      </c>
      <c r="C55" s="5" t="e">
        <f t="shared" si="2"/>
        <v>#REF!</v>
      </c>
      <c r="D55" s="5" t="e">
        <f>G54*#REF!*$C$20</f>
        <v>#REF!</v>
      </c>
      <c r="E55" s="5">
        <f t="shared" si="3"/>
        <v>6.0073049456713705E-2</v>
      </c>
      <c r="F55" s="5" t="e">
        <f t="shared" si="5"/>
        <v>#REF!</v>
      </c>
      <c r="G55" s="5">
        <f t="shared" si="4"/>
        <v>17.410242061739279</v>
      </c>
      <c r="H55" s="5"/>
      <c r="I55" s="5" t="e">
        <f>#REF!/G55</f>
        <v>#REF!</v>
      </c>
      <c r="J55" s="5"/>
      <c r="K55" s="5"/>
      <c r="L55" s="5"/>
      <c r="M55" s="5">
        <f t="shared" si="0"/>
        <v>0.24509804049953909</v>
      </c>
      <c r="N55" s="5" t="e">
        <f>(1-$C$20)*#REF!</f>
        <v>#REF!</v>
      </c>
      <c r="O55" s="5"/>
      <c r="P55" s="5"/>
      <c r="Q55" s="5"/>
      <c r="R55" s="5"/>
      <c r="S55" s="5"/>
    </row>
    <row r="56" spans="1:19" x14ac:dyDescent="0.3">
      <c r="A56">
        <v>30</v>
      </c>
      <c r="B56" t="e">
        <f t="shared" si="1"/>
        <v>#REF!</v>
      </c>
      <c r="C56" s="5" t="e">
        <f t="shared" si="2"/>
        <v>#REF!</v>
      </c>
      <c r="D56" s="5" t="e">
        <f>G55*#REF!*$C$20</f>
        <v>#REF!</v>
      </c>
      <c r="E56" s="5">
        <f t="shared" si="3"/>
        <v>6.0073049142043894E-2</v>
      </c>
      <c r="F56" s="5" t="e">
        <f t="shared" si="5"/>
        <v>#REF!</v>
      </c>
      <c r="G56" s="5">
        <f t="shared" si="4"/>
        <v>17.758446902974065</v>
      </c>
      <c r="H56" s="5"/>
      <c r="I56" s="5" t="e">
        <f>#REF!/G56</f>
        <v>#REF!</v>
      </c>
      <c r="J56" s="5"/>
      <c r="K56" s="5"/>
      <c r="L56" s="5"/>
      <c r="M56" s="5">
        <f t="shared" si="0"/>
        <v>0.24509803985761269</v>
      </c>
      <c r="N56" s="5" t="e">
        <f>(1-$C$20)*#REF!</f>
        <v>#REF!</v>
      </c>
      <c r="O56" s="5"/>
      <c r="P56" s="5"/>
      <c r="Q56" s="5"/>
      <c r="R56" s="5"/>
      <c r="S56" s="5"/>
    </row>
    <row r="57" spans="1:19" x14ac:dyDescent="0.3">
      <c r="A57">
        <v>31</v>
      </c>
      <c r="B57" t="e">
        <f t="shared" si="1"/>
        <v>#REF!</v>
      </c>
      <c r="C57" s="5" t="e">
        <f t="shared" si="2"/>
        <v>#REF!</v>
      </c>
      <c r="D57" s="5" t="e">
        <f>G56*#REF!*$C$20</f>
        <v>#REF!</v>
      </c>
      <c r="E57" s="5">
        <f t="shared" si="3"/>
        <v>6.0073048984708992E-2</v>
      </c>
      <c r="F57" s="5" t="e">
        <f t="shared" si="5"/>
        <v>#REF!</v>
      </c>
      <c r="G57" s="5">
        <f t="shared" si="4"/>
        <v>18.113615841033546</v>
      </c>
      <c r="H57" s="5"/>
      <c r="I57" s="5" t="e">
        <f>#REF!/G57</f>
        <v>#REF!</v>
      </c>
      <c r="J57" s="5"/>
      <c r="K57" s="5"/>
      <c r="L57" s="5"/>
      <c r="M57" s="5">
        <f t="shared" si="0"/>
        <v>0.24509803953664949</v>
      </c>
      <c r="N57" s="5" t="e">
        <f>(1-$C$20)*#REF!</f>
        <v>#REF!</v>
      </c>
      <c r="O57" s="5"/>
      <c r="P57" s="5"/>
      <c r="Q57" s="5"/>
      <c r="R57" s="5"/>
      <c r="S57" s="5"/>
    </row>
    <row r="58" spans="1:19" x14ac:dyDescent="0.3">
      <c r="A58">
        <v>32</v>
      </c>
      <c r="B58" t="e">
        <f t="shared" si="1"/>
        <v>#REF!</v>
      </c>
      <c r="C58" s="5" t="e">
        <f t="shared" si="2"/>
        <v>#REF!</v>
      </c>
      <c r="D58" s="5" t="e">
        <f>G57*#REF!*$C$20</f>
        <v>#REF!</v>
      </c>
      <c r="E58" s="5">
        <f t="shared" si="3"/>
        <v>6.0073048906041544E-2</v>
      </c>
      <c r="F58" s="5" t="e">
        <f t="shared" si="5"/>
        <v>#REF!</v>
      </c>
      <c r="G58" s="5">
        <f t="shared" si="4"/>
        <v>18.475888157854218</v>
      </c>
      <c r="H58" s="5"/>
      <c r="I58" s="5" t="e">
        <f>#REF!/G58</f>
        <v>#REF!</v>
      </c>
      <c r="J58" s="5"/>
      <c r="K58" s="5"/>
      <c r="L58" s="5"/>
      <c r="M58" s="5">
        <f t="shared" si="0"/>
        <v>0.24509803937616789</v>
      </c>
      <c r="N58" s="5" t="e">
        <f>(1-$C$20)*#REF!</f>
        <v>#REF!</v>
      </c>
      <c r="O58" s="5"/>
      <c r="P58" s="5"/>
      <c r="Q58" s="5"/>
      <c r="R58" s="5"/>
      <c r="S58" s="5"/>
    </row>
    <row r="59" spans="1:19" x14ac:dyDescent="0.3">
      <c r="A59">
        <v>33</v>
      </c>
      <c r="B59" t="e">
        <f t="shared" si="1"/>
        <v>#REF!</v>
      </c>
      <c r="C59" s="5" t="e">
        <f t="shared" si="2"/>
        <v>#REF!</v>
      </c>
      <c r="D59" s="5" t="e">
        <f>G58*#REF!*$C$20</f>
        <v>#REF!</v>
      </c>
      <c r="E59" s="5">
        <f t="shared" si="3"/>
        <v>6.0073048866707814E-2</v>
      </c>
      <c r="F59" s="5" t="e">
        <f t="shared" si="5"/>
        <v>#REF!</v>
      </c>
      <c r="G59" s="5">
        <f t="shared" si="4"/>
        <v>18.845405921011302</v>
      </c>
      <c r="H59" s="5"/>
      <c r="I59" s="5" t="e">
        <f>#REF!/G59</f>
        <v>#REF!</v>
      </c>
      <c r="J59" s="5"/>
      <c r="K59" s="5"/>
      <c r="L59" s="5"/>
      <c r="M59" s="5">
        <f t="shared" si="0"/>
        <v>0.24509803929592708</v>
      </c>
      <c r="N59" s="5" t="e">
        <f>(1-$C$20)*#REF!</f>
        <v>#REF!</v>
      </c>
      <c r="O59" s="5"/>
      <c r="P59" s="5"/>
      <c r="Q59" s="5"/>
      <c r="R59" s="5"/>
      <c r="S59" s="5"/>
    </row>
    <row r="60" spans="1:19" x14ac:dyDescent="0.3">
      <c r="A60">
        <v>34</v>
      </c>
      <c r="B60" t="e">
        <f t="shared" si="1"/>
        <v>#REF!</v>
      </c>
      <c r="C60" s="5" t="e">
        <f t="shared" si="2"/>
        <v>#REF!</v>
      </c>
      <c r="D60" s="5" t="e">
        <f>G59*#REF!*$C$20</f>
        <v>#REF!</v>
      </c>
      <c r="E60" s="5">
        <f t="shared" si="3"/>
        <v>6.0073048847040948E-2</v>
      </c>
      <c r="F60" s="5" t="e">
        <f t="shared" si="5"/>
        <v>#REF!</v>
      </c>
      <c r="G60" s="5">
        <f t="shared" si="4"/>
        <v>19.222314039431527</v>
      </c>
      <c r="H60" s="5"/>
      <c r="I60" s="5" t="e">
        <f>#REF!/G60</f>
        <v>#REF!</v>
      </c>
      <c r="J60" s="5"/>
      <c r="K60" s="5"/>
      <c r="L60" s="5"/>
      <c r="M60" s="5">
        <f t="shared" si="0"/>
        <v>0.24509803925580667</v>
      </c>
      <c r="N60" s="5" t="e">
        <f>(1-$C$20)*#REF!</f>
        <v>#REF!</v>
      </c>
      <c r="O60" s="5"/>
      <c r="P60" s="5"/>
      <c r="Q60" s="5"/>
      <c r="R60" s="5"/>
      <c r="S60" s="5"/>
    </row>
    <row r="61" spans="1:19" x14ac:dyDescent="0.3">
      <c r="A61">
        <v>35</v>
      </c>
      <c r="B61" t="e">
        <f t="shared" si="1"/>
        <v>#REF!</v>
      </c>
      <c r="C61" s="5" t="e">
        <f t="shared" si="2"/>
        <v>#REF!</v>
      </c>
      <c r="D61" s="5" t="e">
        <f>G60*#REF!*$C$20</f>
        <v>#REF!</v>
      </c>
      <c r="E61" s="5">
        <f t="shared" si="3"/>
        <v>6.0073048837207516E-2</v>
      </c>
      <c r="F61" s="5" t="e">
        <f t="shared" si="5"/>
        <v>#REF!</v>
      </c>
      <c r="G61" s="5">
        <f t="shared" si="4"/>
        <v>19.606760320220157</v>
      </c>
      <c r="H61" s="5"/>
      <c r="I61" s="5" t="e">
        <f>#REF!/G61</f>
        <v>#REF!</v>
      </c>
      <c r="J61" s="5"/>
      <c r="K61" s="5"/>
      <c r="L61" s="5"/>
      <c r="M61" s="5">
        <f t="shared" si="0"/>
        <v>0.24509803923574647</v>
      </c>
      <c r="N61" s="5" t="e">
        <f>(1-$C$20)*#REF!</f>
        <v>#REF!</v>
      </c>
      <c r="O61" s="5"/>
      <c r="P61" s="5"/>
      <c r="Q61" s="5"/>
      <c r="R61" s="5"/>
      <c r="S61" s="5"/>
    </row>
    <row r="62" spans="1:19" x14ac:dyDescent="0.3">
      <c r="A62">
        <v>36</v>
      </c>
      <c r="B62" t="e">
        <f t="shared" si="1"/>
        <v>#REF!</v>
      </c>
      <c r="C62" s="5" t="e">
        <f t="shared" si="2"/>
        <v>#REF!</v>
      </c>
      <c r="D62" s="5" t="e">
        <f>G61*#REF!*$C$20</f>
        <v>#REF!</v>
      </c>
      <c r="E62" s="5">
        <f t="shared" si="3"/>
        <v>6.0073048832290803E-2</v>
      </c>
      <c r="F62" s="5" t="e">
        <f t="shared" si="5"/>
        <v>#REF!</v>
      </c>
      <c r="G62" s="5">
        <f t="shared" si="4"/>
        <v>19.998895526624562</v>
      </c>
      <c r="H62" s="5"/>
      <c r="I62" s="5" t="e">
        <f>#REF!/G62</f>
        <v>#REF!</v>
      </c>
      <c r="J62" s="5"/>
      <c r="K62" s="5"/>
      <c r="L62" s="5"/>
      <c r="M62" s="5">
        <f t="shared" si="0"/>
        <v>0.24509803922571638</v>
      </c>
      <c r="N62" s="5" t="e">
        <f>(1-$C$20)*#REF!</f>
        <v>#REF!</v>
      </c>
      <c r="O62" s="5"/>
      <c r="P62" s="5"/>
      <c r="Q62" s="5"/>
      <c r="R62" s="5"/>
      <c r="S62" s="5"/>
    </row>
    <row r="63" spans="1:19" x14ac:dyDescent="0.3">
      <c r="A63">
        <v>37</v>
      </c>
      <c r="B63" t="e">
        <f t="shared" si="1"/>
        <v>#REF!</v>
      </c>
      <c r="C63" s="5" t="e">
        <f t="shared" si="2"/>
        <v>#REF!</v>
      </c>
      <c r="D63" s="5" t="e">
        <f>G62*#REF!*$C$20</f>
        <v>#REF!</v>
      </c>
      <c r="E63" s="5">
        <f t="shared" si="3"/>
        <v>6.0073048829832443E-2</v>
      </c>
      <c r="F63" s="5" t="e">
        <f t="shared" si="5"/>
        <v>#REF!</v>
      </c>
      <c r="G63" s="5">
        <f t="shared" si="4"/>
        <v>20.398873437157054</v>
      </c>
      <c r="H63" s="5"/>
      <c r="I63" s="5" t="e">
        <f>#REF!/G63</f>
        <v>#REF!</v>
      </c>
      <c r="J63" s="5"/>
      <c r="K63" s="5"/>
      <c r="L63" s="5"/>
      <c r="M63" s="5">
        <f t="shared" si="0"/>
        <v>0.24509803922070131</v>
      </c>
      <c r="N63" s="5" t="e">
        <f>(1-$C$20)*#REF!</f>
        <v>#REF!</v>
      </c>
      <c r="O63" s="5"/>
      <c r="P63" s="5"/>
      <c r="Q63" s="5"/>
      <c r="R63" s="5"/>
      <c r="S63" s="5"/>
    </row>
    <row r="64" spans="1:19" x14ac:dyDescent="0.3">
      <c r="A64">
        <v>38</v>
      </c>
      <c r="B64" t="e">
        <f t="shared" si="1"/>
        <v>#REF!</v>
      </c>
      <c r="C64" s="5" t="e">
        <f t="shared" si="2"/>
        <v>#REF!</v>
      </c>
      <c r="D64" s="5" t="e">
        <f>G63*#REF!*$C$20</f>
        <v>#REF!</v>
      </c>
      <c r="E64" s="5">
        <f t="shared" si="3"/>
        <v>6.0073048828603259E-2</v>
      </c>
      <c r="F64" s="5" t="e">
        <f t="shared" si="5"/>
        <v>#REF!</v>
      </c>
      <c r="G64" s="5">
        <f t="shared" si="4"/>
        <v>20.806850905900195</v>
      </c>
      <c r="H64" s="5"/>
      <c r="I64" s="5" t="e">
        <f>#REF!/G64</f>
        <v>#REF!</v>
      </c>
      <c r="J64" s="5"/>
      <c r="K64" s="5"/>
      <c r="L64" s="5"/>
      <c r="M64" s="5">
        <f t="shared" si="0"/>
        <v>0.24509803921819379</v>
      </c>
      <c r="N64" s="5" t="e">
        <f>(1-$C$20)*#REF!</f>
        <v>#REF!</v>
      </c>
      <c r="O64" s="5"/>
      <c r="P64" s="5"/>
      <c r="Q64" s="5"/>
      <c r="R64" s="5"/>
      <c r="S64" s="5"/>
    </row>
    <row r="65" spans="1:19" x14ac:dyDescent="0.3">
      <c r="A65">
        <v>39</v>
      </c>
      <c r="B65" t="e">
        <f t="shared" si="1"/>
        <v>#REF!</v>
      </c>
      <c r="C65" s="5" t="e">
        <f>$B$28/(2+$C$22)</f>
        <v>#REF!</v>
      </c>
      <c r="D65" s="5" t="e">
        <f>G64*#REF!*$C$20</f>
        <v>#REF!</v>
      </c>
      <c r="E65" s="5">
        <f t="shared" si="3"/>
        <v>6.0073048827988675E-2</v>
      </c>
      <c r="F65" s="5" t="e">
        <f t="shared" si="5"/>
        <v>#REF!</v>
      </c>
      <c r="G65" s="5">
        <f t="shared" si="4"/>
        <v>21.222987924018199</v>
      </c>
      <c r="H65" s="5"/>
      <c r="I65" s="5" t="e">
        <f>#REF!/G65</f>
        <v>#REF!</v>
      </c>
      <c r="J65" s="5"/>
      <c r="K65" s="5"/>
      <c r="L65" s="5"/>
      <c r="M65" s="5">
        <f t="shared" si="0"/>
        <v>0.24509803921694004</v>
      </c>
      <c r="N65" s="5" t="e">
        <f>(1-$C$20)*#REF!</f>
        <v>#REF!</v>
      </c>
      <c r="O65" s="5"/>
      <c r="P65" s="5"/>
      <c r="Q65" s="5"/>
      <c r="R65" s="5"/>
      <c r="S65" s="5"/>
    </row>
    <row r="66" spans="1:19" x14ac:dyDescent="0.3">
      <c r="A66">
        <v>40</v>
      </c>
      <c r="B66" t="e">
        <f t="shared" si="1"/>
        <v>#REF!</v>
      </c>
      <c r="C66" s="5" t="e">
        <f t="shared" si="2"/>
        <v>#REF!</v>
      </c>
      <c r="D66" s="5" t="e">
        <f>G65*#REF!*$C$20</f>
        <v>#REF!</v>
      </c>
      <c r="E66" s="5">
        <f t="shared" si="3"/>
        <v>6.0073048827681379E-2</v>
      </c>
      <c r="F66" s="5" t="e">
        <f>C65/(1+$C$16)</f>
        <v>#REF!</v>
      </c>
      <c r="G66" s="5">
        <f t="shared" si="4"/>
        <v>21.647447682498562</v>
      </c>
      <c r="H66" s="5"/>
      <c r="I66" s="5" t="e">
        <f>#REF!/G66</f>
        <v>#REF!</v>
      </c>
      <c r="J66" s="5"/>
      <c r="K66" s="5"/>
      <c r="L66" s="5"/>
      <c r="M66" s="5">
        <f t="shared" si="0"/>
        <v>0.24509803921631315</v>
      </c>
      <c r="N66" s="5" t="e">
        <f>(1-$C$20)*#REF!</f>
        <v>#REF!</v>
      </c>
      <c r="O66" s="5"/>
      <c r="P66" s="5"/>
      <c r="Q66" s="5"/>
      <c r="R66" s="5"/>
      <c r="S66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7"/>
  <sheetViews>
    <sheetView workbookViewId="0">
      <selection activeCell="F15" sqref="F15"/>
    </sheetView>
  </sheetViews>
  <sheetFormatPr defaultRowHeight="14.4" x14ac:dyDescent="0.3"/>
  <sheetData>
    <row r="1" spans="1:18" x14ac:dyDescent="0.3">
      <c r="A1" t="s">
        <v>29</v>
      </c>
    </row>
    <row r="3" spans="1:18" x14ac:dyDescent="0.3">
      <c r="A3" s="1" t="s">
        <v>0</v>
      </c>
      <c r="B3" s="1"/>
      <c r="C3" s="1"/>
    </row>
    <row r="4" spans="1:18" x14ac:dyDescent="0.3">
      <c r="A4" t="s">
        <v>30</v>
      </c>
    </row>
    <row r="5" spans="1:18" x14ac:dyDescent="0.3">
      <c r="A5" t="s">
        <v>32</v>
      </c>
    </row>
    <row r="6" spans="1:18" x14ac:dyDescent="0.3">
      <c r="A6" t="s">
        <v>33</v>
      </c>
      <c r="E6" s="3"/>
      <c r="F6" s="3"/>
      <c r="G6" s="3"/>
      <c r="H6" s="3"/>
      <c r="I6" s="3"/>
      <c r="J6" s="3"/>
      <c r="K6" s="3"/>
      <c r="L6" s="3"/>
      <c r="M6" s="3"/>
    </row>
    <row r="7" spans="1:18" x14ac:dyDescent="0.3">
      <c r="A7" t="s">
        <v>34</v>
      </c>
    </row>
    <row r="8" spans="1:18" x14ac:dyDescent="0.3">
      <c r="A8" t="s">
        <v>35</v>
      </c>
    </row>
    <row r="10" spans="1:18" x14ac:dyDescent="0.3">
      <c r="A10" s="1" t="s">
        <v>39</v>
      </c>
      <c r="B10" s="9">
        <v>0</v>
      </c>
      <c r="C10" s="1" t="s">
        <v>44</v>
      </c>
      <c r="D10" s="1">
        <v>10</v>
      </c>
      <c r="N10" s="1"/>
      <c r="O10" s="1"/>
      <c r="P10" s="1"/>
      <c r="Q10" s="1"/>
      <c r="R10" s="1"/>
    </row>
    <row r="11" spans="1:18" x14ac:dyDescent="0.3">
      <c r="A11" s="1" t="s">
        <v>11</v>
      </c>
      <c r="B11" s="9">
        <v>0.5</v>
      </c>
      <c r="C11" s="1"/>
      <c r="D11" s="1"/>
      <c r="K11" s="1"/>
      <c r="L11" s="1"/>
      <c r="M11" s="1"/>
      <c r="N11" s="1"/>
      <c r="O11" s="1"/>
      <c r="P11" s="1"/>
      <c r="Q11" s="1"/>
      <c r="R11" s="1"/>
    </row>
    <row r="12" spans="1:18" x14ac:dyDescent="0.3">
      <c r="A12" s="1" t="s">
        <v>19</v>
      </c>
      <c r="B12" s="9">
        <v>0.3</v>
      </c>
      <c r="C12" s="1"/>
      <c r="D12" s="1"/>
      <c r="G12" s="8"/>
      <c r="H12" s="8"/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 t="s">
        <v>54</v>
      </c>
      <c r="B13" s="5">
        <v>0</v>
      </c>
      <c r="C13" s="5"/>
      <c r="D13" s="5"/>
      <c r="K13" s="5"/>
      <c r="L13" s="5"/>
      <c r="M13" s="5"/>
      <c r="N13" s="5"/>
      <c r="O13" s="5"/>
      <c r="P13" s="5"/>
      <c r="Q13" s="5"/>
      <c r="R13" s="5"/>
    </row>
    <row r="14" spans="1:18" x14ac:dyDescent="0.3">
      <c r="A14" t="s">
        <v>53</v>
      </c>
      <c r="B14" s="5">
        <v>1</v>
      </c>
      <c r="C14" s="5"/>
      <c r="D14" s="5"/>
      <c r="K14" s="5"/>
      <c r="L14" s="5"/>
      <c r="M14" s="5"/>
      <c r="N14" s="5"/>
      <c r="O14" s="5"/>
      <c r="P14" s="5"/>
      <c r="Q14" s="5"/>
      <c r="R14" s="5"/>
    </row>
    <row r="15" spans="1:18" x14ac:dyDescent="0.3">
      <c r="A15" t="s">
        <v>46</v>
      </c>
      <c r="B15" s="5">
        <v>1</v>
      </c>
      <c r="C15" s="5"/>
      <c r="D15" s="5"/>
      <c r="K15" s="5"/>
      <c r="L15" s="5"/>
      <c r="M15" s="5"/>
      <c r="N15" s="5"/>
      <c r="O15" s="5"/>
      <c r="P15" s="5"/>
      <c r="Q15" s="5"/>
      <c r="R15" s="5"/>
    </row>
    <row r="16" spans="1:18" x14ac:dyDescent="0.3">
      <c r="B16" s="5"/>
      <c r="D16" s="5"/>
      <c r="E16" s="5"/>
      <c r="F16" s="5"/>
      <c r="G16" s="5"/>
      <c r="H16" s="5"/>
      <c r="K16" s="5"/>
      <c r="L16" s="5"/>
      <c r="M16" s="5"/>
      <c r="N16" s="5"/>
      <c r="O16" s="5"/>
      <c r="P16" s="5"/>
      <c r="Q16" s="5"/>
      <c r="R16" s="5"/>
    </row>
    <row r="17" spans="1:18" x14ac:dyDescent="0.3">
      <c r="A17" s="1" t="s">
        <v>14</v>
      </c>
      <c r="B17" s="1" t="s">
        <v>46</v>
      </c>
      <c r="C17" s="1" t="s">
        <v>44</v>
      </c>
      <c r="D17" s="1" t="s">
        <v>12</v>
      </c>
      <c r="E17" s="1" t="s">
        <v>45</v>
      </c>
      <c r="F17" s="1" t="s">
        <v>57</v>
      </c>
      <c r="G17" s="1" t="s">
        <v>3</v>
      </c>
      <c r="H17" s="1" t="s">
        <v>58</v>
      </c>
      <c r="I17" s="1" t="s">
        <v>47</v>
      </c>
      <c r="J17" s="1" t="s">
        <v>48</v>
      </c>
      <c r="K17" s="1" t="s">
        <v>55</v>
      </c>
      <c r="L17" s="1" t="s">
        <v>56</v>
      </c>
      <c r="M17" s="1" t="s">
        <v>42</v>
      </c>
      <c r="N17" s="1" t="s">
        <v>15</v>
      </c>
      <c r="O17" s="1" t="s">
        <v>16</v>
      </c>
      <c r="Q17" s="1"/>
      <c r="R17" s="1"/>
    </row>
    <row r="18" spans="1:18" x14ac:dyDescent="0.3">
      <c r="A18">
        <v>1</v>
      </c>
      <c r="B18" s="5">
        <f>B15</f>
        <v>1</v>
      </c>
      <c r="C18" s="5">
        <f>D10</f>
        <v>10</v>
      </c>
      <c r="D18" s="5">
        <f>B18/C18</f>
        <v>0.1</v>
      </c>
      <c r="E18" s="5">
        <f>$B$14*B18</f>
        <v>1</v>
      </c>
      <c r="F18" s="5">
        <f>E18</f>
        <v>1</v>
      </c>
      <c r="G18" s="5">
        <f>E18/C18</f>
        <v>0.1</v>
      </c>
      <c r="H18" s="5">
        <f>G18</f>
        <v>0.1</v>
      </c>
      <c r="I18" s="5">
        <f>$B$12*E18-$B$13*B18</f>
        <v>0.3</v>
      </c>
      <c r="J18" s="5">
        <f>I18/B18</f>
        <v>0.3</v>
      </c>
      <c r="K18" s="5">
        <f>$B$12*(E18/B18)-$B$13</f>
        <v>0.3</v>
      </c>
      <c r="L18" s="5">
        <f>$B$12*$B$14-$B$13</f>
        <v>0.3</v>
      </c>
      <c r="M18" s="5">
        <f>K18-$B$10</f>
        <v>0.3</v>
      </c>
      <c r="N18" s="5">
        <f>(1-$B$12)*G18</f>
        <v>6.9999999999999993E-2</v>
      </c>
      <c r="O18" s="5">
        <f>$B$12*G18</f>
        <v>0.03</v>
      </c>
    </row>
    <row r="19" spans="1:18" x14ac:dyDescent="0.3">
      <c r="A19">
        <v>2</v>
      </c>
      <c r="B19" s="5">
        <f>B18+I18</f>
        <v>1.3</v>
      </c>
      <c r="C19" s="5">
        <f>(1+$B$10)*C18</f>
        <v>10</v>
      </c>
      <c r="D19" s="5">
        <f>B19/C19</f>
        <v>0.13</v>
      </c>
      <c r="E19" s="5">
        <f>$B$14*B19</f>
        <v>1.3</v>
      </c>
      <c r="F19" s="5">
        <f>F18*(1+K18)</f>
        <v>1.3</v>
      </c>
      <c r="G19" s="5">
        <f>E19/C19</f>
        <v>0.13</v>
      </c>
      <c r="H19" s="5">
        <f>H18*(1+M18)</f>
        <v>0.13</v>
      </c>
      <c r="I19" s="5">
        <f>$B$12*E19-$B$13*B19</f>
        <v>0.39</v>
      </c>
      <c r="J19" s="5">
        <f>I19/B19</f>
        <v>0.3</v>
      </c>
      <c r="K19" s="5">
        <f>$B$12*(E19/B19)-$B$13</f>
        <v>0.3</v>
      </c>
      <c r="L19" s="5">
        <f>$B$12*$B$14-$B$13</f>
        <v>0.3</v>
      </c>
      <c r="M19" s="5">
        <f>K19-$B$10</f>
        <v>0.3</v>
      </c>
      <c r="N19" s="5">
        <f>(1-$B$12)*G19</f>
        <v>9.0999999999999998E-2</v>
      </c>
      <c r="O19" s="5">
        <f>$B$12*G19</f>
        <v>3.9E-2</v>
      </c>
    </row>
    <row r="20" spans="1:18" x14ac:dyDescent="0.3">
      <c r="A20">
        <v>3</v>
      </c>
      <c r="B20" s="5">
        <f t="shared" ref="B20:B37" si="0">B19+I19</f>
        <v>1.69</v>
      </c>
      <c r="C20" s="5">
        <f t="shared" ref="C20:C37" si="1">(1+$B$10)*C19</f>
        <v>10</v>
      </c>
      <c r="D20" s="5">
        <f t="shared" ref="D20:D37" si="2">B20/C20</f>
        <v>0.16899999999999998</v>
      </c>
      <c r="E20" s="5">
        <f t="shared" ref="E20:E37" si="3">$B$14*B20</f>
        <v>1.69</v>
      </c>
      <c r="F20" s="5">
        <f t="shared" ref="F20:F37" si="4">F19*(1+K19)</f>
        <v>1.6900000000000002</v>
      </c>
      <c r="G20" s="5">
        <f>E20/C20</f>
        <v>0.16899999999999998</v>
      </c>
      <c r="H20" s="5">
        <f t="shared" ref="H20:H37" si="5">H19*(1+M19)</f>
        <v>0.16900000000000001</v>
      </c>
      <c r="I20" s="5">
        <f t="shared" ref="I20:I37" si="6">$B$12*E20-$B$13*B20</f>
        <v>0.50700000000000001</v>
      </c>
      <c r="J20" s="5">
        <f t="shared" ref="J20:J37" si="7">I20/B20</f>
        <v>0.3</v>
      </c>
      <c r="K20" s="5">
        <f t="shared" ref="K20:K37" si="8">$B$12*(E20/B20)-$B$13</f>
        <v>0.3</v>
      </c>
      <c r="L20" s="5">
        <f t="shared" ref="L20:L37" si="9">$B$12*$B$14-$B$13</f>
        <v>0.3</v>
      </c>
      <c r="M20" s="5">
        <f t="shared" ref="M20:M37" si="10">K20-$B$10</f>
        <v>0.3</v>
      </c>
      <c r="N20" s="5">
        <f t="shared" ref="N20:N37" si="11">(1-$B$12)*G20</f>
        <v>0.11829999999999997</v>
      </c>
      <c r="O20" s="5">
        <f t="shared" ref="O20:O37" si="12">$B$12*G20</f>
        <v>5.0699999999999995E-2</v>
      </c>
    </row>
    <row r="21" spans="1:18" x14ac:dyDescent="0.3">
      <c r="A21">
        <v>4</v>
      </c>
      <c r="B21" s="5">
        <f t="shared" si="0"/>
        <v>2.1970000000000001</v>
      </c>
      <c r="C21" s="5">
        <f t="shared" si="1"/>
        <v>10</v>
      </c>
      <c r="D21" s="5">
        <f t="shared" si="2"/>
        <v>0.21970000000000001</v>
      </c>
      <c r="E21" s="5">
        <f t="shared" si="3"/>
        <v>2.1970000000000001</v>
      </c>
      <c r="F21" s="5">
        <f t="shared" si="4"/>
        <v>2.1970000000000005</v>
      </c>
      <c r="G21" s="5">
        <f t="shared" ref="G21:G36" si="13">E21/C21</f>
        <v>0.21970000000000001</v>
      </c>
      <c r="H21" s="5">
        <f t="shared" si="5"/>
        <v>0.21970000000000003</v>
      </c>
      <c r="I21" s="5">
        <f t="shared" si="6"/>
        <v>0.65910000000000002</v>
      </c>
      <c r="J21" s="5">
        <f t="shared" si="7"/>
        <v>0.3</v>
      </c>
      <c r="K21" s="5">
        <f t="shared" si="8"/>
        <v>0.3</v>
      </c>
      <c r="L21" s="5">
        <f t="shared" si="9"/>
        <v>0.3</v>
      </c>
      <c r="M21" s="5">
        <f t="shared" si="10"/>
        <v>0.3</v>
      </c>
      <c r="N21" s="5">
        <f t="shared" si="11"/>
        <v>0.15378999999999998</v>
      </c>
      <c r="O21" s="5">
        <f t="shared" si="12"/>
        <v>6.5909999999999996E-2</v>
      </c>
    </row>
    <row r="22" spans="1:18" x14ac:dyDescent="0.3">
      <c r="A22">
        <v>5</v>
      </c>
      <c r="B22" s="5">
        <f t="shared" si="0"/>
        <v>2.8561000000000001</v>
      </c>
      <c r="C22" s="5">
        <f t="shared" si="1"/>
        <v>10</v>
      </c>
      <c r="D22" s="5">
        <f t="shared" si="2"/>
        <v>0.28561000000000003</v>
      </c>
      <c r="E22" s="5">
        <f t="shared" si="3"/>
        <v>2.8561000000000001</v>
      </c>
      <c r="F22" s="5">
        <f t="shared" si="4"/>
        <v>2.856100000000001</v>
      </c>
      <c r="G22" s="5">
        <f>E22/C22</f>
        <v>0.28561000000000003</v>
      </c>
      <c r="H22" s="5">
        <f t="shared" si="5"/>
        <v>0.28561000000000003</v>
      </c>
      <c r="I22" s="5">
        <f t="shared" si="6"/>
        <v>0.85682999999999998</v>
      </c>
      <c r="J22" s="5">
        <f t="shared" si="7"/>
        <v>0.3</v>
      </c>
      <c r="K22" s="5">
        <f t="shared" si="8"/>
        <v>0.3</v>
      </c>
      <c r="L22" s="5">
        <f t="shared" si="9"/>
        <v>0.3</v>
      </c>
      <c r="M22" s="5">
        <f t="shared" si="10"/>
        <v>0.3</v>
      </c>
      <c r="N22" s="5">
        <f t="shared" si="11"/>
        <v>0.19992700000000002</v>
      </c>
      <c r="O22" s="5">
        <f t="shared" si="12"/>
        <v>8.5683000000000009E-2</v>
      </c>
    </row>
    <row r="23" spans="1:18" x14ac:dyDescent="0.3">
      <c r="A23">
        <v>6</v>
      </c>
      <c r="B23" s="5">
        <f t="shared" si="0"/>
        <v>3.7129300000000001</v>
      </c>
      <c r="C23" s="5">
        <f t="shared" si="1"/>
        <v>10</v>
      </c>
      <c r="D23" s="5">
        <f t="shared" si="2"/>
        <v>0.37129299999999998</v>
      </c>
      <c r="E23" s="5">
        <f t="shared" si="3"/>
        <v>3.7129300000000001</v>
      </c>
      <c r="F23" s="5">
        <f t="shared" si="4"/>
        <v>3.7129300000000014</v>
      </c>
      <c r="G23" s="5">
        <f t="shared" si="13"/>
        <v>0.37129299999999998</v>
      </c>
      <c r="H23" s="5">
        <f t="shared" si="5"/>
        <v>0.37129300000000004</v>
      </c>
      <c r="I23" s="5">
        <f t="shared" si="6"/>
        <v>1.1138790000000001</v>
      </c>
      <c r="J23" s="5">
        <f t="shared" si="7"/>
        <v>0.3</v>
      </c>
      <c r="K23" s="5">
        <f t="shared" si="8"/>
        <v>0.3</v>
      </c>
      <c r="L23" s="5">
        <f t="shared" si="9"/>
        <v>0.3</v>
      </c>
      <c r="M23" s="5">
        <f t="shared" si="10"/>
        <v>0.3</v>
      </c>
      <c r="N23" s="5">
        <f t="shared" si="11"/>
        <v>0.2599051</v>
      </c>
      <c r="O23" s="5">
        <f t="shared" si="12"/>
        <v>0.1113879</v>
      </c>
    </row>
    <row r="24" spans="1:18" x14ac:dyDescent="0.3">
      <c r="A24">
        <v>7</v>
      </c>
      <c r="B24" s="5">
        <f t="shared" si="0"/>
        <v>4.8268089999999999</v>
      </c>
      <c r="C24" s="5">
        <f t="shared" si="1"/>
        <v>10</v>
      </c>
      <c r="D24" s="5">
        <f t="shared" si="2"/>
        <v>0.48268089999999997</v>
      </c>
      <c r="E24" s="5">
        <f t="shared" si="3"/>
        <v>4.8268089999999999</v>
      </c>
      <c r="F24" s="5">
        <f t="shared" si="4"/>
        <v>4.8268090000000017</v>
      </c>
      <c r="G24" s="5">
        <f t="shared" si="13"/>
        <v>0.48268089999999997</v>
      </c>
      <c r="H24" s="5">
        <f>H23*(1+M23)</f>
        <v>0.48268090000000008</v>
      </c>
      <c r="I24" s="5">
        <f t="shared" si="6"/>
        <v>1.4480427</v>
      </c>
      <c r="J24" s="5">
        <f t="shared" si="7"/>
        <v>0.3</v>
      </c>
      <c r="K24" s="5">
        <f t="shared" si="8"/>
        <v>0.3</v>
      </c>
      <c r="L24" s="5">
        <f t="shared" si="9"/>
        <v>0.3</v>
      </c>
      <c r="M24" s="5">
        <f t="shared" si="10"/>
        <v>0.3</v>
      </c>
      <c r="N24" s="5">
        <f t="shared" si="11"/>
        <v>0.33787662999999996</v>
      </c>
      <c r="O24" s="5">
        <f t="shared" si="12"/>
        <v>0.14480426999999998</v>
      </c>
    </row>
    <row r="25" spans="1:18" x14ac:dyDescent="0.3">
      <c r="A25">
        <v>8</v>
      </c>
      <c r="B25" s="5">
        <f t="shared" si="0"/>
        <v>6.2748517000000001</v>
      </c>
      <c r="C25" s="5">
        <f t="shared" si="1"/>
        <v>10</v>
      </c>
      <c r="D25" s="5">
        <f t="shared" si="2"/>
        <v>0.62748517000000004</v>
      </c>
      <c r="E25" s="5">
        <f t="shared" si="3"/>
        <v>6.2748517000000001</v>
      </c>
      <c r="F25" s="5">
        <f t="shared" si="4"/>
        <v>6.2748517000000028</v>
      </c>
      <c r="G25" s="5">
        <f t="shared" si="13"/>
        <v>0.62748517000000004</v>
      </c>
      <c r="H25" s="5">
        <f t="shared" si="5"/>
        <v>0.62748517000000015</v>
      </c>
      <c r="I25" s="5">
        <f t="shared" si="6"/>
        <v>1.88245551</v>
      </c>
      <c r="J25" s="5">
        <f t="shared" si="7"/>
        <v>0.3</v>
      </c>
      <c r="K25" s="5">
        <f t="shared" si="8"/>
        <v>0.3</v>
      </c>
      <c r="L25" s="5">
        <f t="shared" si="9"/>
        <v>0.3</v>
      </c>
      <c r="M25" s="5">
        <f t="shared" si="10"/>
        <v>0.3</v>
      </c>
      <c r="N25" s="5">
        <f t="shared" si="11"/>
        <v>0.43923961899999997</v>
      </c>
      <c r="O25" s="5">
        <f t="shared" si="12"/>
        <v>0.18824555100000001</v>
      </c>
    </row>
    <row r="26" spans="1:18" x14ac:dyDescent="0.3">
      <c r="A26">
        <v>9</v>
      </c>
      <c r="B26" s="5">
        <f t="shared" si="0"/>
        <v>8.1573072100000008</v>
      </c>
      <c r="C26" s="5">
        <f t="shared" si="1"/>
        <v>10</v>
      </c>
      <c r="D26" s="5">
        <f t="shared" si="2"/>
        <v>0.8157307210000001</v>
      </c>
      <c r="E26" s="5">
        <f t="shared" si="3"/>
        <v>8.1573072100000008</v>
      </c>
      <c r="F26" s="5">
        <f t="shared" si="4"/>
        <v>8.1573072100000044</v>
      </c>
      <c r="G26" s="5">
        <f t="shared" si="13"/>
        <v>0.8157307210000001</v>
      </c>
      <c r="H26" s="5">
        <f t="shared" si="5"/>
        <v>0.81573072100000021</v>
      </c>
      <c r="I26" s="5">
        <f t="shared" si="6"/>
        <v>2.447192163</v>
      </c>
      <c r="J26" s="5">
        <f t="shared" si="7"/>
        <v>0.3</v>
      </c>
      <c r="K26" s="5">
        <f t="shared" si="8"/>
        <v>0.3</v>
      </c>
      <c r="L26" s="5">
        <f t="shared" si="9"/>
        <v>0.3</v>
      </c>
      <c r="M26" s="5">
        <f t="shared" si="10"/>
        <v>0.3</v>
      </c>
      <c r="N26" s="5">
        <f t="shared" si="11"/>
        <v>0.57101150470000006</v>
      </c>
      <c r="O26" s="5">
        <f t="shared" si="12"/>
        <v>0.24471921630000001</v>
      </c>
    </row>
    <row r="27" spans="1:18" x14ac:dyDescent="0.3">
      <c r="A27">
        <v>10</v>
      </c>
      <c r="B27" s="5">
        <f t="shared" si="0"/>
        <v>10.604499373000001</v>
      </c>
      <c r="C27" s="5">
        <f t="shared" si="1"/>
        <v>10</v>
      </c>
      <c r="D27" s="5">
        <f t="shared" si="2"/>
        <v>1.0604499373</v>
      </c>
      <c r="E27" s="5">
        <f t="shared" si="3"/>
        <v>10.604499373000001</v>
      </c>
      <c r="F27" s="5">
        <f t="shared" si="4"/>
        <v>10.604499373000007</v>
      </c>
      <c r="G27" s="5">
        <f t="shared" si="13"/>
        <v>1.0604499373</v>
      </c>
      <c r="H27" s="5">
        <f t="shared" si="5"/>
        <v>1.0604499373000003</v>
      </c>
      <c r="I27" s="5">
        <f t="shared" si="6"/>
        <v>3.1813498119000001</v>
      </c>
      <c r="J27" s="5">
        <f t="shared" si="7"/>
        <v>0.3</v>
      </c>
      <c r="K27" s="5">
        <f t="shared" si="8"/>
        <v>0.3</v>
      </c>
      <c r="L27" s="5">
        <f t="shared" si="9"/>
        <v>0.3</v>
      </c>
      <c r="M27" s="5">
        <f t="shared" si="10"/>
        <v>0.3</v>
      </c>
      <c r="N27" s="5">
        <f t="shared" si="11"/>
        <v>0.74231495610999998</v>
      </c>
      <c r="O27" s="5">
        <f t="shared" si="12"/>
        <v>0.31813498119</v>
      </c>
    </row>
    <row r="28" spans="1:18" x14ac:dyDescent="0.3">
      <c r="A28">
        <v>11</v>
      </c>
      <c r="B28" s="5">
        <f t="shared" si="0"/>
        <v>13.785849184900002</v>
      </c>
      <c r="C28" s="5">
        <f t="shared" si="1"/>
        <v>10</v>
      </c>
      <c r="D28" s="5">
        <f t="shared" si="2"/>
        <v>1.3785849184900001</v>
      </c>
      <c r="E28" s="5">
        <f t="shared" si="3"/>
        <v>13.785849184900002</v>
      </c>
      <c r="F28" s="5">
        <f t="shared" si="4"/>
        <v>13.785849184900009</v>
      </c>
      <c r="G28" s="5">
        <f t="shared" si="13"/>
        <v>1.3785849184900001</v>
      </c>
      <c r="H28" s="5">
        <f t="shared" si="5"/>
        <v>1.3785849184900003</v>
      </c>
      <c r="I28" s="5">
        <f t="shared" si="6"/>
        <v>4.1357547554700007</v>
      </c>
      <c r="J28" s="5">
        <f t="shared" si="7"/>
        <v>0.3</v>
      </c>
      <c r="K28" s="5">
        <f t="shared" si="8"/>
        <v>0.3</v>
      </c>
      <c r="L28" s="5">
        <f t="shared" si="9"/>
        <v>0.3</v>
      </c>
      <c r="M28" s="5">
        <f t="shared" si="10"/>
        <v>0.3</v>
      </c>
      <c r="N28" s="5">
        <f t="shared" si="11"/>
        <v>0.96500944294299995</v>
      </c>
      <c r="O28" s="5">
        <f t="shared" si="12"/>
        <v>0.41357547554700003</v>
      </c>
    </row>
    <row r="29" spans="1:18" x14ac:dyDescent="0.3">
      <c r="A29">
        <v>12</v>
      </c>
      <c r="B29" s="5">
        <f t="shared" si="0"/>
        <v>17.921603940370002</v>
      </c>
      <c r="C29" s="5">
        <f t="shared" si="1"/>
        <v>10</v>
      </c>
      <c r="D29" s="5">
        <f t="shared" si="2"/>
        <v>1.7921603940370001</v>
      </c>
      <c r="E29" s="5">
        <f t="shared" si="3"/>
        <v>17.921603940370002</v>
      </c>
      <c r="F29" s="5">
        <f t="shared" si="4"/>
        <v>17.921603940370012</v>
      </c>
      <c r="G29" s="5">
        <f t="shared" si="13"/>
        <v>1.7921603940370001</v>
      </c>
      <c r="H29" s="5">
        <f t="shared" si="5"/>
        <v>1.7921603940370006</v>
      </c>
      <c r="I29" s="5">
        <f t="shared" si="6"/>
        <v>5.3764811821110001</v>
      </c>
      <c r="J29" s="5">
        <f t="shared" si="7"/>
        <v>0.3</v>
      </c>
      <c r="K29" s="5">
        <f t="shared" si="8"/>
        <v>0.3</v>
      </c>
      <c r="L29" s="5">
        <f t="shared" si="9"/>
        <v>0.3</v>
      </c>
      <c r="M29" s="5">
        <f t="shared" si="10"/>
        <v>0.3</v>
      </c>
      <c r="N29" s="5">
        <f t="shared" si="11"/>
        <v>1.2545122758259</v>
      </c>
      <c r="O29" s="5">
        <f t="shared" si="12"/>
        <v>0.53764811821110003</v>
      </c>
    </row>
    <row r="30" spans="1:18" x14ac:dyDescent="0.3">
      <c r="A30">
        <v>13</v>
      </c>
      <c r="B30" s="5">
        <f t="shared" si="0"/>
        <v>23.298085122481002</v>
      </c>
      <c r="C30" s="5">
        <f t="shared" si="1"/>
        <v>10</v>
      </c>
      <c r="D30" s="5">
        <f t="shared" si="2"/>
        <v>2.3298085122481003</v>
      </c>
      <c r="E30" s="5">
        <f t="shared" si="3"/>
        <v>23.298085122481002</v>
      </c>
      <c r="F30" s="5">
        <f t="shared" si="4"/>
        <v>23.298085122481016</v>
      </c>
      <c r="G30" s="5">
        <f t="shared" si="13"/>
        <v>2.3298085122481003</v>
      </c>
      <c r="H30" s="5">
        <f t="shared" si="5"/>
        <v>2.3298085122481007</v>
      </c>
      <c r="I30" s="5">
        <f t="shared" si="6"/>
        <v>6.9894255367443003</v>
      </c>
      <c r="J30" s="5">
        <f t="shared" si="7"/>
        <v>0.3</v>
      </c>
      <c r="K30" s="5">
        <f t="shared" si="8"/>
        <v>0.3</v>
      </c>
      <c r="L30" s="5">
        <f t="shared" si="9"/>
        <v>0.3</v>
      </c>
      <c r="M30" s="5">
        <f t="shared" si="10"/>
        <v>0.3</v>
      </c>
      <c r="N30" s="5">
        <f t="shared" si="11"/>
        <v>1.63086595857367</v>
      </c>
      <c r="O30" s="5">
        <f t="shared" si="12"/>
        <v>0.69894255367443003</v>
      </c>
    </row>
    <row r="31" spans="1:18" x14ac:dyDescent="0.3">
      <c r="A31">
        <v>14</v>
      </c>
      <c r="B31" s="5">
        <f t="shared" si="0"/>
        <v>30.287510659225301</v>
      </c>
      <c r="C31" s="5">
        <f t="shared" si="1"/>
        <v>10</v>
      </c>
      <c r="D31" s="5">
        <f t="shared" si="2"/>
        <v>3.0287510659225303</v>
      </c>
      <c r="E31" s="5">
        <f t="shared" si="3"/>
        <v>30.287510659225301</v>
      </c>
      <c r="F31" s="5">
        <f t="shared" si="4"/>
        <v>30.287510659225322</v>
      </c>
      <c r="G31" s="5">
        <f t="shared" si="13"/>
        <v>3.0287510659225303</v>
      </c>
      <c r="H31" s="5">
        <f t="shared" si="5"/>
        <v>3.0287510659225312</v>
      </c>
      <c r="I31" s="5">
        <f t="shared" si="6"/>
        <v>9.08625319776759</v>
      </c>
      <c r="J31" s="5">
        <f t="shared" si="7"/>
        <v>0.3</v>
      </c>
      <c r="K31" s="5">
        <f t="shared" si="8"/>
        <v>0.3</v>
      </c>
      <c r="L31" s="5">
        <f t="shared" si="9"/>
        <v>0.3</v>
      </c>
      <c r="M31" s="5">
        <f t="shared" si="10"/>
        <v>0.3</v>
      </c>
      <c r="N31" s="5">
        <f t="shared" si="11"/>
        <v>2.1201257461457712</v>
      </c>
      <c r="O31" s="5">
        <f t="shared" si="12"/>
        <v>0.90862531977675909</v>
      </c>
    </row>
    <row r="32" spans="1:18" x14ac:dyDescent="0.3">
      <c r="A32">
        <v>15</v>
      </c>
      <c r="B32" s="5">
        <f t="shared" si="0"/>
        <v>39.373763856992895</v>
      </c>
      <c r="C32" s="5">
        <f t="shared" si="1"/>
        <v>10</v>
      </c>
      <c r="D32" s="5">
        <f t="shared" si="2"/>
        <v>3.9373763856992894</v>
      </c>
      <c r="E32" s="5">
        <f t="shared" si="3"/>
        <v>39.373763856992895</v>
      </c>
      <c r="F32" s="5">
        <f t="shared" si="4"/>
        <v>39.373763856992923</v>
      </c>
      <c r="G32" s="5">
        <f t="shared" si="13"/>
        <v>3.9373763856992894</v>
      </c>
      <c r="H32" s="5">
        <f t="shared" si="5"/>
        <v>3.9373763856992907</v>
      </c>
      <c r="I32" s="5">
        <f t="shared" si="6"/>
        <v>11.812129157097868</v>
      </c>
      <c r="J32" s="5">
        <f t="shared" si="7"/>
        <v>0.3</v>
      </c>
      <c r="K32" s="5">
        <f t="shared" si="8"/>
        <v>0.3</v>
      </c>
      <c r="L32" s="5">
        <f t="shared" si="9"/>
        <v>0.3</v>
      </c>
      <c r="M32" s="5">
        <f t="shared" si="10"/>
        <v>0.3</v>
      </c>
      <c r="N32" s="5">
        <f t="shared" si="11"/>
        <v>2.7561634699895023</v>
      </c>
      <c r="O32" s="5">
        <f t="shared" si="12"/>
        <v>1.1812129157097868</v>
      </c>
    </row>
    <row r="33" spans="1:15" x14ac:dyDescent="0.3">
      <c r="A33">
        <v>16</v>
      </c>
      <c r="B33" s="5">
        <f t="shared" si="0"/>
        <v>51.185893014090766</v>
      </c>
      <c r="C33" s="5">
        <f t="shared" si="1"/>
        <v>10</v>
      </c>
      <c r="D33" s="5">
        <f t="shared" si="2"/>
        <v>5.1185893014090764</v>
      </c>
      <c r="E33" s="5">
        <f t="shared" si="3"/>
        <v>51.185893014090766</v>
      </c>
      <c r="F33" s="5">
        <f t="shared" si="4"/>
        <v>51.185893014090802</v>
      </c>
      <c r="G33" s="5">
        <f t="shared" si="13"/>
        <v>5.1185893014090764</v>
      </c>
      <c r="H33" s="5">
        <f t="shared" si="5"/>
        <v>5.1185893014090782</v>
      </c>
      <c r="I33" s="5">
        <f t="shared" si="6"/>
        <v>15.355767904227228</v>
      </c>
      <c r="J33" s="5">
        <f t="shared" si="7"/>
        <v>0.3</v>
      </c>
      <c r="K33" s="5">
        <f t="shared" si="8"/>
        <v>0.3</v>
      </c>
      <c r="L33" s="5">
        <f t="shared" si="9"/>
        <v>0.3</v>
      </c>
      <c r="M33" s="5">
        <f t="shared" si="10"/>
        <v>0.3</v>
      </c>
      <c r="N33" s="5">
        <f t="shared" si="11"/>
        <v>3.5830125109863533</v>
      </c>
      <c r="O33" s="5">
        <f t="shared" si="12"/>
        <v>1.5355767904227229</v>
      </c>
    </row>
    <row r="34" spans="1:15" x14ac:dyDescent="0.3">
      <c r="A34">
        <v>17</v>
      </c>
      <c r="B34" s="5">
        <f t="shared" si="0"/>
        <v>66.541660918318001</v>
      </c>
      <c r="C34" s="5">
        <f t="shared" si="1"/>
        <v>10</v>
      </c>
      <c r="D34" s="5">
        <f t="shared" si="2"/>
        <v>6.6541660918318</v>
      </c>
      <c r="E34" s="5">
        <f t="shared" si="3"/>
        <v>66.541660918318001</v>
      </c>
      <c r="F34" s="5">
        <f t="shared" si="4"/>
        <v>66.541660918318044</v>
      </c>
      <c r="G34" s="5">
        <f t="shared" si="13"/>
        <v>6.6541660918318</v>
      </c>
      <c r="H34" s="5">
        <f t="shared" si="5"/>
        <v>6.6541660918318017</v>
      </c>
      <c r="I34" s="5">
        <f t="shared" si="6"/>
        <v>19.962498275495399</v>
      </c>
      <c r="J34" s="5">
        <f t="shared" si="7"/>
        <v>0.3</v>
      </c>
      <c r="K34" s="5">
        <f t="shared" si="8"/>
        <v>0.3</v>
      </c>
      <c r="L34" s="5">
        <f t="shared" si="9"/>
        <v>0.3</v>
      </c>
      <c r="M34" s="5">
        <f t="shared" si="10"/>
        <v>0.3</v>
      </c>
      <c r="N34" s="5">
        <f t="shared" si="11"/>
        <v>4.6579162642822594</v>
      </c>
      <c r="O34" s="5">
        <f t="shared" si="12"/>
        <v>1.9962498275495399</v>
      </c>
    </row>
    <row r="35" spans="1:15" x14ac:dyDescent="0.3">
      <c r="A35">
        <v>18</v>
      </c>
      <c r="B35" s="5">
        <f t="shared" si="0"/>
        <v>86.504159193813393</v>
      </c>
      <c r="C35" s="5">
        <f t="shared" si="1"/>
        <v>10</v>
      </c>
      <c r="D35" s="5">
        <f t="shared" si="2"/>
        <v>8.6504159193813397</v>
      </c>
      <c r="E35" s="5">
        <f t="shared" si="3"/>
        <v>86.504159193813393</v>
      </c>
      <c r="F35" s="5">
        <f t="shared" si="4"/>
        <v>86.504159193813464</v>
      </c>
      <c r="G35" s="5">
        <f t="shared" si="13"/>
        <v>8.6504159193813397</v>
      </c>
      <c r="H35" s="5">
        <f t="shared" si="5"/>
        <v>8.6504159193813432</v>
      </c>
      <c r="I35" s="5">
        <f t="shared" si="6"/>
        <v>25.951247758144017</v>
      </c>
      <c r="J35" s="5">
        <f t="shared" si="7"/>
        <v>0.3</v>
      </c>
      <c r="K35" s="5">
        <f t="shared" si="8"/>
        <v>0.3</v>
      </c>
      <c r="L35" s="5">
        <f t="shared" si="9"/>
        <v>0.3</v>
      </c>
      <c r="M35" s="5">
        <f t="shared" si="10"/>
        <v>0.3</v>
      </c>
      <c r="N35" s="5">
        <f t="shared" si="11"/>
        <v>6.0552911435669374</v>
      </c>
      <c r="O35" s="5">
        <f t="shared" si="12"/>
        <v>2.5951247758144018</v>
      </c>
    </row>
    <row r="36" spans="1:15" x14ac:dyDescent="0.3">
      <c r="A36">
        <v>19</v>
      </c>
      <c r="B36" s="5">
        <f t="shared" si="0"/>
        <v>112.45540695195741</v>
      </c>
      <c r="C36" s="5">
        <f t="shared" si="1"/>
        <v>10</v>
      </c>
      <c r="D36" s="5">
        <f t="shared" si="2"/>
        <v>11.245540695195741</v>
      </c>
      <c r="E36" s="5">
        <f t="shared" si="3"/>
        <v>112.45540695195741</v>
      </c>
      <c r="F36" s="5">
        <f t="shared" si="4"/>
        <v>112.45540695195751</v>
      </c>
      <c r="G36" s="5">
        <f t="shared" si="13"/>
        <v>11.245540695195741</v>
      </c>
      <c r="H36" s="5">
        <f t="shared" si="5"/>
        <v>11.245540695195746</v>
      </c>
      <c r="I36" s="5">
        <f t="shared" si="6"/>
        <v>33.736622085587221</v>
      </c>
      <c r="J36" s="5">
        <f t="shared" si="7"/>
        <v>0.3</v>
      </c>
      <c r="K36" s="5">
        <f t="shared" si="8"/>
        <v>0.3</v>
      </c>
      <c r="L36" s="5">
        <f t="shared" si="9"/>
        <v>0.3</v>
      </c>
      <c r="M36" s="5">
        <f t="shared" si="10"/>
        <v>0.3</v>
      </c>
      <c r="N36" s="5">
        <f t="shared" si="11"/>
        <v>7.8718784866370184</v>
      </c>
      <c r="O36" s="5">
        <f t="shared" si="12"/>
        <v>3.3736622085587222</v>
      </c>
    </row>
    <row r="37" spans="1:15" x14ac:dyDescent="0.3">
      <c r="A37">
        <v>20</v>
      </c>
      <c r="B37" s="5">
        <f t="shared" si="0"/>
        <v>146.19202903754464</v>
      </c>
      <c r="C37" s="5">
        <f t="shared" si="1"/>
        <v>10</v>
      </c>
      <c r="D37" s="5">
        <f t="shared" si="2"/>
        <v>14.619202903754465</v>
      </c>
      <c r="E37" s="5">
        <f t="shared" si="3"/>
        <v>146.19202903754464</v>
      </c>
      <c r="F37" s="5">
        <f t="shared" si="4"/>
        <v>146.19202903754478</v>
      </c>
      <c r="G37" s="5">
        <f>E37/C37</f>
        <v>14.619202903754465</v>
      </c>
      <c r="H37" s="5">
        <f t="shared" si="5"/>
        <v>14.61920290375447</v>
      </c>
      <c r="I37" s="5">
        <f t="shared" si="6"/>
        <v>43.857608711263389</v>
      </c>
      <c r="J37" s="5">
        <f t="shared" si="7"/>
        <v>0.3</v>
      </c>
      <c r="K37" s="5">
        <f t="shared" si="8"/>
        <v>0.3</v>
      </c>
      <c r="L37" s="5">
        <f t="shared" si="9"/>
        <v>0.3</v>
      </c>
      <c r="M37" s="5">
        <f t="shared" si="10"/>
        <v>0.3</v>
      </c>
      <c r="N37" s="5">
        <f t="shared" si="11"/>
        <v>10.233442032628124</v>
      </c>
      <c r="O37" s="5">
        <f t="shared" si="12"/>
        <v>4.3857608711263394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9"/>
  <sheetViews>
    <sheetView topLeftCell="A4" workbookViewId="0">
      <selection activeCell="B18" sqref="B18"/>
    </sheetView>
  </sheetViews>
  <sheetFormatPr defaultRowHeight="14.4" x14ac:dyDescent="0.3"/>
  <cols>
    <col min="2" max="2" width="11.5546875" bestFit="1" customWidth="1"/>
    <col min="4" max="4" width="10.5546875" bestFit="1" customWidth="1"/>
    <col min="5" max="5" width="11.5546875" bestFit="1" customWidth="1"/>
    <col min="6" max="6" width="10.5546875" customWidth="1"/>
    <col min="10" max="11" width="10.5546875" bestFit="1" customWidth="1"/>
    <col min="12" max="12" width="11.5546875" bestFit="1" customWidth="1"/>
  </cols>
  <sheetData>
    <row r="1" spans="1:14" x14ac:dyDescent="0.3">
      <c r="A1" t="s">
        <v>29</v>
      </c>
    </row>
    <row r="3" spans="1:14" x14ac:dyDescent="0.3">
      <c r="A3" s="1" t="s">
        <v>0</v>
      </c>
      <c r="B3" s="1"/>
      <c r="C3" s="1"/>
    </row>
    <row r="4" spans="1:14" x14ac:dyDescent="0.3">
      <c r="A4" t="s">
        <v>30</v>
      </c>
    </row>
    <row r="5" spans="1:14" x14ac:dyDescent="0.3">
      <c r="A5" t="s">
        <v>52</v>
      </c>
    </row>
    <row r="6" spans="1:14" x14ac:dyDescent="0.3">
      <c r="A6" t="s">
        <v>33</v>
      </c>
      <c r="E6" s="3"/>
      <c r="F6" s="3"/>
      <c r="G6" s="3"/>
      <c r="H6" s="3"/>
      <c r="I6" s="3"/>
    </row>
    <row r="7" spans="1:14" x14ac:dyDescent="0.3">
      <c r="A7" t="s">
        <v>34</v>
      </c>
    </row>
    <row r="8" spans="1:14" x14ac:dyDescent="0.3">
      <c r="A8" t="s">
        <v>35</v>
      </c>
    </row>
    <row r="10" spans="1:14" x14ac:dyDescent="0.3">
      <c r="A10" s="1" t="s">
        <v>9</v>
      </c>
      <c r="B10" s="1"/>
      <c r="C10" s="1"/>
    </row>
    <row r="11" spans="1:14" ht="16.2" x14ac:dyDescent="0.3">
      <c r="A11" t="s">
        <v>36</v>
      </c>
    </row>
    <row r="12" spans="1:14" ht="16.2" x14ac:dyDescent="0.3">
      <c r="A12" t="s">
        <v>37</v>
      </c>
    </row>
    <row r="13" spans="1:14" x14ac:dyDescent="0.3">
      <c r="A13" t="s">
        <v>38</v>
      </c>
    </row>
    <row r="15" spans="1:14" x14ac:dyDescent="0.3">
      <c r="A15" s="1" t="s">
        <v>39</v>
      </c>
      <c r="B15" s="1">
        <v>0</v>
      </c>
      <c r="C15" s="1" t="s">
        <v>44</v>
      </c>
      <c r="D15" s="1">
        <v>10</v>
      </c>
      <c r="J15" s="1"/>
      <c r="K15" s="1"/>
      <c r="L15" s="1"/>
      <c r="M15" s="1"/>
      <c r="N15" s="1"/>
    </row>
    <row r="16" spans="1:14" x14ac:dyDescent="0.3">
      <c r="A16" s="1" t="s">
        <v>11</v>
      </c>
      <c r="B16" s="1">
        <v>0.5</v>
      </c>
      <c r="C16" s="1"/>
      <c r="D16" s="1"/>
      <c r="I16" s="1"/>
      <c r="J16" s="1"/>
      <c r="K16" s="1"/>
      <c r="L16" s="1"/>
      <c r="M16" s="1"/>
      <c r="N16" s="1"/>
    </row>
    <row r="17" spans="1:15" x14ac:dyDescent="0.3">
      <c r="A17" s="1" t="s">
        <v>19</v>
      </c>
      <c r="B17" s="1">
        <v>0.3</v>
      </c>
      <c r="C17" s="1"/>
      <c r="D17" s="1"/>
      <c r="F17" s="8" t="s">
        <v>51</v>
      </c>
      <c r="I17" s="1"/>
      <c r="J17" s="1"/>
      <c r="K17" s="1"/>
      <c r="L17" s="1"/>
      <c r="M17" s="1"/>
      <c r="N17" s="1"/>
    </row>
    <row r="18" spans="1:15" x14ac:dyDescent="0.3">
      <c r="A18" t="s">
        <v>40</v>
      </c>
      <c r="B18" s="5">
        <v>1</v>
      </c>
      <c r="C18" s="5"/>
      <c r="D18" s="5"/>
      <c r="I18" s="5"/>
      <c r="J18" s="5"/>
      <c r="K18" s="5"/>
      <c r="L18" s="5"/>
      <c r="M18" s="5"/>
      <c r="N18" s="5"/>
    </row>
    <row r="19" spans="1:15" x14ac:dyDescent="0.3">
      <c r="A19" t="s">
        <v>41</v>
      </c>
      <c r="B19" s="5">
        <v>1</v>
      </c>
      <c r="C19" s="5"/>
      <c r="D19" s="5"/>
      <c r="I19" s="5"/>
      <c r="J19" s="5"/>
      <c r="K19" s="5"/>
      <c r="L19" s="5"/>
      <c r="M19" s="5"/>
      <c r="N19" s="5"/>
    </row>
    <row r="20" spans="1:15" x14ac:dyDescent="0.3">
      <c r="A20" t="s">
        <v>46</v>
      </c>
      <c r="B20" s="5">
        <v>1</v>
      </c>
      <c r="C20" s="5"/>
      <c r="D20" s="5"/>
      <c r="I20" s="5"/>
      <c r="J20" s="5"/>
      <c r="K20" s="5"/>
      <c r="L20" s="5"/>
      <c r="M20" s="5"/>
      <c r="N20" s="5"/>
    </row>
    <row r="21" spans="1:15" x14ac:dyDescent="0.3">
      <c r="B21" s="5"/>
      <c r="D21" s="5"/>
      <c r="E21" s="5"/>
      <c r="F21" s="5"/>
      <c r="I21" s="5"/>
      <c r="J21" s="5"/>
      <c r="K21" s="5"/>
      <c r="L21" s="5"/>
      <c r="M21" s="5"/>
      <c r="N21" s="5"/>
    </row>
    <row r="22" spans="1:15" x14ac:dyDescent="0.3">
      <c r="A22" s="1" t="s">
        <v>14</v>
      </c>
      <c r="B22" s="1" t="s">
        <v>46</v>
      </c>
      <c r="C22" s="1" t="s">
        <v>44</v>
      </c>
      <c r="D22" s="1" t="s">
        <v>12</v>
      </c>
      <c r="E22" s="1" t="s">
        <v>45</v>
      </c>
      <c r="F22" s="1" t="s">
        <v>3</v>
      </c>
      <c r="G22" s="1" t="s">
        <v>48</v>
      </c>
      <c r="H22" s="1" t="s">
        <v>50</v>
      </c>
      <c r="I22" s="1" t="s">
        <v>42</v>
      </c>
      <c r="J22" s="1" t="s">
        <v>59</v>
      </c>
      <c r="K22" s="1" t="s">
        <v>60</v>
      </c>
      <c r="L22" s="1" t="s">
        <v>47</v>
      </c>
      <c r="M22" s="1" t="s">
        <v>49</v>
      </c>
      <c r="N22" s="1" t="s">
        <v>43</v>
      </c>
      <c r="O22" s="1" t="s">
        <v>42</v>
      </c>
    </row>
    <row r="23" spans="1:15" x14ac:dyDescent="0.3">
      <c r="A23">
        <v>1</v>
      </c>
      <c r="B23" s="5">
        <f>B20</f>
        <v>1</v>
      </c>
      <c r="C23" s="5">
        <f>D15</f>
        <v>10</v>
      </c>
      <c r="D23" s="5">
        <f t="shared" ref="D23:D33" si="0">B23/C23</f>
        <v>0.1</v>
      </c>
      <c r="E23" s="5">
        <f t="shared" ref="E23:E33" si="1">$B$19^(1-$B$16)*C23^(1-$B$16)*D23^(($B$18*(1-$B$16)+$B$16))</f>
        <v>0.316227766016838</v>
      </c>
      <c r="F23" s="5">
        <f>E23/$C$23</f>
        <v>3.1622776601683798E-2</v>
      </c>
      <c r="G23" s="7">
        <f t="shared" ref="G23:G33" si="2">$B$17*$B$19^(1-$B$16)*C23^(1-$B$16)*B23^(($B$18-1)*(1-$B$16))</f>
        <v>0.94868329805051377</v>
      </c>
      <c r="H23" s="7">
        <f t="shared" ref="H23:H33" si="3">$B$17*$B$19^(1-$B$16)*C23^(1-$B$16)</f>
        <v>0.94868329805051377</v>
      </c>
      <c r="I23" s="5">
        <f t="shared" ref="I23:I33" si="4">(1-$B$16)*$B$15+(($B$18*(1-$B$16)+$B$16)*G23)</f>
        <v>0.94868329805051377</v>
      </c>
      <c r="J23" s="5">
        <f>(1-$B$17)*E23</f>
        <v>0.22135943621178658</v>
      </c>
      <c r="K23" s="5">
        <f t="shared" ref="K23:K33" si="5">$B$17*E23</f>
        <v>9.4868329805051402E-2</v>
      </c>
      <c r="L23" s="5">
        <f t="shared" ref="L23:L33" si="6">G23*B23</f>
        <v>0.94868329805051377</v>
      </c>
      <c r="M23" s="5">
        <f t="shared" ref="M23:M33" si="7">($B$18*(1-$B$16)+$B$16)*$B$19^(1-$B$16)*C23^(1-$B$16)*B23^(($B$18-1)*(1-$B$16))</f>
        <v>3.1622776601683795</v>
      </c>
      <c r="N23" s="5">
        <f t="shared" ref="N23:N33" si="8">$B$19^(1-$B$16)*C23^(1-$B$16)</f>
        <v>3.1622776601683795</v>
      </c>
    </row>
    <row r="24" spans="1:15" x14ac:dyDescent="0.3">
      <c r="A24">
        <v>2</v>
      </c>
      <c r="B24" s="5">
        <f t="shared" ref="B24:B33" si="9">B23+L23</f>
        <v>1.9486832980505138</v>
      </c>
      <c r="C24">
        <f t="shared" ref="C24:C33" si="10">(1+$B$15)*C23</f>
        <v>10</v>
      </c>
      <c r="D24" s="5">
        <f t="shared" si="0"/>
        <v>0.19486832980505137</v>
      </c>
      <c r="E24" s="5">
        <f t="shared" si="1"/>
        <v>0.61622776601683793</v>
      </c>
      <c r="F24" s="5">
        <f>E24/$C$23</f>
        <v>6.162277660168379E-2</v>
      </c>
      <c r="G24" s="7">
        <f t="shared" si="2"/>
        <v>0.94868329805051377</v>
      </c>
      <c r="H24" s="7">
        <f t="shared" si="3"/>
        <v>0.94868329805051377</v>
      </c>
      <c r="I24" s="5">
        <f t="shared" si="4"/>
        <v>0.94868329805051377</v>
      </c>
      <c r="J24" s="5">
        <f t="shared" ref="J24:J33" si="11">(1-$B$17)*E24</f>
        <v>0.43135943621178652</v>
      </c>
      <c r="K24" s="5">
        <f t="shared" si="5"/>
        <v>0.18486832980505138</v>
      </c>
      <c r="L24" s="5">
        <f t="shared" si="6"/>
        <v>1.8486832980505137</v>
      </c>
      <c r="M24" s="5">
        <f t="shared" si="7"/>
        <v>3.1622776601683795</v>
      </c>
      <c r="N24" s="5">
        <f t="shared" si="8"/>
        <v>3.1622776601683795</v>
      </c>
    </row>
    <row r="25" spans="1:15" x14ac:dyDescent="0.3">
      <c r="A25">
        <v>3</v>
      </c>
      <c r="B25" s="5">
        <f t="shared" si="9"/>
        <v>3.7973665961010274</v>
      </c>
      <c r="C25">
        <f t="shared" si="10"/>
        <v>10</v>
      </c>
      <c r="D25" s="5">
        <f t="shared" si="0"/>
        <v>0.37973665961010272</v>
      </c>
      <c r="E25" s="5">
        <f t="shared" si="1"/>
        <v>1.200832755431992</v>
      </c>
      <c r="F25" s="5">
        <f t="shared" ref="F25:F33" si="12">E25/$C$23</f>
        <v>0.1200832755431992</v>
      </c>
      <c r="G25" s="7">
        <f t="shared" si="2"/>
        <v>0.94868329805051377</v>
      </c>
      <c r="H25" s="7">
        <f t="shared" si="3"/>
        <v>0.94868329805051377</v>
      </c>
      <c r="I25" s="5">
        <f t="shared" si="4"/>
        <v>0.94868329805051377</v>
      </c>
      <c r="J25" s="5">
        <f t="shared" si="11"/>
        <v>0.84058292880239438</v>
      </c>
      <c r="K25" s="5">
        <f t="shared" si="5"/>
        <v>0.36024982662959759</v>
      </c>
      <c r="L25" s="5">
        <f t="shared" si="6"/>
        <v>3.6024982662959761</v>
      </c>
      <c r="M25" s="5">
        <f t="shared" si="7"/>
        <v>3.1622776601683795</v>
      </c>
      <c r="N25" s="5">
        <f t="shared" si="8"/>
        <v>3.1622776601683795</v>
      </c>
    </row>
    <row r="26" spans="1:15" x14ac:dyDescent="0.3">
      <c r="A26">
        <v>4</v>
      </c>
      <c r="B26" s="5">
        <f t="shared" si="9"/>
        <v>7.3998648623970036</v>
      </c>
      <c r="C26">
        <f t="shared" si="10"/>
        <v>10</v>
      </c>
      <c r="D26" s="5">
        <f t="shared" si="0"/>
        <v>0.73998648623970031</v>
      </c>
      <c r="E26" s="5">
        <f t="shared" si="1"/>
        <v>2.3400427342623003</v>
      </c>
      <c r="F26" s="5">
        <f t="shared" si="12"/>
        <v>0.23400427342623004</v>
      </c>
      <c r="G26" s="7">
        <f t="shared" si="2"/>
        <v>0.94868329805051377</v>
      </c>
      <c r="H26" s="7">
        <f t="shared" si="3"/>
        <v>0.94868329805051377</v>
      </c>
      <c r="I26" s="5">
        <f t="shared" si="4"/>
        <v>0.94868329805051377</v>
      </c>
      <c r="J26" s="5">
        <f t="shared" si="11"/>
        <v>1.6380299139836101</v>
      </c>
      <c r="K26" s="5">
        <f t="shared" si="5"/>
        <v>0.70201282027869005</v>
      </c>
      <c r="L26" s="5">
        <f t="shared" si="6"/>
        <v>7.0201282027869008</v>
      </c>
      <c r="M26" s="5">
        <f t="shared" si="7"/>
        <v>3.1622776601683795</v>
      </c>
      <c r="N26" s="5">
        <f t="shared" si="8"/>
        <v>3.1622776601683795</v>
      </c>
    </row>
    <row r="27" spans="1:15" x14ac:dyDescent="0.3">
      <c r="A27">
        <v>5</v>
      </c>
      <c r="B27" s="5">
        <f t="shared" si="9"/>
        <v>14.419993065183904</v>
      </c>
      <c r="C27">
        <f t="shared" si="10"/>
        <v>10</v>
      </c>
      <c r="D27" s="5">
        <f t="shared" si="0"/>
        <v>1.4419993065183905</v>
      </c>
      <c r="E27" s="5">
        <f t="shared" si="1"/>
        <v>4.5600021929814014</v>
      </c>
      <c r="F27" s="5">
        <f t="shared" si="12"/>
        <v>0.45600021929814016</v>
      </c>
      <c r="G27" s="7">
        <f t="shared" si="2"/>
        <v>0.94868329805051377</v>
      </c>
      <c r="H27" s="7">
        <f t="shared" si="3"/>
        <v>0.94868329805051377</v>
      </c>
      <c r="I27" s="5">
        <f t="shared" si="4"/>
        <v>0.94868329805051377</v>
      </c>
      <c r="J27" s="5">
        <f t="shared" si="11"/>
        <v>3.1920015350869808</v>
      </c>
      <c r="K27" s="5">
        <f t="shared" si="5"/>
        <v>1.3680006578944204</v>
      </c>
      <c r="L27" s="5">
        <f t="shared" si="6"/>
        <v>13.680006578944203</v>
      </c>
      <c r="M27" s="5">
        <f t="shared" si="7"/>
        <v>3.1622776601683795</v>
      </c>
      <c r="N27" s="5">
        <f t="shared" si="8"/>
        <v>3.1622776601683795</v>
      </c>
    </row>
    <row r="28" spans="1:15" x14ac:dyDescent="0.3">
      <c r="A28">
        <v>6</v>
      </c>
      <c r="B28" s="5">
        <f t="shared" si="9"/>
        <v>28.099999644128108</v>
      </c>
      <c r="C28">
        <f t="shared" si="10"/>
        <v>10</v>
      </c>
      <c r="D28" s="5">
        <f t="shared" si="0"/>
        <v>2.8099999644128109</v>
      </c>
      <c r="E28" s="5">
        <f t="shared" si="1"/>
        <v>8.8860001125365731</v>
      </c>
      <c r="F28" s="5">
        <f t="shared" si="12"/>
        <v>0.88860001125365728</v>
      </c>
      <c r="G28" s="7">
        <f t="shared" si="2"/>
        <v>0.94868329805051377</v>
      </c>
      <c r="H28" s="7">
        <f t="shared" si="3"/>
        <v>0.94868329805051377</v>
      </c>
      <c r="I28" s="5">
        <f t="shared" si="4"/>
        <v>0.94868329805051377</v>
      </c>
      <c r="J28" s="5">
        <f t="shared" si="11"/>
        <v>6.2202000787756004</v>
      </c>
      <c r="K28" s="5">
        <f t="shared" si="5"/>
        <v>2.6658000337609717</v>
      </c>
      <c r="L28" s="5">
        <f t="shared" si="6"/>
        <v>26.658000337609717</v>
      </c>
      <c r="M28" s="5">
        <f t="shared" si="7"/>
        <v>3.1622776601683795</v>
      </c>
      <c r="N28" s="5">
        <f t="shared" si="8"/>
        <v>3.1622776601683795</v>
      </c>
    </row>
    <row r="29" spans="1:15" x14ac:dyDescent="0.3">
      <c r="A29">
        <v>7</v>
      </c>
      <c r="B29" s="5">
        <f t="shared" si="9"/>
        <v>54.757999981737825</v>
      </c>
      <c r="C29">
        <f t="shared" si="10"/>
        <v>10</v>
      </c>
      <c r="D29" s="5">
        <f t="shared" si="0"/>
        <v>5.4757999981737822</v>
      </c>
      <c r="E29" s="5">
        <f t="shared" si="1"/>
        <v>17.316000005775006</v>
      </c>
      <c r="F29" s="5">
        <f t="shared" si="12"/>
        <v>1.7316000005775005</v>
      </c>
      <c r="G29" s="7">
        <f t="shared" si="2"/>
        <v>0.94868329805051377</v>
      </c>
      <c r="H29" s="7">
        <f t="shared" si="3"/>
        <v>0.94868329805051377</v>
      </c>
      <c r="I29" s="5">
        <f t="shared" si="4"/>
        <v>0.94868329805051377</v>
      </c>
      <c r="J29" s="5">
        <f t="shared" si="11"/>
        <v>12.121200004042503</v>
      </c>
      <c r="K29" s="5">
        <f t="shared" si="5"/>
        <v>5.194800001732502</v>
      </c>
      <c r="L29" s="5">
        <f t="shared" si="6"/>
        <v>51.948000017325015</v>
      </c>
      <c r="M29" s="5">
        <f t="shared" si="7"/>
        <v>3.1622776601683795</v>
      </c>
      <c r="N29" s="5">
        <f t="shared" si="8"/>
        <v>3.1622776601683795</v>
      </c>
    </row>
    <row r="30" spans="1:15" x14ac:dyDescent="0.3">
      <c r="A30">
        <v>8</v>
      </c>
      <c r="B30" s="5">
        <f t="shared" si="9"/>
        <v>106.70599999906284</v>
      </c>
      <c r="C30">
        <f t="shared" si="10"/>
        <v>10</v>
      </c>
      <c r="D30" s="5">
        <f t="shared" si="0"/>
        <v>10.670599999906283</v>
      </c>
      <c r="E30" s="5">
        <f t="shared" si="1"/>
        <v>33.743400000296354</v>
      </c>
      <c r="F30" s="5">
        <f t="shared" si="12"/>
        <v>3.3743400000296355</v>
      </c>
      <c r="G30" s="7">
        <f t="shared" si="2"/>
        <v>0.94868329805051377</v>
      </c>
      <c r="H30" s="7">
        <f t="shared" si="3"/>
        <v>0.94868329805051377</v>
      </c>
      <c r="I30" s="5">
        <f t="shared" si="4"/>
        <v>0.94868329805051377</v>
      </c>
      <c r="J30" s="5">
        <f t="shared" si="11"/>
        <v>23.620380000207447</v>
      </c>
      <c r="K30" s="5">
        <f t="shared" si="5"/>
        <v>10.123020000088905</v>
      </c>
      <c r="L30" s="5">
        <f t="shared" si="6"/>
        <v>101.23020000088906</v>
      </c>
      <c r="M30" s="5">
        <f t="shared" si="7"/>
        <v>3.1622776601683795</v>
      </c>
      <c r="N30" s="5">
        <f t="shared" si="8"/>
        <v>3.1622776601683795</v>
      </c>
    </row>
    <row r="31" spans="1:15" x14ac:dyDescent="0.3">
      <c r="A31">
        <v>9</v>
      </c>
      <c r="B31" s="5">
        <f t="shared" si="9"/>
        <v>207.9361999999519</v>
      </c>
      <c r="C31">
        <f t="shared" si="10"/>
        <v>10</v>
      </c>
      <c r="D31" s="5">
        <f t="shared" si="0"/>
        <v>20.79361999999519</v>
      </c>
      <c r="E31" s="5">
        <f t="shared" si="1"/>
        <v>65.755200000015208</v>
      </c>
      <c r="F31" s="5">
        <f t="shared" si="12"/>
        <v>6.5755200000015206</v>
      </c>
      <c r="G31" s="7">
        <f t="shared" si="2"/>
        <v>0.94868329805051377</v>
      </c>
      <c r="H31" s="7">
        <f t="shared" si="3"/>
        <v>0.94868329805051377</v>
      </c>
      <c r="I31" s="5">
        <f t="shared" si="4"/>
        <v>0.94868329805051377</v>
      </c>
      <c r="J31" s="5">
        <f t="shared" si="11"/>
        <v>46.02864000001064</v>
      </c>
      <c r="K31" s="5">
        <f t="shared" si="5"/>
        <v>19.726560000004561</v>
      </c>
      <c r="L31" s="5">
        <f t="shared" si="6"/>
        <v>197.26560000004559</v>
      </c>
      <c r="M31" s="5">
        <f t="shared" si="7"/>
        <v>3.1622776601683795</v>
      </c>
      <c r="N31" s="5">
        <f t="shared" si="8"/>
        <v>3.1622776601683795</v>
      </c>
    </row>
    <row r="32" spans="1:15" x14ac:dyDescent="0.3">
      <c r="A32">
        <v>10</v>
      </c>
      <c r="B32" s="5">
        <f t="shared" si="9"/>
        <v>405.20179999999749</v>
      </c>
      <c r="C32">
        <f t="shared" si="10"/>
        <v>10</v>
      </c>
      <c r="D32" s="5">
        <f t="shared" si="0"/>
        <v>40.520179999999748</v>
      </c>
      <c r="E32" s="5">
        <f t="shared" si="1"/>
        <v>128.13606000000078</v>
      </c>
      <c r="F32" s="5">
        <f t="shared" si="12"/>
        <v>12.813606000000078</v>
      </c>
      <c r="G32" s="7">
        <f t="shared" si="2"/>
        <v>0.94868329805051377</v>
      </c>
      <c r="H32" s="7">
        <f t="shared" si="3"/>
        <v>0.94868329805051377</v>
      </c>
      <c r="I32" s="5">
        <f t="shared" si="4"/>
        <v>0.94868329805051377</v>
      </c>
      <c r="J32" s="5">
        <f t="shared" si="11"/>
        <v>89.695242000000547</v>
      </c>
      <c r="K32" s="5">
        <f t="shared" si="5"/>
        <v>38.440818000000235</v>
      </c>
      <c r="L32" s="5">
        <f t="shared" si="6"/>
        <v>384.40818000000229</v>
      </c>
      <c r="M32" s="5">
        <f t="shared" si="7"/>
        <v>3.1622776601683795</v>
      </c>
      <c r="N32" s="5">
        <f t="shared" si="8"/>
        <v>3.1622776601683795</v>
      </c>
    </row>
    <row r="33" spans="1:14" x14ac:dyDescent="0.3">
      <c r="A33">
        <v>11</v>
      </c>
      <c r="B33" s="5">
        <f t="shared" si="9"/>
        <v>789.60997999999972</v>
      </c>
      <c r="C33">
        <f t="shared" si="10"/>
        <v>10</v>
      </c>
      <c r="D33" s="5">
        <f t="shared" si="0"/>
        <v>78.960997999999975</v>
      </c>
      <c r="E33" s="5">
        <f t="shared" si="1"/>
        <v>249.69660000000002</v>
      </c>
      <c r="F33" s="5">
        <f t="shared" si="12"/>
        <v>24.969660000000001</v>
      </c>
      <c r="G33" s="7">
        <f t="shared" si="2"/>
        <v>0.94868329805051377</v>
      </c>
      <c r="H33" s="7">
        <f t="shared" si="3"/>
        <v>0.94868329805051377</v>
      </c>
      <c r="I33" s="5">
        <f t="shared" si="4"/>
        <v>0.94868329805051377</v>
      </c>
      <c r="J33" s="5">
        <f t="shared" si="11"/>
        <v>174.78762</v>
      </c>
      <c r="K33" s="5">
        <f t="shared" si="5"/>
        <v>74.90898</v>
      </c>
      <c r="L33" s="5">
        <f t="shared" si="6"/>
        <v>749.08979999999997</v>
      </c>
      <c r="M33" s="5">
        <f t="shared" si="7"/>
        <v>3.1622776601683795</v>
      </c>
      <c r="N33" s="5">
        <f t="shared" si="8"/>
        <v>3.1622776601683795</v>
      </c>
    </row>
    <row r="34" spans="1:14" x14ac:dyDescent="0.3">
      <c r="A34">
        <v>12</v>
      </c>
      <c r="B34" s="5">
        <f t="shared" ref="B34:B41" si="13">B33+L33</f>
        <v>1538.6997799999997</v>
      </c>
      <c r="C34">
        <f t="shared" ref="C34:C41" si="14">(1+$B$15)*C33</f>
        <v>10</v>
      </c>
      <c r="D34" s="5">
        <f t="shared" ref="D34:D41" si="15">B34/C34</f>
        <v>153.86997799999997</v>
      </c>
      <c r="E34" s="5">
        <f t="shared" ref="E34:E41" si="16">$B$19^(1-$B$16)*C34^(1-$B$16)*D34^(($B$18*(1-$B$16)+$B$16))</f>
        <v>486.57959399999993</v>
      </c>
      <c r="F34" s="5">
        <f t="shared" ref="F34:F41" si="17">E34/$C$23</f>
        <v>48.657959399999996</v>
      </c>
      <c r="G34" s="7">
        <f t="shared" ref="G34:G41" si="18">$B$17*$B$19^(1-$B$16)*C34^(1-$B$16)*B34^(($B$18-1)*(1-$B$16))</f>
        <v>0.94868329805051377</v>
      </c>
      <c r="H34" s="7">
        <f t="shared" ref="H34:H41" si="19">$B$17*$B$19^(1-$B$16)*C34^(1-$B$16)</f>
        <v>0.94868329805051377</v>
      </c>
      <c r="I34" s="5">
        <f t="shared" ref="I34:I41" si="20">(1-$B$16)*$B$15+(($B$18*(1-$B$16)+$B$16)*G34)</f>
        <v>0.94868329805051377</v>
      </c>
      <c r="J34" s="5">
        <f t="shared" ref="J34:J41" si="21">(1-$B$17)*E34</f>
        <v>340.60571579999993</v>
      </c>
      <c r="K34" s="5">
        <f t="shared" ref="K34:K41" si="22">$B$17*E34</f>
        <v>145.97387819999997</v>
      </c>
      <c r="L34" s="5">
        <f t="shared" ref="L34:L41" si="23">G34*B34</f>
        <v>1459.7387819999997</v>
      </c>
      <c r="M34" s="5">
        <f t="shared" ref="M34:M41" si="24">($B$18*(1-$B$16)+$B$16)*$B$19^(1-$B$16)*C34^(1-$B$16)*B34^(($B$18-1)*(1-$B$16))</f>
        <v>3.1622776601683795</v>
      </c>
      <c r="N34" s="5">
        <f t="shared" ref="N34:N41" si="25">$B$19^(1-$B$16)*C34^(1-$B$16)</f>
        <v>3.1622776601683795</v>
      </c>
    </row>
    <row r="35" spans="1:14" x14ac:dyDescent="0.3">
      <c r="A35">
        <v>13</v>
      </c>
      <c r="B35" s="5">
        <f t="shared" si="13"/>
        <v>2998.4385619999994</v>
      </c>
      <c r="C35">
        <f t="shared" si="14"/>
        <v>10</v>
      </c>
      <c r="D35" s="5">
        <f t="shared" si="15"/>
        <v>299.84385619999995</v>
      </c>
      <c r="E35" s="5">
        <f t="shared" si="16"/>
        <v>948.18952799999988</v>
      </c>
      <c r="F35" s="5">
        <f t="shared" si="17"/>
        <v>94.818952799999991</v>
      </c>
      <c r="G35" s="7">
        <f t="shared" si="18"/>
        <v>0.94868329805051377</v>
      </c>
      <c r="H35" s="7">
        <f t="shared" si="19"/>
        <v>0.94868329805051377</v>
      </c>
      <c r="I35" s="5">
        <f t="shared" si="20"/>
        <v>0.94868329805051377</v>
      </c>
      <c r="J35" s="5">
        <f t="shared" si="21"/>
        <v>663.73266959999989</v>
      </c>
      <c r="K35" s="5">
        <f t="shared" si="22"/>
        <v>284.45685839999993</v>
      </c>
      <c r="L35" s="5">
        <f t="shared" si="23"/>
        <v>2844.5685839999992</v>
      </c>
      <c r="M35" s="5">
        <f t="shared" si="24"/>
        <v>3.1622776601683795</v>
      </c>
      <c r="N35" s="5">
        <f t="shared" si="25"/>
        <v>3.1622776601683795</v>
      </c>
    </row>
    <row r="36" spans="1:14" x14ac:dyDescent="0.3">
      <c r="A36">
        <v>14</v>
      </c>
      <c r="B36" s="5">
        <f t="shared" si="13"/>
        <v>5843.0071459999981</v>
      </c>
      <c r="C36">
        <f t="shared" si="14"/>
        <v>10</v>
      </c>
      <c r="D36" s="5">
        <f t="shared" si="15"/>
        <v>584.30071459999976</v>
      </c>
      <c r="E36" s="5">
        <f t="shared" si="16"/>
        <v>1847.7210965999993</v>
      </c>
      <c r="F36" s="5">
        <f t="shared" si="17"/>
        <v>184.77210965999993</v>
      </c>
      <c r="G36" s="7">
        <f t="shared" si="18"/>
        <v>0.94868329805051377</v>
      </c>
      <c r="H36" s="7">
        <f t="shared" si="19"/>
        <v>0.94868329805051377</v>
      </c>
      <c r="I36" s="5">
        <f t="shared" si="20"/>
        <v>0.94868329805051377</v>
      </c>
      <c r="J36" s="5">
        <f t="shared" si="21"/>
        <v>1293.4047676199993</v>
      </c>
      <c r="K36" s="5">
        <f t="shared" si="22"/>
        <v>554.31632897999975</v>
      </c>
      <c r="L36" s="5">
        <f t="shared" si="23"/>
        <v>5543.163289799998</v>
      </c>
      <c r="M36" s="5">
        <f t="shared" si="24"/>
        <v>3.1622776601683795</v>
      </c>
      <c r="N36" s="5">
        <f t="shared" si="25"/>
        <v>3.1622776601683795</v>
      </c>
    </row>
    <row r="37" spans="1:14" x14ac:dyDescent="0.3">
      <c r="A37">
        <v>15</v>
      </c>
      <c r="B37" s="5">
        <f t="shared" si="13"/>
        <v>11386.170435799995</v>
      </c>
      <c r="C37">
        <f t="shared" si="14"/>
        <v>10</v>
      </c>
      <c r="D37" s="5">
        <f t="shared" si="15"/>
        <v>1138.6170435799995</v>
      </c>
      <c r="E37" s="5">
        <f t="shared" si="16"/>
        <v>3600.6232403999988</v>
      </c>
      <c r="F37" s="5">
        <f t="shared" si="17"/>
        <v>360.06232403999991</v>
      </c>
      <c r="G37" s="7">
        <f t="shared" si="18"/>
        <v>0.94868329805051377</v>
      </c>
      <c r="H37" s="7">
        <f t="shared" si="19"/>
        <v>0.94868329805051377</v>
      </c>
      <c r="I37" s="5">
        <f t="shared" si="20"/>
        <v>0.94868329805051377</v>
      </c>
      <c r="J37" s="5">
        <f t="shared" si="21"/>
        <v>2520.4362682799992</v>
      </c>
      <c r="K37" s="5">
        <f t="shared" si="22"/>
        <v>1080.1869721199996</v>
      </c>
      <c r="L37" s="5">
        <f t="shared" si="23"/>
        <v>10801.869721199995</v>
      </c>
      <c r="M37" s="5">
        <f t="shared" si="24"/>
        <v>3.1622776601683795</v>
      </c>
      <c r="N37" s="5">
        <f t="shared" si="25"/>
        <v>3.1622776601683795</v>
      </c>
    </row>
    <row r="38" spans="1:14" x14ac:dyDescent="0.3">
      <c r="A38">
        <v>16</v>
      </c>
      <c r="B38" s="5">
        <f t="shared" si="13"/>
        <v>22188.040156999989</v>
      </c>
      <c r="C38">
        <f t="shared" si="14"/>
        <v>10</v>
      </c>
      <c r="D38" s="5">
        <f t="shared" si="15"/>
        <v>2218.8040156999987</v>
      </c>
      <c r="E38" s="5">
        <f t="shared" si="16"/>
        <v>7016.474371139996</v>
      </c>
      <c r="F38" s="5">
        <f t="shared" si="17"/>
        <v>701.64743711399956</v>
      </c>
      <c r="G38" s="7">
        <f t="shared" si="18"/>
        <v>0.94868329805051377</v>
      </c>
      <c r="H38" s="7">
        <f t="shared" si="19"/>
        <v>0.94868329805051377</v>
      </c>
      <c r="I38" s="5">
        <f t="shared" si="20"/>
        <v>0.94868329805051377</v>
      </c>
      <c r="J38" s="5">
        <f t="shared" si="21"/>
        <v>4911.5320597979971</v>
      </c>
      <c r="K38" s="5">
        <f t="shared" si="22"/>
        <v>2104.9423113419989</v>
      </c>
      <c r="L38" s="5">
        <f t="shared" si="23"/>
        <v>21049.423113419987</v>
      </c>
      <c r="M38" s="5">
        <f t="shared" si="24"/>
        <v>3.1622776601683795</v>
      </c>
      <c r="N38" s="5">
        <f t="shared" si="25"/>
        <v>3.1622776601683795</v>
      </c>
    </row>
    <row r="39" spans="1:14" x14ac:dyDescent="0.3">
      <c r="A39">
        <v>17</v>
      </c>
      <c r="B39" s="5">
        <f t="shared" si="13"/>
        <v>43237.463270419976</v>
      </c>
      <c r="C39">
        <f t="shared" si="14"/>
        <v>10</v>
      </c>
      <c r="D39" s="5">
        <f t="shared" si="15"/>
        <v>4323.7463270419976</v>
      </c>
      <c r="E39" s="5">
        <f t="shared" si="16"/>
        <v>13672.886418239994</v>
      </c>
      <c r="F39" s="5">
        <f t="shared" si="17"/>
        <v>1367.2886418239993</v>
      </c>
      <c r="G39" s="7">
        <f t="shared" si="18"/>
        <v>0.94868329805051377</v>
      </c>
      <c r="H39" s="7">
        <f t="shared" si="19"/>
        <v>0.94868329805051377</v>
      </c>
      <c r="I39" s="5">
        <f t="shared" si="20"/>
        <v>0.94868329805051377</v>
      </c>
      <c r="J39" s="5">
        <f t="shared" si="21"/>
        <v>9571.0204927679952</v>
      </c>
      <c r="K39" s="5">
        <f t="shared" si="22"/>
        <v>4101.8659254719978</v>
      </c>
      <c r="L39" s="5">
        <f t="shared" si="23"/>
        <v>41018.659254719976</v>
      </c>
      <c r="M39" s="5">
        <f t="shared" si="24"/>
        <v>3.1622776601683795</v>
      </c>
      <c r="N39" s="5">
        <f t="shared" si="25"/>
        <v>3.1622776601683795</v>
      </c>
    </row>
    <row r="40" spans="1:14" x14ac:dyDescent="0.3">
      <c r="A40">
        <v>18</v>
      </c>
      <c r="B40" s="5">
        <f t="shared" si="13"/>
        <v>84256.122525139945</v>
      </c>
      <c r="C40">
        <f t="shared" si="14"/>
        <v>10</v>
      </c>
      <c r="D40" s="5">
        <f t="shared" si="15"/>
        <v>8425.6122525139945</v>
      </c>
      <c r="E40" s="5">
        <f t="shared" si="16"/>
        <v>26644.125399365985</v>
      </c>
      <c r="F40" s="5">
        <f t="shared" si="17"/>
        <v>2664.4125399365985</v>
      </c>
      <c r="G40" s="7">
        <f t="shared" si="18"/>
        <v>0.94868329805051377</v>
      </c>
      <c r="H40" s="7">
        <f t="shared" si="19"/>
        <v>0.94868329805051377</v>
      </c>
      <c r="I40" s="5">
        <f t="shared" si="20"/>
        <v>0.94868329805051377</v>
      </c>
      <c r="J40" s="5">
        <f t="shared" si="21"/>
        <v>18650.887779556189</v>
      </c>
      <c r="K40" s="5">
        <f t="shared" si="22"/>
        <v>7993.2376198097954</v>
      </c>
      <c r="L40" s="5">
        <f t="shared" si="23"/>
        <v>79932.376198097947</v>
      </c>
      <c r="M40" s="5">
        <f t="shared" si="24"/>
        <v>3.1622776601683795</v>
      </c>
      <c r="N40" s="5">
        <f t="shared" si="25"/>
        <v>3.1622776601683795</v>
      </c>
    </row>
    <row r="41" spans="1:14" x14ac:dyDescent="0.3">
      <c r="A41">
        <v>19</v>
      </c>
      <c r="B41" s="5">
        <f t="shared" si="13"/>
        <v>164188.49872323789</v>
      </c>
      <c r="C41">
        <f t="shared" si="14"/>
        <v>10</v>
      </c>
      <c r="D41" s="5">
        <f t="shared" si="15"/>
        <v>16418.84987232379</v>
      </c>
      <c r="E41" s="5">
        <f t="shared" si="16"/>
        <v>51920.962156907968</v>
      </c>
      <c r="F41" s="5">
        <f t="shared" si="17"/>
        <v>5192.0962156907972</v>
      </c>
      <c r="G41" s="7">
        <f t="shared" si="18"/>
        <v>0.94868329805051377</v>
      </c>
      <c r="H41" s="7">
        <f t="shared" si="19"/>
        <v>0.94868329805051377</v>
      </c>
      <c r="I41" s="5">
        <f t="shared" si="20"/>
        <v>0.94868329805051377</v>
      </c>
      <c r="J41" s="5">
        <f t="shared" si="21"/>
        <v>36344.673509835578</v>
      </c>
      <c r="K41" s="5">
        <f t="shared" si="22"/>
        <v>15576.28864707239</v>
      </c>
      <c r="L41" s="5">
        <f t="shared" si="23"/>
        <v>155762.8864707239</v>
      </c>
      <c r="M41" s="5">
        <f t="shared" si="24"/>
        <v>3.1622776601683795</v>
      </c>
      <c r="N41" s="5">
        <f t="shared" si="25"/>
        <v>3.1622776601683795</v>
      </c>
    </row>
    <row r="42" spans="1:14" x14ac:dyDescent="0.3">
      <c r="A42">
        <v>20</v>
      </c>
      <c r="B42" s="5">
        <f t="shared" ref="B42" si="26">B41+L41</f>
        <v>319951.38519396179</v>
      </c>
      <c r="C42">
        <f t="shared" ref="C42" si="27">(1+$B$15)*C41</f>
        <v>10</v>
      </c>
      <c r="D42" s="5">
        <f t="shared" ref="D42" si="28">B42/C42</f>
        <v>31995.13851939618</v>
      </c>
      <c r="E42" s="5">
        <f t="shared" ref="E42" si="29">$B$19^(1-$B$16)*C42^(1-$B$16)*D42^(($B$18*(1-$B$16)+$B$16))</f>
        <v>101177.51177387935</v>
      </c>
      <c r="F42" s="5">
        <f t="shared" ref="F42" si="30">E42/$C$23</f>
        <v>10117.751177387934</v>
      </c>
      <c r="G42" s="7">
        <f t="shared" ref="G42" si="31">$B$17*$B$19^(1-$B$16)*C42^(1-$B$16)*B42^(($B$18-1)*(1-$B$16))</f>
        <v>0.94868329805051377</v>
      </c>
      <c r="H42" s="7">
        <f t="shared" ref="H42" si="32">$B$17*$B$19^(1-$B$16)*C42^(1-$B$16)</f>
        <v>0.94868329805051377</v>
      </c>
      <c r="I42" s="5">
        <f t="shared" ref="I42" si="33">(1-$B$16)*$B$15+(($B$18*(1-$B$16)+$B$16)*G42)</f>
        <v>0.94868329805051377</v>
      </c>
      <c r="J42" s="5">
        <f t="shared" ref="J42" si="34">(1-$B$17)*E42</f>
        <v>70824.258241715535</v>
      </c>
      <c r="K42" s="5">
        <f t="shared" ref="K42" si="35">$B$17*E42</f>
        <v>30353.253532163802</v>
      </c>
      <c r="L42" s="5">
        <f t="shared" ref="L42" si="36">G42*B42</f>
        <v>303532.53532163799</v>
      </c>
      <c r="M42" s="5">
        <f t="shared" ref="M42" si="37">($B$18*(1-$B$16)+$B$16)*$B$19^(1-$B$16)*C42^(1-$B$16)*B42^(($B$18-1)*(1-$B$16))</f>
        <v>3.1622776601683795</v>
      </c>
      <c r="N42" s="5">
        <f t="shared" ref="N42" si="38">$B$19^(1-$B$16)*C42^(1-$B$16)</f>
        <v>3.1622776601683795</v>
      </c>
    </row>
    <row r="43" spans="1:14" x14ac:dyDescent="0.3"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3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"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3"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4:14" x14ac:dyDescent="0.3"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4:14" x14ac:dyDescent="0.3"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4:14" x14ac:dyDescent="0.3"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4:14" x14ac:dyDescent="0.3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4:14" x14ac:dyDescent="0.3"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4:14" x14ac:dyDescent="0.3"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4:14" x14ac:dyDescent="0.3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4:14" x14ac:dyDescent="0.3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4:14" x14ac:dyDescent="0.3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4:14" x14ac:dyDescent="0.3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4:14" x14ac:dyDescent="0.3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4:14" x14ac:dyDescent="0.3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4:14" x14ac:dyDescent="0.3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4:14" x14ac:dyDescent="0.3"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4:14" x14ac:dyDescent="0.3"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4:14" x14ac:dyDescent="0.3"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4:14" x14ac:dyDescent="0.3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4:14" x14ac:dyDescent="0.3"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4:14" x14ac:dyDescent="0.3"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4:14" x14ac:dyDescent="0.3"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4:14" x14ac:dyDescent="0.3"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4:14" x14ac:dyDescent="0.3"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4:14" x14ac:dyDescent="0.3"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4:14" x14ac:dyDescent="0.3"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4:14" x14ac:dyDescent="0.3"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4:14" x14ac:dyDescent="0.3"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4:14" x14ac:dyDescent="0.3"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4:14" x14ac:dyDescent="0.3"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4:14" x14ac:dyDescent="0.3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4:14" x14ac:dyDescent="0.3"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4:14" x14ac:dyDescent="0.3"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4:14" x14ac:dyDescent="0.3"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4:14" x14ac:dyDescent="0.3"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4:14" x14ac:dyDescent="0.3"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4:14" x14ac:dyDescent="0.3"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4:14" x14ac:dyDescent="0.3"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4:14" x14ac:dyDescent="0.3"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4:14" x14ac:dyDescent="0.3"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4:14" x14ac:dyDescent="0.3"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4:14" x14ac:dyDescent="0.3"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4:14" x14ac:dyDescent="0.3"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4:14" x14ac:dyDescent="0.3"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4:14" x14ac:dyDescent="0.3"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4:14" x14ac:dyDescent="0.3"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4:14" x14ac:dyDescent="0.3"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4:14" x14ac:dyDescent="0.3"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4:14" x14ac:dyDescent="0.3"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4:14" x14ac:dyDescent="0.3"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4:14" x14ac:dyDescent="0.3"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4:14" x14ac:dyDescent="0.3"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4:14" x14ac:dyDescent="0.3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4:14" x14ac:dyDescent="0.3"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4:14" x14ac:dyDescent="0.3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4:14" x14ac:dyDescent="0.3"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4:14" x14ac:dyDescent="0.3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4:14" x14ac:dyDescent="0.3"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4:14" x14ac:dyDescent="0.3"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4:14" x14ac:dyDescent="0.3"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4:14" x14ac:dyDescent="0.3"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4:14" x14ac:dyDescent="0.3"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4:14" x14ac:dyDescent="0.3"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4:14" x14ac:dyDescent="0.3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4:14" x14ac:dyDescent="0.3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4:14" x14ac:dyDescent="0.3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4:14" x14ac:dyDescent="0.3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4:14" x14ac:dyDescent="0.3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4:14" x14ac:dyDescent="0.3"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4:14" x14ac:dyDescent="0.3"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4:14" x14ac:dyDescent="0.3"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4:14" x14ac:dyDescent="0.3"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4:14" x14ac:dyDescent="0.3"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4:14" x14ac:dyDescent="0.3"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4:14" x14ac:dyDescent="0.3"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4:14" x14ac:dyDescent="0.3"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4:14" x14ac:dyDescent="0.3"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4:14" x14ac:dyDescent="0.3"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4:14" x14ac:dyDescent="0.3"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4:14" x14ac:dyDescent="0.3"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4:14" x14ac:dyDescent="0.3"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4:14" x14ac:dyDescent="0.3"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4:14" x14ac:dyDescent="0.3"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4:14" x14ac:dyDescent="0.3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4:14" x14ac:dyDescent="0.3"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4:14" x14ac:dyDescent="0.3"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4:14" x14ac:dyDescent="0.3"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4:14" x14ac:dyDescent="0.3"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4:14" x14ac:dyDescent="0.3"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4:14" x14ac:dyDescent="0.3"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4:14" x14ac:dyDescent="0.3"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4:14" x14ac:dyDescent="0.3"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4:14" x14ac:dyDescent="0.3"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4:14" x14ac:dyDescent="0.3"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4:14" x14ac:dyDescent="0.3"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4:14" x14ac:dyDescent="0.3"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4:14" x14ac:dyDescent="0.3"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4:14" x14ac:dyDescent="0.3"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4:14" x14ac:dyDescent="0.3"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4:14" x14ac:dyDescent="0.3"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4:14" x14ac:dyDescent="0.3"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4:14" x14ac:dyDescent="0.3"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4:14" x14ac:dyDescent="0.3"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4:14" x14ac:dyDescent="0.3"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4:14" x14ac:dyDescent="0.3"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4:14" x14ac:dyDescent="0.3"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4:14" x14ac:dyDescent="0.3"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4:14" x14ac:dyDescent="0.3"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4:14" x14ac:dyDescent="0.3"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4:14" x14ac:dyDescent="0.3"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4:14" x14ac:dyDescent="0.3"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4:14" x14ac:dyDescent="0.3"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4:14" x14ac:dyDescent="0.3"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4:14" x14ac:dyDescent="0.3"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4:14" x14ac:dyDescent="0.3"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4:14" x14ac:dyDescent="0.3"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4:14" x14ac:dyDescent="0.3"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4:14" x14ac:dyDescent="0.3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4:14" x14ac:dyDescent="0.3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4:14" x14ac:dyDescent="0.3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4:14" x14ac:dyDescent="0.3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4:14" x14ac:dyDescent="0.3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spans="4:14" x14ac:dyDescent="0.3"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spans="4:14" x14ac:dyDescent="0.3"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4:14" x14ac:dyDescent="0.3"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spans="4:14" x14ac:dyDescent="0.3"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spans="4:14" x14ac:dyDescent="0.3"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spans="4:14" x14ac:dyDescent="0.3"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spans="4:14" x14ac:dyDescent="0.3"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spans="4:14" x14ac:dyDescent="0.3"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4:14" x14ac:dyDescent="0.3"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spans="4:14" x14ac:dyDescent="0.3"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spans="4:14" x14ac:dyDescent="0.3"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24"/>
  <sheetViews>
    <sheetView workbookViewId="0">
      <selection activeCell="I19" sqref="I19"/>
    </sheetView>
  </sheetViews>
  <sheetFormatPr defaultRowHeight="14.4" x14ac:dyDescent="0.3"/>
  <sheetData>
    <row r="1" spans="1:17" x14ac:dyDescent="0.3">
      <c r="A1" s="1" t="s">
        <v>0</v>
      </c>
    </row>
    <row r="2" spans="1:17" x14ac:dyDescent="0.3">
      <c r="A2" t="s">
        <v>33</v>
      </c>
    </row>
    <row r="3" spans="1:17" x14ac:dyDescent="0.3">
      <c r="A3" t="s">
        <v>68</v>
      </c>
    </row>
    <row r="6" spans="1:17" x14ac:dyDescent="0.3">
      <c r="A6" s="1" t="s">
        <v>9</v>
      </c>
    </row>
    <row r="8" spans="1:17" ht="17.399999999999999" x14ac:dyDescent="0.3">
      <c r="A8" t="s">
        <v>69</v>
      </c>
    </row>
    <row r="9" spans="1:17" x14ac:dyDescent="0.3">
      <c r="A9" t="s">
        <v>70</v>
      </c>
    </row>
    <row r="10" spans="1:17" x14ac:dyDescent="0.3">
      <c r="A10" t="s">
        <v>71</v>
      </c>
    </row>
    <row r="11" spans="1:17" ht="16.2" x14ac:dyDescent="0.3">
      <c r="A11" t="s">
        <v>72</v>
      </c>
    </row>
    <row r="12" spans="1:17" x14ac:dyDescent="0.3">
      <c r="A12" t="s">
        <v>38</v>
      </c>
    </row>
    <row r="15" spans="1:17" x14ac:dyDescent="0.3">
      <c r="A15" s="1" t="s">
        <v>39</v>
      </c>
      <c r="B15" s="1">
        <v>0</v>
      </c>
      <c r="C15" s="1"/>
      <c r="D15" s="1"/>
      <c r="E15" s="1" t="s">
        <v>44</v>
      </c>
      <c r="F15" s="1">
        <v>10</v>
      </c>
      <c r="M15" s="1"/>
      <c r="N15" s="1"/>
      <c r="O15" s="1"/>
      <c r="P15" s="1"/>
      <c r="Q15" s="1"/>
    </row>
    <row r="16" spans="1:17" x14ac:dyDescent="0.3">
      <c r="A16" s="1" t="s">
        <v>11</v>
      </c>
      <c r="B16" s="1">
        <v>0.5</v>
      </c>
      <c r="C16" s="1" t="s">
        <v>81</v>
      </c>
      <c r="D16" s="1"/>
      <c r="E16" s="1"/>
      <c r="F16" s="1"/>
      <c r="L16" s="1"/>
      <c r="M16" s="1"/>
      <c r="N16" s="1"/>
      <c r="O16" s="1"/>
      <c r="P16" s="1"/>
      <c r="Q16" s="1"/>
    </row>
    <row r="17" spans="1:17" x14ac:dyDescent="0.3">
      <c r="A17" t="s">
        <v>53</v>
      </c>
      <c r="B17" s="5">
        <v>1</v>
      </c>
      <c r="C17" s="5"/>
      <c r="D17" s="5"/>
      <c r="E17" s="1"/>
      <c r="F17" s="1"/>
      <c r="H17" s="8" t="s">
        <v>73</v>
      </c>
      <c r="I17" s="8"/>
      <c r="J17" s="8"/>
      <c r="K17" s="8"/>
      <c r="L17" s="1"/>
      <c r="M17" s="1"/>
      <c r="N17" s="1"/>
      <c r="O17" s="1"/>
      <c r="P17" s="1"/>
      <c r="Q17" s="1"/>
    </row>
    <row r="18" spans="1:17" x14ac:dyDescent="0.3">
      <c r="A18" t="s">
        <v>41</v>
      </c>
      <c r="B18" s="5">
        <v>1</v>
      </c>
      <c r="C18" s="5" t="s">
        <v>80</v>
      </c>
      <c r="D18" s="5"/>
      <c r="E18" s="5"/>
      <c r="F18" s="5"/>
      <c r="L18" s="5"/>
      <c r="M18" s="5"/>
      <c r="N18" s="5"/>
      <c r="O18" s="5"/>
      <c r="P18" s="5"/>
      <c r="Q18" s="5"/>
    </row>
    <row r="19" spans="1:17" x14ac:dyDescent="0.3">
      <c r="A19" s="11" t="s">
        <v>75</v>
      </c>
      <c r="B19" s="5">
        <v>1</v>
      </c>
      <c r="C19" s="5" t="s">
        <v>78</v>
      </c>
      <c r="D19" s="5"/>
      <c r="E19" s="5"/>
      <c r="F19" s="5"/>
      <c r="L19" s="5"/>
      <c r="M19" s="5"/>
      <c r="N19" s="5"/>
      <c r="O19" s="5"/>
      <c r="P19" s="5"/>
      <c r="Q19" s="5"/>
    </row>
    <row r="20" spans="1:17" x14ac:dyDescent="0.3">
      <c r="A20" s="10" t="s">
        <v>76</v>
      </c>
      <c r="B20" s="5">
        <v>0.1</v>
      </c>
      <c r="C20" s="5" t="s">
        <v>79</v>
      </c>
      <c r="D20" s="5"/>
      <c r="E20" s="5"/>
      <c r="F20" s="5"/>
      <c r="L20" s="5"/>
      <c r="M20" s="5"/>
      <c r="N20" s="5"/>
      <c r="O20" s="5"/>
      <c r="P20" s="5"/>
      <c r="Q20" s="5"/>
    </row>
    <row r="21" spans="1:17" x14ac:dyDescent="0.3">
      <c r="D21" s="5"/>
      <c r="E21" s="5"/>
      <c r="F21" s="5"/>
      <c r="L21" s="5"/>
      <c r="M21" s="5"/>
      <c r="N21" s="5"/>
      <c r="O21" s="5"/>
      <c r="P21" s="5"/>
      <c r="Q21" s="5"/>
    </row>
    <row r="22" spans="1:17" x14ac:dyDescent="0.3">
      <c r="E22" s="5"/>
      <c r="F22" s="5"/>
      <c r="L22" s="5"/>
      <c r="M22" s="5"/>
      <c r="N22" s="5"/>
      <c r="O22" s="5"/>
      <c r="P22" s="5"/>
      <c r="Q22" s="5"/>
    </row>
    <row r="23" spans="1:17" x14ac:dyDescent="0.3">
      <c r="B23" s="5"/>
      <c r="C23" s="5"/>
      <c r="D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3">
      <c r="A24" s="1" t="s">
        <v>14</v>
      </c>
      <c r="B24" s="1" t="s">
        <v>53</v>
      </c>
      <c r="C24" s="1" t="s">
        <v>53</v>
      </c>
      <c r="D24" s="1" t="s">
        <v>44</v>
      </c>
      <c r="E24" s="1" t="s">
        <v>45</v>
      </c>
      <c r="F24" s="1" t="s">
        <v>3</v>
      </c>
      <c r="G24" s="1" t="s">
        <v>74</v>
      </c>
      <c r="H24" s="1" t="s">
        <v>77</v>
      </c>
      <c r="I24" s="1" t="s">
        <v>55</v>
      </c>
      <c r="J24" s="1" t="s">
        <v>42</v>
      </c>
      <c r="K24" s="1" t="s">
        <v>59</v>
      </c>
      <c r="L24" s="1" t="s">
        <v>60</v>
      </c>
      <c r="O24" s="1"/>
      <c r="P24" s="1"/>
      <c r="Q24" s="1"/>
    </row>
    <row r="25" spans="1:17" x14ac:dyDescent="0.3">
      <c r="A25">
        <v>1</v>
      </c>
      <c r="B25" s="5">
        <f>B17</f>
        <v>1</v>
      </c>
      <c r="C25" s="5">
        <f>B17</f>
        <v>1</v>
      </c>
      <c r="D25" s="5">
        <f>F15</f>
        <v>10</v>
      </c>
      <c r="E25" s="5">
        <f>B25*(1-$B$16)*D25</f>
        <v>5</v>
      </c>
      <c r="F25" s="5">
        <f>B25*(1-$B$16)</f>
        <v>0.5</v>
      </c>
      <c r="G25" s="5">
        <f t="shared" ref="G25:G56" si="0">$B$18*(($B$16*D25)^$B$19)*B25^$B$20</f>
        <v>5</v>
      </c>
      <c r="H25" s="5">
        <f t="shared" ref="H25:H56" si="1">$B$18*(($B$16*D25)^$B$19)*(B25^($B$20-1))</f>
        <v>5</v>
      </c>
      <c r="I25" s="5">
        <f>H25+$B$15</f>
        <v>5</v>
      </c>
      <c r="J25" s="5">
        <f>H25</f>
        <v>5</v>
      </c>
      <c r="K25" s="5"/>
      <c r="L25" s="5"/>
      <c r="O25" s="5"/>
      <c r="P25" s="5"/>
      <c r="Q25" s="5"/>
    </row>
    <row r="26" spans="1:17" x14ac:dyDescent="0.3">
      <c r="A26">
        <v>2</v>
      </c>
      <c r="B26" s="5">
        <f>B25+G25</f>
        <v>6</v>
      </c>
      <c r="C26" s="5">
        <f>C25*(1+H25)</f>
        <v>6</v>
      </c>
      <c r="D26" s="5">
        <f>D25*(1+$B$15)</f>
        <v>10</v>
      </c>
      <c r="E26" s="5">
        <f>B26*(1-$B$16)*D26</f>
        <v>30</v>
      </c>
      <c r="F26" s="5">
        <f>B26*(1-$B$16)</f>
        <v>3</v>
      </c>
      <c r="G26" s="5">
        <f t="shared" si="0"/>
        <v>5.9811559942565768</v>
      </c>
      <c r="H26" s="5">
        <f t="shared" si="1"/>
        <v>0.99685933237609603</v>
      </c>
      <c r="I26" s="5">
        <f>H26+$B$15</f>
        <v>0.99685933237609603</v>
      </c>
      <c r="J26" s="5">
        <f>H26</f>
        <v>0.99685933237609603</v>
      </c>
      <c r="K26" s="5"/>
      <c r="L26" s="5"/>
      <c r="M26" s="5"/>
      <c r="N26" s="5"/>
      <c r="O26" s="5"/>
      <c r="P26" s="5"/>
      <c r="Q26" s="5"/>
    </row>
    <row r="27" spans="1:17" x14ac:dyDescent="0.3">
      <c r="A27">
        <v>3</v>
      </c>
      <c r="B27" s="5">
        <f t="shared" ref="B27:B44" si="2">B26+G26</f>
        <v>11.981155994256577</v>
      </c>
      <c r="C27" s="5">
        <f t="shared" ref="C27:C44" si="3">C26*(1+H26)</f>
        <v>11.981155994256577</v>
      </c>
      <c r="D27" s="5">
        <f t="shared" ref="D27:D44" si="4">D26*(1+$B$15)</f>
        <v>10</v>
      </c>
      <c r="E27" s="5">
        <f t="shared" ref="E27:E44" si="5">B27*(1-$B$16)*D27</f>
        <v>59.905779971282882</v>
      </c>
      <c r="F27" s="5">
        <f t="shared" ref="F27:F44" si="6">B27*(1-$B$16)</f>
        <v>5.9905779971282884</v>
      </c>
      <c r="G27" s="5">
        <f t="shared" si="0"/>
        <v>6.4094369041350472</v>
      </c>
      <c r="H27" s="5">
        <f t="shared" si="1"/>
        <v>0.53495980748498273</v>
      </c>
      <c r="I27" s="5">
        <f t="shared" ref="I27:I90" si="7">H27+$B$15</f>
        <v>0.53495980748498273</v>
      </c>
      <c r="J27" s="5">
        <f t="shared" ref="J27:J44" si="8">H27</f>
        <v>0.53495980748498273</v>
      </c>
      <c r="K27" s="5"/>
      <c r="L27" s="5"/>
      <c r="M27" s="5"/>
      <c r="N27" s="5"/>
      <c r="O27" s="5"/>
      <c r="P27" s="5"/>
      <c r="Q27" s="5"/>
    </row>
    <row r="28" spans="1:17" x14ac:dyDescent="0.3">
      <c r="A28">
        <v>4</v>
      </c>
      <c r="B28" s="5">
        <f t="shared" si="2"/>
        <v>18.390592898391624</v>
      </c>
      <c r="C28" s="5">
        <f t="shared" si="3"/>
        <v>18.39059289839162</v>
      </c>
      <c r="D28" s="5">
        <f t="shared" si="4"/>
        <v>10</v>
      </c>
      <c r="E28" s="5">
        <f t="shared" si="5"/>
        <v>91.952964491958113</v>
      </c>
      <c r="F28" s="5">
        <f t="shared" si="6"/>
        <v>9.195296449195812</v>
      </c>
      <c r="G28" s="5">
        <f t="shared" si="0"/>
        <v>6.6900532936197719</v>
      </c>
      <c r="H28" s="5">
        <f t="shared" si="1"/>
        <v>0.36377583531876562</v>
      </c>
      <c r="I28" s="5">
        <f t="shared" si="7"/>
        <v>0.36377583531876562</v>
      </c>
      <c r="J28" s="5">
        <f t="shared" si="8"/>
        <v>0.36377583531876562</v>
      </c>
      <c r="K28" s="5"/>
      <c r="L28" s="5"/>
      <c r="M28" s="5"/>
      <c r="N28" s="5"/>
      <c r="O28" s="5"/>
      <c r="P28" s="5"/>
      <c r="Q28" s="5"/>
    </row>
    <row r="29" spans="1:17" x14ac:dyDescent="0.3">
      <c r="A29">
        <v>5</v>
      </c>
      <c r="B29" s="5">
        <f t="shared" si="2"/>
        <v>25.080646192011397</v>
      </c>
      <c r="C29" s="5">
        <f t="shared" si="3"/>
        <v>25.080646192011393</v>
      </c>
      <c r="D29" s="5">
        <f t="shared" si="4"/>
        <v>10</v>
      </c>
      <c r="E29" s="5">
        <f t="shared" si="5"/>
        <v>125.40323096005699</v>
      </c>
      <c r="F29" s="5">
        <f t="shared" si="6"/>
        <v>12.540323096005698</v>
      </c>
      <c r="G29" s="5">
        <f t="shared" si="0"/>
        <v>6.9008704822956712</v>
      </c>
      <c r="H29" s="5">
        <f t="shared" si="1"/>
        <v>0.2751472362180889</v>
      </c>
      <c r="I29" s="5">
        <f t="shared" si="7"/>
        <v>0.2751472362180889</v>
      </c>
      <c r="J29" s="5">
        <f t="shared" si="8"/>
        <v>0.2751472362180889</v>
      </c>
      <c r="K29" s="5"/>
      <c r="L29" s="5"/>
      <c r="M29" s="5"/>
      <c r="N29" s="5"/>
      <c r="O29" s="5"/>
      <c r="P29" s="5"/>
      <c r="Q29" s="5"/>
    </row>
    <row r="30" spans="1:17" x14ac:dyDescent="0.3">
      <c r="A30">
        <v>6</v>
      </c>
      <c r="B30" s="5">
        <f t="shared" si="2"/>
        <v>31.981516674307066</v>
      </c>
      <c r="C30" s="5">
        <f t="shared" si="3"/>
        <v>31.981516674307063</v>
      </c>
      <c r="D30" s="5">
        <f t="shared" si="4"/>
        <v>10</v>
      </c>
      <c r="E30" s="5">
        <f t="shared" si="5"/>
        <v>159.90758337153534</v>
      </c>
      <c r="F30" s="5">
        <f t="shared" si="6"/>
        <v>15.990758337153533</v>
      </c>
      <c r="G30" s="5">
        <f t="shared" si="0"/>
        <v>7.0706592780131263</v>
      </c>
      <c r="H30" s="5">
        <f t="shared" si="1"/>
        <v>0.2210858024658183</v>
      </c>
      <c r="I30" s="5">
        <f t="shared" si="7"/>
        <v>0.2210858024658183</v>
      </c>
      <c r="J30" s="5">
        <f t="shared" si="8"/>
        <v>0.2210858024658183</v>
      </c>
      <c r="K30" s="5"/>
      <c r="L30" s="5"/>
      <c r="M30" s="5"/>
      <c r="N30" s="5"/>
      <c r="O30" s="5"/>
      <c r="P30" s="5"/>
      <c r="Q30" s="5"/>
    </row>
    <row r="31" spans="1:17" x14ac:dyDescent="0.3">
      <c r="A31">
        <v>7</v>
      </c>
      <c r="B31" s="5">
        <f t="shared" si="2"/>
        <v>39.052175952320191</v>
      </c>
      <c r="C31" s="5">
        <f t="shared" si="3"/>
        <v>39.052175952320184</v>
      </c>
      <c r="D31" s="5">
        <f t="shared" si="4"/>
        <v>10</v>
      </c>
      <c r="E31" s="5">
        <f t="shared" si="5"/>
        <v>195.26087976160096</v>
      </c>
      <c r="F31" s="5">
        <f t="shared" si="6"/>
        <v>19.526087976160095</v>
      </c>
      <c r="G31" s="5">
        <f t="shared" si="0"/>
        <v>7.213308857224245</v>
      </c>
      <c r="H31" s="5">
        <f t="shared" si="1"/>
        <v>0.18470952466339291</v>
      </c>
      <c r="I31" s="5">
        <f t="shared" si="7"/>
        <v>0.18470952466339291</v>
      </c>
      <c r="J31" s="5">
        <f t="shared" si="8"/>
        <v>0.18470952466339291</v>
      </c>
      <c r="K31" s="5"/>
      <c r="L31" s="5"/>
      <c r="M31" s="5"/>
      <c r="N31" s="5"/>
      <c r="O31" s="5"/>
      <c r="P31" s="5"/>
      <c r="Q31" s="5"/>
    </row>
    <row r="32" spans="1:17" x14ac:dyDescent="0.3">
      <c r="A32">
        <v>8</v>
      </c>
      <c r="B32" s="5">
        <f t="shared" si="2"/>
        <v>46.265484809544432</v>
      </c>
      <c r="C32" s="5">
        <f t="shared" si="3"/>
        <v>46.265484809544432</v>
      </c>
      <c r="D32" s="5">
        <f t="shared" si="4"/>
        <v>10</v>
      </c>
      <c r="E32" s="5">
        <f t="shared" si="5"/>
        <v>231.32742404772216</v>
      </c>
      <c r="F32" s="5">
        <f t="shared" si="6"/>
        <v>23.132742404772216</v>
      </c>
      <c r="G32" s="5">
        <f t="shared" si="0"/>
        <v>7.3366147747935164</v>
      </c>
      <c r="H32" s="5">
        <f t="shared" si="1"/>
        <v>0.15857641619871221</v>
      </c>
      <c r="I32" s="5">
        <f t="shared" si="7"/>
        <v>0.15857641619871221</v>
      </c>
      <c r="J32" s="5">
        <f t="shared" si="8"/>
        <v>0.15857641619871221</v>
      </c>
      <c r="K32" s="5"/>
      <c r="L32" s="5"/>
      <c r="M32" s="5"/>
      <c r="N32" s="5"/>
      <c r="O32" s="5"/>
      <c r="P32" s="5"/>
      <c r="Q32" s="5"/>
    </row>
    <row r="33" spans="1:17" x14ac:dyDescent="0.3">
      <c r="A33">
        <v>9</v>
      </c>
      <c r="B33" s="5">
        <f t="shared" si="2"/>
        <v>53.60209958433795</v>
      </c>
      <c r="C33" s="5">
        <f t="shared" si="3"/>
        <v>53.60209958433795</v>
      </c>
      <c r="D33" s="5">
        <f t="shared" si="4"/>
        <v>10</v>
      </c>
      <c r="E33" s="5">
        <f t="shared" si="5"/>
        <v>268.01049792168976</v>
      </c>
      <c r="F33" s="5">
        <f t="shared" si="6"/>
        <v>26.801049792168975</v>
      </c>
      <c r="G33" s="5">
        <f t="shared" si="0"/>
        <v>7.4454025632545466</v>
      </c>
      <c r="H33" s="5">
        <f t="shared" si="1"/>
        <v>0.13890132328753083</v>
      </c>
      <c r="I33" s="5">
        <f t="shared" si="7"/>
        <v>0.13890132328753083</v>
      </c>
      <c r="J33" s="5">
        <f t="shared" si="8"/>
        <v>0.13890132328753083</v>
      </c>
      <c r="K33" s="5"/>
      <c r="L33" s="5"/>
      <c r="M33" s="5"/>
      <c r="N33" s="5"/>
      <c r="O33" s="5"/>
      <c r="P33" s="5"/>
      <c r="Q33" s="5"/>
    </row>
    <row r="34" spans="1:17" x14ac:dyDescent="0.3">
      <c r="A34">
        <v>10</v>
      </c>
      <c r="B34" s="5">
        <f t="shared" si="2"/>
        <v>61.047502147592496</v>
      </c>
      <c r="C34" s="5">
        <f t="shared" si="3"/>
        <v>61.047502147592503</v>
      </c>
      <c r="D34" s="5">
        <f t="shared" si="4"/>
        <v>10</v>
      </c>
      <c r="E34" s="5">
        <f t="shared" si="5"/>
        <v>305.23751073796245</v>
      </c>
      <c r="F34" s="5">
        <f t="shared" si="6"/>
        <v>30.523751073796248</v>
      </c>
      <c r="G34" s="5">
        <f t="shared" si="0"/>
        <v>7.5428729773134009</v>
      </c>
      <c r="H34" s="5">
        <f t="shared" si="1"/>
        <v>0.12355743825647851</v>
      </c>
      <c r="I34" s="5">
        <f t="shared" si="7"/>
        <v>0.12355743825647851</v>
      </c>
      <c r="J34" s="5">
        <f t="shared" si="8"/>
        <v>0.12355743825647851</v>
      </c>
      <c r="K34" s="5"/>
      <c r="L34" s="5"/>
      <c r="M34" s="5"/>
      <c r="N34" s="5"/>
      <c r="O34" s="5"/>
      <c r="P34" s="5"/>
      <c r="Q34" s="5"/>
    </row>
    <row r="35" spans="1:17" x14ac:dyDescent="0.3">
      <c r="A35">
        <v>11</v>
      </c>
      <c r="B35" s="5">
        <f t="shared" si="2"/>
        <v>68.590375124905904</v>
      </c>
      <c r="C35" s="5">
        <f t="shared" si="3"/>
        <v>68.590375124905904</v>
      </c>
      <c r="D35" s="5">
        <f t="shared" si="4"/>
        <v>10</v>
      </c>
      <c r="E35" s="5">
        <f t="shared" si="5"/>
        <v>342.95187562452952</v>
      </c>
      <c r="F35" s="5">
        <f t="shared" si="6"/>
        <v>34.295187562452952</v>
      </c>
      <c r="G35" s="5">
        <f t="shared" si="0"/>
        <v>7.6312612608020185</v>
      </c>
      <c r="H35" s="5">
        <f t="shared" si="1"/>
        <v>0.11125848556601672</v>
      </c>
      <c r="I35" s="5">
        <f t="shared" si="7"/>
        <v>0.11125848556601672</v>
      </c>
      <c r="J35" s="5">
        <f t="shared" si="8"/>
        <v>0.11125848556601672</v>
      </c>
      <c r="K35" s="5"/>
      <c r="L35" s="5"/>
      <c r="M35" s="5"/>
      <c r="N35" s="5"/>
      <c r="O35" s="5"/>
      <c r="P35" s="5"/>
      <c r="Q35" s="5"/>
    </row>
    <row r="36" spans="1:17" x14ac:dyDescent="0.3">
      <c r="A36">
        <v>12</v>
      </c>
      <c r="B36" s="5">
        <f t="shared" si="2"/>
        <v>76.221636385707924</v>
      </c>
      <c r="C36" s="5">
        <f t="shared" si="3"/>
        <v>76.221636385707924</v>
      </c>
      <c r="D36" s="5">
        <f t="shared" si="4"/>
        <v>10</v>
      </c>
      <c r="E36" s="5">
        <f t="shared" si="5"/>
        <v>381.10818192853964</v>
      </c>
      <c r="F36" s="5">
        <f t="shared" si="6"/>
        <v>38.110818192853962</v>
      </c>
      <c r="G36" s="5">
        <f t="shared" si="0"/>
        <v>7.7121919661900318</v>
      </c>
      <c r="H36" s="5">
        <f t="shared" si="1"/>
        <v>0.10118113874075943</v>
      </c>
      <c r="I36" s="5">
        <f t="shared" si="7"/>
        <v>0.10118113874075943</v>
      </c>
      <c r="J36" s="5">
        <f t="shared" si="8"/>
        <v>0.10118113874075943</v>
      </c>
      <c r="K36" s="5"/>
      <c r="L36" s="5"/>
      <c r="M36" s="5"/>
      <c r="N36" s="5"/>
      <c r="O36" s="5"/>
      <c r="P36" s="5"/>
      <c r="Q36" s="5"/>
    </row>
    <row r="37" spans="1:17" x14ac:dyDescent="0.3">
      <c r="A37">
        <v>13</v>
      </c>
      <c r="B37" s="5">
        <f t="shared" si="2"/>
        <v>83.933828351897958</v>
      </c>
      <c r="C37" s="5">
        <f t="shared" si="3"/>
        <v>83.933828351897958</v>
      </c>
      <c r="D37" s="5">
        <f t="shared" si="4"/>
        <v>10</v>
      </c>
      <c r="E37" s="5">
        <f t="shared" si="5"/>
        <v>419.66914175948978</v>
      </c>
      <c r="F37" s="5">
        <f t="shared" si="6"/>
        <v>41.966914175948979</v>
      </c>
      <c r="G37" s="5">
        <f t="shared" si="0"/>
        <v>7.7868840439269729</v>
      </c>
      <c r="H37" s="5">
        <f t="shared" si="1"/>
        <v>9.2774084023428072E-2</v>
      </c>
      <c r="I37" s="5">
        <f t="shared" si="7"/>
        <v>9.2774084023428072E-2</v>
      </c>
      <c r="J37" s="5">
        <f t="shared" si="8"/>
        <v>9.2774084023428072E-2</v>
      </c>
      <c r="K37" s="5"/>
      <c r="L37" s="5"/>
      <c r="M37" s="5"/>
      <c r="N37" s="5"/>
      <c r="O37" s="5"/>
      <c r="P37" s="5"/>
      <c r="Q37" s="5"/>
    </row>
    <row r="38" spans="1:17" x14ac:dyDescent="0.3">
      <c r="A38">
        <v>14</v>
      </c>
      <c r="B38" s="5">
        <f t="shared" si="2"/>
        <v>91.720712395824933</v>
      </c>
      <c r="C38" s="5">
        <f t="shared" si="3"/>
        <v>91.720712395824933</v>
      </c>
      <c r="D38" s="5">
        <f t="shared" si="4"/>
        <v>10</v>
      </c>
      <c r="E38" s="5">
        <f t="shared" si="5"/>
        <v>458.60356197912466</v>
      </c>
      <c r="F38" s="5">
        <f t="shared" si="6"/>
        <v>45.860356197912466</v>
      </c>
      <c r="G38" s="5">
        <f t="shared" si="0"/>
        <v>7.8562762523381267</v>
      </c>
      <c r="H38" s="5">
        <f t="shared" si="1"/>
        <v>8.5654330926192568E-2</v>
      </c>
      <c r="I38" s="5">
        <f t="shared" si="7"/>
        <v>8.5654330926192568E-2</v>
      </c>
      <c r="J38" s="5">
        <f t="shared" si="8"/>
        <v>8.5654330926192568E-2</v>
      </c>
      <c r="K38" s="5"/>
      <c r="L38" s="5"/>
      <c r="M38" s="5"/>
      <c r="N38" s="5"/>
      <c r="O38" s="5"/>
      <c r="P38" s="5"/>
      <c r="Q38" s="5"/>
    </row>
    <row r="39" spans="1:17" x14ac:dyDescent="0.3">
      <c r="A39">
        <v>15</v>
      </c>
      <c r="B39" s="5">
        <f t="shared" si="2"/>
        <v>99.576988648163052</v>
      </c>
      <c r="C39" s="5">
        <f t="shared" si="3"/>
        <v>99.576988648163052</v>
      </c>
      <c r="D39" s="5">
        <f t="shared" si="4"/>
        <v>10</v>
      </c>
      <c r="E39" s="5">
        <f t="shared" si="5"/>
        <v>497.88494324081523</v>
      </c>
      <c r="F39" s="5">
        <f t="shared" si="6"/>
        <v>49.788494324081526</v>
      </c>
      <c r="G39" s="5">
        <f t="shared" si="0"/>
        <v>7.9211074251306552</v>
      </c>
      <c r="H39" s="5">
        <f t="shared" si="1"/>
        <v>7.9547569500403648E-2</v>
      </c>
      <c r="I39" s="5">
        <f t="shared" si="7"/>
        <v>7.9547569500403648E-2</v>
      </c>
      <c r="J39" s="5">
        <f t="shared" si="8"/>
        <v>7.9547569500403648E-2</v>
      </c>
      <c r="K39" s="5"/>
      <c r="L39" s="5"/>
      <c r="M39" s="5"/>
      <c r="N39" s="5"/>
      <c r="O39" s="5"/>
      <c r="P39" s="5"/>
      <c r="Q39" s="5"/>
    </row>
    <row r="40" spans="1:17" x14ac:dyDescent="0.3">
      <c r="A40">
        <v>16</v>
      </c>
      <c r="B40" s="5">
        <f t="shared" si="2"/>
        <v>107.49809607329371</v>
      </c>
      <c r="C40" s="5">
        <f t="shared" si="3"/>
        <v>107.49809607329369</v>
      </c>
      <c r="D40" s="5">
        <f t="shared" si="4"/>
        <v>10</v>
      </c>
      <c r="E40" s="5">
        <f t="shared" si="5"/>
        <v>537.49048036646855</v>
      </c>
      <c r="F40" s="5">
        <f t="shared" si="6"/>
        <v>53.749048036646855</v>
      </c>
      <c r="G40" s="5">
        <f t="shared" si="0"/>
        <v>7.9819698237391528</v>
      </c>
      <c r="H40" s="5">
        <f t="shared" si="1"/>
        <v>7.4252197157956445E-2</v>
      </c>
      <c r="I40" s="5">
        <f t="shared" si="7"/>
        <v>7.4252197157956445E-2</v>
      </c>
      <c r="J40" s="5">
        <f t="shared" si="8"/>
        <v>7.4252197157956445E-2</v>
      </c>
      <c r="K40" s="5"/>
      <c r="L40" s="5"/>
      <c r="M40" s="5"/>
      <c r="N40" s="5"/>
      <c r="O40" s="5"/>
      <c r="P40" s="5"/>
      <c r="Q40" s="5"/>
    </row>
    <row r="41" spans="1:17" x14ac:dyDescent="0.3">
      <c r="A41">
        <v>17</v>
      </c>
      <c r="B41" s="5">
        <f t="shared" si="2"/>
        <v>115.48006589703286</v>
      </c>
      <c r="C41" s="5">
        <f t="shared" si="3"/>
        <v>115.48006589703283</v>
      </c>
      <c r="D41" s="5">
        <f t="shared" si="4"/>
        <v>10</v>
      </c>
      <c r="E41" s="5">
        <f t="shared" si="5"/>
        <v>577.40032948516432</v>
      </c>
      <c r="F41" s="5">
        <f t="shared" si="6"/>
        <v>57.740032948516429</v>
      </c>
      <c r="G41" s="5">
        <f t="shared" si="0"/>
        <v>8.039345745783006</v>
      </c>
      <c r="H41" s="5">
        <f t="shared" si="1"/>
        <v>6.9616740199570426E-2</v>
      </c>
      <c r="I41" s="5">
        <f t="shared" si="7"/>
        <v>6.9616740199570426E-2</v>
      </c>
      <c r="J41" s="5">
        <f t="shared" si="8"/>
        <v>6.9616740199570426E-2</v>
      </c>
      <c r="K41" s="5"/>
      <c r="L41" s="5"/>
      <c r="M41" s="5"/>
      <c r="N41" s="5"/>
      <c r="O41" s="5"/>
      <c r="P41" s="5"/>
      <c r="Q41" s="5"/>
    </row>
    <row r="42" spans="1:17" x14ac:dyDescent="0.3">
      <c r="A42">
        <v>18</v>
      </c>
      <c r="B42" s="5">
        <f t="shared" si="2"/>
        <v>123.51941164281587</v>
      </c>
      <c r="C42" s="5">
        <f t="shared" si="3"/>
        <v>123.51941164281584</v>
      </c>
      <c r="D42" s="5">
        <f t="shared" si="4"/>
        <v>10</v>
      </c>
      <c r="E42" s="5">
        <f t="shared" si="5"/>
        <v>617.59705821407931</v>
      </c>
      <c r="F42" s="5">
        <f t="shared" si="6"/>
        <v>61.759705821407934</v>
      </c>
      <c r="G42" s="5">
        <f t="shared" si="0"/>
        <v>8.0936333361957598</v>
      </c>
      <c r="H42" s="5">
        <f t="shared" si="1"/>
        <v>6.5525193397134335E-2</v>
      </c>
      <c r="I42" s="5">
        <f t="shared" si="7"/>
        <v>6.5525193397134335E-2</v>
      </c>
      <c r="J42" s="5">
        <f t="shared" si="8"/>
        <v>6.5525193397134335E-2</v>
      </c>
      <c r="K42" s="5"/>
      <c r="L42" s="5"/>
      <c r="M42" s="5"/>
      <c r="N42" s="5"/>
      <c r="O42" s="5"/>
      <c r="P42" s="5"/>
      <c r="Q42" s="5"/>
    </row>
    <row r="43" spans="1:17" x14ac:dyDescent="0.3">
      <c r="A43">
        <v>19</v>
      </c>
      <c r="B43" s="5">
        <f t="shared" si="2"/>
        <v>131.61304497901162</v>
      </c>
      <c r="C43" s="5">
        <f t="shared" si="3"/>
        <v>131.61304497901159</v>
      </c>
      <c r="D43" s="5">
        <f t="shared" si="4"/>
        <v>10</v>
      </c>
      <c r="E43" s="5">
        <f t="shared" si="5"/>
        <v>658.06522489505812</v>
      </c>
      <c r="F43" s="5">
        <f t="shared" si="6"/>
        <v>65.806522489505809</v>
      </c>
      <c r="G43" s="5">
        <f t="shared" si="0"/>
        <v>8.1451652179180325</v>
      </c>
      <c r="H43" s="5">
        <f t="shared" si="1"/>
        <v>6.1887218088578839E-2</v>
      </c>
      <c r="I43" s="5">
        <f t="shared" si="7"/>
        <v>6.1887218088578839E-2</v>
      </c>
      <c r="J43" s="5">
        <f t="shared" si="8"/>
        <v>6.1887218088578839E-2</v>
      </c>
      <c r="K43" s="5"/>
      <c r="L43" s="5"/>
      <c r="M43" s="5"/>
      <c r="N43" s="5"/>
      <c r="O43" s="5"/>
      <c r="P43" s="5"/>
      <c r="Q43" s="5"/>
    </row>
    <row r="44" spans="1:17" x14ac:dyDescent="0.3">
      <c r="A44">
        <v>20</v>
      </c>
      <c r="B44" s="5">
        <f t="shared" si="2"/>
        <v>139.75821019692964</v>
      </c>
      <c r="C44" s="5">
        <f t="shared" si="3"/>
        <v>139.75821019692961</v>
      </c>
      <c r="D44" s="5">
        <f t="shared" si="4"/>
        <v>10</v>
      </c>
      <c r="E44" s="5">
        <f t="shared" si="5"/>
        <v>698.79105098464822</v>
      </c>
      <c r="F44" s="5">
        <f t="shared" si="6"/>
        <v>69.879105098464819</v>
      </c>
      <c r="G44" s="5">
        <f t="shared" si="0"/>
        <v>8.1942222182105908</v>
      </c>
      <c r="H44" s="5">
        <f t="shared" si="1"/>
        <v>5.8631419268065359E-2</v>
      </c>
      <c r="I44" s="5">
        <f t="shared" si="7"/>
        <v>5.8631419268065359E-2</v>
      </c>
      <c r="J44" s="5">
        <f t="shared" si="8"/>
        <v>5.8631419268065359E-2</v>
      </c>
      <c r="K44" s="5"/>
      <c r="L44" s="5"/>
      <c r="M44" s="5"/>
      <c r="N44" s="5"/>
      <c r="O44" s="5"/>
      <c r="P44" s="5"/>
      <c r="Q44" s="5"/>
    </row>
    <row r="45" spans="1:17" x14ac:dyDescent="0.3">
      <c r="A45">
        <v>21</v>
      </c>
      <c r="B45" s="5">
        <f t="shared" ref="B45:B65" si="9">B44+G44</f>
        <v>147.95243241514024</v>
      </c>
      <c r="C45" s="5">
        <f t="shared" ref="C45:C65" si="10">C44*(1+H44)</f>
        <v>147.95243241514018</v>
      </c>
      <c r="D45" s="5">
        <f t="shared" ref="D45:D65" si="11">D44*(1+$B$15)</f>
        <v>10</v>
      </c>
      <c r="E45" s="5">
        <f t="shared" ref="E45:E65" si="12">B45*(1-$B$16)*D45</f>
        <v>739.76216207570121</v>
      </c>
      <c r="F45" s="5">
        <f t="shared" ref="F45:F65" si="13">B45*(1-$B$16)</f>
        <v>73.976216207570118</v>
      </c>
      <c r="G45" s="5">
        <f t="shared" si="0"/>
        <v>8.2410436659041313</v>
      </c>
      <c r="H45" s="5">
        <f t="shared" si="1"/>
        <v>5.5700629799586898E-2</v>
      </c>
      <c r="I45" s="5">
        <f t="shared" si="7"/>
        <v>5.5700629799586898E-2</v>
      </c>
      <c r="J45" s="5">
        <f t="shared" ref="J45:J65" si="14">H45</f>
        <v>5.5700629799586898E-2</v>
      </c>
    </row>
    <row r="46" spans="1:17" x14ac:dyDescent="0.3">
      <c r="A46">
        <v>22</v>
      </c>
      <c r="B46" s="5">
        <f t="shared" si="9"/>
        <v>156.19347608104437</v>
      </c>
      <c r="C46" s="5">
        <f t="shared" si="10"/>
        <v>156.19347608104431</v>
      </c>
      <c r="D46" s="5">
        <f t="shared" si="11"/>
        <v>10</v>
      </c>
      <c r="E46" s="5">
        <f t="shared" si="12"/>
        <v>780.96738040522177</v>
      </c>
      <c r="F46" s="5">
        <f t="shared" si="13"/>
        <v>78.096738040522183</v>
      </c>
      <c r="G46" s="5">
        <f t="shared" si="0"/>
        <v>8.2858352410538352</v>
      </c>
      <c r="H46" s="5">
        <f t="shared" si="1"/>
        <v>5.3048536014106959E-2</v>
      </c>
      <c r="I46" s="5">
        <f t="shared" si="7"/>
        <v>5.3048536014106959E-2</v>
      </c>
      <c r="J46" s="5">
        <f t="shared" si="14"/>
        <v>5.3048536014106959E-2</v>
      </c>
    </row>
    <row r="47" spans="1:17" x14ac:dyDescent="0.3">
      <c r="A47">
        <v>23</v>
      </c>
      <c r="B47" s="5">
        <f t="shared" si="9"/>
        <v>164.4793113220982</v>
      </c>
      <c r="C47" s="5">
        <f t="shared" si="10"/>
        <v>164.47931132209814</v>
      </c>
      <c r="D47" s="5">
        <f t="shared" si="11"/>
        <v>10</v>
      </c>
      <c r="E47" s="5">
        <f t="shared" si="12"/>
        <v>822.39655661049096</v>
      </c>
      <c r="F47" s="5">
        <f t="shared" si="13"/>
        <v>82.239655661049099</v>
      </c>
      <c r="G47" s="5">
        <f t="shared" si="0"/>
        <v>8.3287750451320051</v>
      </c>
      <c r="H47" s="5">
        <f t="shared" si="1"/>
        <v>5.0637219831385645E-2</v>
      </c>
      <c r="I47" s="5">
        <f t="shared" si="7"/>
        <v>5.0637219831385645E-2</v>
      </c>
      <c r="J47" s="5">
        <f t="shared" si="14"/>
        <v>5.0637219831385645E-2</v>
      </c>
    </row>
    <row r="48" spans="1:17" x14ac:dyDescent="0.3">
      <c r="A48">
        <v>24</v>
      </c>
      <c r="B48" s="5">
        <f t="shared" si="9"/>
        <v>172.8080863672302</v>
      </c>
      <c r="C48" s="5">
        <f t="shared" si="10"/>
        <v>172.80808636723015</v>
      </c>
      <c r="D48" s="5">
        <f t="shared" si="11"/>
        <v>10</v>
      </c>
      <c r="E48" s="5">
        <f t="shared" si="12"/>
        <v>864.04043183615101</v>
      </c>
      <c r="F48" s="5">
        <f t="shared" si="13"/>
        <v>86.404043183615101</v>
      </c>
      <c r="G48" s="5">
        <f t="shared" si="0"/>
        <v>8.3700183560234542</v>
      </c>
      <c r="H48" s="5">
        <f t="shared" si="1"/>
        <v>4.8435339641667755E-2</v>
      </c>
      <c r="I48" s="5">
        <f t="shared" si="7"/>
        <v>4.8435339641667755E-2</v>
      </c>
      <c r="J48" s="5">
        <f t="shared" si="14"/>
        <v>4.8435339641667755E-2</v>
      </c>
    </row>
    <row r="49" spans="1:10" x14ac:dyDescent="0.3">
      <c r="A49">
        <v>25</v>
      </c>
      <c r="B49" s="5">
        <f t="shared" si="9"/>
        <v>181.17810472325365</v>
      </c>
      <c r="C49" s="5">
        <f t="shared" si="10"/>
        <v>181.17810472325357</v>
      </c>
      <c r="D49" s="5">
        <f t="shared" si="11"/>
        <v>10</v>
      </c>
      <c r="E49" s="5">
        <f t="shared" si="12"/>
        <v>905.8905236162683</v>
      </c>
      <c r="F49" s="5">
        <f t="shared" si="13"/>
        <v>90.589052361626827</v>
      </c>
      <c r="G49" s="5">
        <f t="shared" si="0"/>
        <v>8.4097013964263763</v>
      </c>
      <c r="H49" s="5">
        <f t="shared" si="1"/>
        <v>4.6416764372671004E-2</v>
      </c>
      <c r="I49" s="5">
        <f t="shared" si="7"/>
        <v>4.6416764372671004E-2</v>
      </c>
      <c r="J49" s="5">
        <f t="shared" si="14"/>
        <v>4.6416764372671004E-2</v>
      </c>
    </row>
    <row r="50" spans="1:10" x14ac:dyDescent="0.3">
      <c r="A50">
        <v>26</v>
      </c>
      <c r="B50" s="5">
        <f t="shared" si="9"/>
        <v>189.58780611968004</v>
      </c>
      <c r="C50" s="5">
        <f t="shared" si="10"/>
        <v>189.58780611967993</v>
      </c>
      <c r="D50" s="5">
        <f t="shared" si="11"/>
        <v>10</v>
      </c>
      <c r="E50" s="5">
        <f t="shared" si="12"/>
        <v>947.93903059840022</v>
      </c>
      <c r="F50" s="5">
        <f t="shared" si="13"/>
        <v>94.793903059840019</v>
      </c>
      <c r="G50" s="5">
        <f t="shared" si="0"/>
        <v>8.4479443521427342</v>
      </c>
      <c r="H50" s="5">
        <f t="shared" si="1"/>
        <v>4.4559534313139582E-2</v>
      </c>
      <c r="I50" s="5">
        <f t="shared" si="7"/>
        <v>4.4559534313139582E-2</v>
      </c>
      <c r="J50" s="5">
        <f t="shared" si="14"/>
        <v>4.4559534313139582E-2</v>
      </c>
    </row>
    <row r="51" spans="1:10" x14ac:dyDescent="0.3">
      <c r="A51">
        <v>27</v>
      </c>
      <c r="B51" s="5">
        <f t="shared" si="9"/>
        <v>198.03575047182278</v>
      </c>
      <c r="C51" s="5">
        <f t="shared" si="10"/>
        <v>198.03575047182264</v>
      </c>
      <c r="D51" s="5">
        <f t="shared" si="11"/>
        <v>10</v>
      </c>
      <c r="E51" s="5">
        <f t="shared" si="12"/>
        <v>990.1787523591139</v>
      </c>
      <c r="F51" s="5">
        <f t="shared" si="13"/>
        <v>99.01787523591139</v>
      </c>
      <c r="G51" s="5">
        <f t="shared" si="0"/>
        <v>8.4848538130361035</v>
      </c>
      <c r="H51" s="5">
        <f t="shared" si="1"/>
        <v>4.2845061019643291E-2</v>
      </c>
      <c r="I51" s="5">
        <f t="shared" si="7"/>
        <v>4.2845061019643291E-2</v>
      </c>
      <c r="J51" s="5">
        <f t="shared" si="14"/>
        <v>4.2845061019643291E-2</v>
      </c>
    </row>
    <row r="52" spans="1:10" x14ac:dyDescent="0.3">
      <c r="A52">
        <v>28</v>
      </c>
      <c r="B52" s="5">
        <f t="shared" si="9"/>
        <v>206.52060428485888</v>
      </c>
      <c r="C52" s="5">
        <f t="shared" si="10"/>
        <v>206.52060428485873</v>
      </c>
      <c r="D52" s="5">
        <f t="shared" si="11"/>
        <v>10</v>
      </c>
      <c r="E52" s="5">
        <f t="shared" si="12"/>
        <v>1032.6030214242944</v>
      </c>
      <c r="F52" s="5">
        <f t="shared" si="13"/>
        <v>103.26030214242944</v>
      </c>
      <c r="G52" s="5">
        <f t="shared" si="0"/>
        <v>8.5205247646396991</v>
      </c>
      <c r="H52" s="5">
        <f t="shared" si="1"/>
        <v>4.1257504519438333E-2</v>
      </c>
      <c r="I52" s="5">
        <f t="shared" si="7"/>
        <v>4.1257504519438333E-2</v>
      </c>
      <c r="J52" s="5">
        <f t="shared" si="14"/>
        <v>4.1257504519438333E-2</v>
      </c>
    </row>
    <row r="53" spans="1:10" x14ac:dyDescent="0.3">
      <c r="A53">
        <v>29</v>
      </c>
      <c r="B53" s="5">
        <f t="shared" si="9"/>
        <v>215.04112904949858</v>
      </c>
      <c r="C53" s="5">
        <f t="shared" si="10"/>
        <v>215.04112904949844</v>
      </c>
      <c r="D53" s="5">
        <f t="shared" si="11"/>
        <v>10</v>
      </c>
      <c r="E53" s="5">
        <f t="shared" si="12"/>
        <v>1075.2056452474928</v>
      </c>
      <c r="F53" s="5">
        <f t="shared" si="13"/>
        <v>107.52056452474929</v>
      </c>
      <c r="G53" s="5">
        <f t="shared" si="0"/>
        <v>8.5550422264178501</v>
      </c>
      <c r="H53" s="5">
        <f t="shared" si="1"/>
        <v>3.9783283617566167E-2</v>
      </c>
      <c r="I53" s="5">
        <f t="shared" si="7"/>
        <v>3.9783283617566167E-2</v>
      </c>
      <c r="J53" s="5">
        <f t="shared" si="14"/>
        <v>3.9783283617566167E-2</v>
      </c>
    </row>
    <row r="54" spans="1:10" x14ac:dyDescent="0.3">
      <c r="A54">
        <v>30</v>
      </c>
      <c r="B54" s="5">
        <f t="shared" si="9"/>
        <v>223.59617127591642</v>
      </c>
      <c r="C54" s="5">
        <f t="shared" si="10"/>
        <v>223.5961712759163</v>
      </c>
      <c r="D54" s="5">
        <f t="shared" si="11"/>
        <v>10</v>
      </c>
      <c r="E54" s="5">
        <f t="shared" si="12"/>
        <v>1117.9808563795821</v>
      </c>
      <c r="F54" s="5">
        <f t="shared" si="13"/>
        <v>111.79808563795821</v>
      </c>
      <c r="G54" s="5">
        <f t="shared" si="0"/>
        <v>8.5884826095338891</v>
      </c>
      <c r="H54" s="5">
        <f t="shared" si="1"/>
        <v>3.8410687269487043E-2</v>
      </c>
      <c r="I54" s="5">
        <f t="shared" si="7"/>
        <v>3.8410687269487043E-2</v>
      </c>
      <c r="J54" s="5">
        <f t="shared" si="14"/>
        <v>3.8410687269487043E-2</v>
      </c>
    </row>
    <row r="55" spans="1:10" x14ac:dyDescent="0.3">
      <c r="A55">
        <v>31</v>
      </c>
      <c r="B55" s="5">
        <f t="shared" si="9"/>
        <v>232.1846538854503</v>
      </c>
      <c r="C55" s="5">
        <f t="shared" si="10"/>
        <v>232.18465388545016</v>
      </c>
      <c r="D55" s="5">
        <f t="shared" si="11"/>
        <v>10</v>
      </c>
      <c r="E55" s="5">
        <f t="shared" si="12"/>
        <v>1160.9232694272514</v>
      </c>
      <c r="F55" s="5">
        <f t="shared" si="13"/>
        <v>116.09232694272515</v>
      </c>
      <c r="G55" s="5">
        <f t="shared" si="0"/>
        <v>8.6209148500031425</v>
      </c>
      <c r="H55" s="5">
        <f t="shared" si="1"/>
        <v>3.7129563499301362E-2</v>
      </c>
      <c r="I55" s="5">
        <f t="shared" si="7"/>
        <v>3.7129563499301362E-2</v>
      </c>
      <c r="J55" s="5">
        <f t="shared" si="14"/>
        <v>3.7129563499301362E-2</v>
      </c>
    </row>
    <row r="56" spans="1:10" x14ac:dyDescent="0.3">
      <c r="A56">
        <v>32</v>
      </c>
      <c r="B56" s="5">
        <f t="shared" si="9"/>
        <v>240.80556873545345</v>
      </c>
      <c r="C56" s="5">
        <f t="shared" si="10"/>
        <v>240.80556873545331</v>
      </c>
      <c r="D56" s="5">
        <f t="shared" si="11"/>
        <v>10</v>
      </c>
      <c r="E56" s="5">
        <f t="shared" si="12"/>
        <v>1204.0278436772674</v>
      </c>
      <c r="F56" s="5">
        <f t="shared" si="13"/>
        <v>120.40278436772672</v>
      </c>
      <c r="G56" s="5">
        <f t="shared" si="0"/>
        <v>8.6524013605155705</v>
      </c>
      <c r="H56" s="5">
        <f t="shared" si="1"/>
        <v>3.5931068396599299E-2</v>
      </c>
      <c r="I56" s="5">
        <f t="shared" si="7"/>
        <v>3.5931068396599299E-2</v>
      </c>
      <c r="J56" s="5">
        <f t="shared" si="14"/>
        <v>3.5931068396599299E-2</v>
      </c>
    </row>
    <row r="57" spans="1:10" x14ac:dyDescent="0.3">
      <c r="A57">
        <v>33</v>
      </c>
      <c r="B57" s="5">
        <f t="shared" si="9"/>
        <v>249.45797009596902</v>
      </c>
      <c r="C57" s="5">
        <f t="shared" si="10"/>
        <v>249.45797009596885</v>
      </c>
      <c r="D57" s="5">
        <f t="shared" si="11"/>
        <v>10</v>
      </c>
      <c r="E57" s="5">
        <f t="shared" si="12"/>
        <v>1247.289850479845</v>
      </c>
      <c r="F57" s="5">
        <f t="shared" si="13"/>
        <v>124.72898504798451</v>
      </c>
      <c r="G57" s="5">
        <f t="shared" ref="G57:G88" si="15">$B$18*(($B$16*D57)^$B$19)*B57^$B$20</f>
        <v>8.6829988347657192</v>
      </c>
      <c r="H57" s="5">
        <f t="shared" ref="H57:H88" si="16">$B$18*(($B$16*D57)^$B$19)*(B57^($B$20-1))</f>
        <v>3.4807462080386861E-2</v>
      </c>
      <c r="I57" s="5">
        <f t="shared" si="7"/>
        <v>3.4807462080386861E-2</v>
      </c>
      <c r="J57" s="5">
        <f t="shared" si="14"/>
        <v>3.4807462080386861E-2</v>
      </c>
    </row>
    <row r="58" spans="1:10" x14ac:dyDescent="0.3">
      <c r="A58">
        <v>34</v>
      </c>
      <c r="B58" s="5">
        <f t="shared" si="9"/>
        <v>258.14096893073474</v>
      </c>
      <c r="C58" s="5">
        <f t="shared" si="10"/>
        <v>258.14096893073457</v>
      </c>
      <c r="D58" s="5">
        <f t="shared" si="11"/>
        <v>10</v>
      </c>
      <c r="E58" s="5">
        <f t="shared" si="12"/>
        <v>1290.7048446536737</v>
      </c>
      <c r="F58" s="5">
        <f t="shared" si="13"/>
        <v>129.07048446536737</v>
      </c>
      <c r="G58" s="5">
        <f t="shared" si="15"/>
        <v>8.7127589309689988</v>
      </c>
      <c r="H58" s="5">
        <f t="shared" si="16"/>
        <v>3.3751941689297828E-2</v>
      </c>
      <c r="I58" s="5">
        <f t="shared" si="7"/>
        <v>3.3751941689297828E-2</v>
      </c>
      <c r="J58" s="5">
        <f t="shared" si="14"/>
        <v>3.3751941689297828E-2</v>
      </c>
    </row>
    <row r="59" spans="1:10" x14ac:dyDescent="0.3">
      <c r="A59">
        <v>35</v>
      </c>
      <c r="B59" s="5">
        <f t="shared" si="9"/>
        <v>266.85372786170376</v>
      </c>
      <c r="C59" s="5">
        <f t="shared" si="10"/>
        <v>266.85372786170353</v>
      </c>
      <c r="D59" s="5">
        <f t="shared" si="11"/>
        <v>10</v>
      </c>
      <c r="E59" s="5">
        <f t="shared" si="12"/>
        <v>1334.2686393085187</v>
      </c>
      <c r="F59" s="5">
        <f t="shared" si="13"/>
        <v>133.42686393085188</v>
      </c>
      <c r="G59" s="5">
        <f t="shared" si="15"/>
        <v>8.741728855767132</v>
      </c>
      <c r="H59" s="5">
        <f t="shared" si="16"/>
        <v>3.2758503790876456E-2</v>
      </c>
      <c r="I59" s="5">
        <f t="shared" si="7"/>
        <v>3.2758503790876456E-2</v>
      </c>
      <c r="J59" s="5">
        <f t="shared" si="14"/>
        <v>3.2758503790876456E-2</v>
      </c>
    </row>
    <row r="60" spans="1:10" x14ac:dyDescent="0.3">
      <c r="A60">
        <v>36</v>
      </c>
      <c r="B60" s="5">
        <f t="shared" si="9"/>
        <v>275.59545671747088</v>
      </c>
      <c r="C60" s="5">
        <f t="shared" si="10"/>
        <v>275.59545671747065</v>
      </c>
      <c r="D60" s="5">
        <f t="shared" si="11"/>
        <v>10</v>
      </c>
      <c r="E60" s="5">
        <f t="shared" si="12"/>
        <v>1377.9772835873543</v>
      </c>
      <c r="F60" s="5">
        <f t="shared" si="13"/>
        <v>137.79772835873544</v>
      </c>
      <c r="G60" s="5">
        <f t="shared" si="15"/>
        <v>8.7699518654992499</v>
      </c>
      <c r="H60" s="5">
        <f t="shared" si="16"/>
        <v>3.1821830337681677E-2</v>
      </c>
      <c r="I60" s="5">
        <f t="shared" si="7"/>
        <v>3.1821830337681677E-2</v>
      </c>
      <c r="J60" s="5">
        <f t="shared" si="14"/>
        <v>3.1821830337681677E-2</v>
      </c>
    </row>
    <row r="61" spans="1:10" x14ac:dyDescent="0.3">
      <c r="A61">
        <v>37</v>
      </c>
      <c r="B61" s="5">
        <f t="shared" si="9"/>
        <v>284.36540858297013</v>
      </c>
      <c r="C61" s="5">
        <f t="shared" si="10"/>
        <v>284.36540858296991</v>
      </c>
      <c r="D61" s="5">
        <f t="shared" si="11"/>
        <v>10</v>
      </c>
      <c r="E61" s="5">
        <f t="shared" si="12"/>
        <v>1421.8270429148506</v>
      </c>
      <c r="F61" s="5">
        <f t="shared" si="13"/>
        <v>142.18270429148507</v>
      </c>
      <c r="G61" s="5">
        <f t="shared" si="15"/>
        <v>8.7974676985261979</v>
      </c>
      <c r="H61" s="5">
        <f t="shared" si="16"/>
        <v>3.0937193600181993E-2</v>
      </c>
      <c r="I61" s="5">
        <f t="shared" si="7"/>
        <v>3.0937193600181993E-2</v>
      </c>
      <c r="J61" s="5">
        <f t="shared" si="14"/>
        <v>3.0937193600181993E-2</v>
      </c>
    </row>
    <row r="62" spans="1:10" x14ac:dyDescent="0.3">
      <c r="A62">
        <v>38</v>
      </c>
      <c r="B62" s="5">
        <f t="shared" si="9"/>
        <v>293.16287628149632</v>
      </c>
      <c r="C62" s="5">
        <f t="shared" si="10"/>
        <v>293.16287628149615</v>
      </c>
      <c r="D62" s="5">
        <f t="shared" si="11"/>
        <v>10</v>
      </c>
      <c r="E62" s="5">
        <f t="shared" si="12"/>
        <v>1465.8143814074815</v>
      </c>
      <c r="F62" s="5">
        <f t="shared" si="13"/>
        <v>146.58143814074816</v>
      </c>
      <c r="G62" s="5">
        <f t="shared" si="15"/>
        <v>8.8243129497163597</v>
      </c>
      <c r="H62" s="5">
        <f t="shared" si="16"/>
        <v>3.010037649256524E-2</v>
      </c>
      <c r="I62" s="5">
        <f t="shared" si="7"/>
        <v>3.010037649256524E-2</v>
      </c>
      <c r="J62" s="5">
        <f t="shared" si="14"/>
        <v>3.010037649256524E-2</v>
      </c>
    </row>
    <row r="63" spans="1:10" x14ac:dyDescent="0.3">
      <c r="A63">
        <v>39</v>
      </c>
      <c r="B63" s="5">
        <f t="shared" si="9"/>
        <v>301.98718923121271</v>
      </c>
      <c r="C63" s="5">
        <f t="shared" si="10"/>
        <v>301.98718923121248</v>
      </c>
      <c r="D63" s="5">
        <f t="shared" si="11"/>
        <v>10</v>
      </c>
      <c r="E63" s="5">
        <f t="shared" si="12"/>
        <v>1509.9359461560634</v>
      </c>
      <c r="F63" s="5">
        <f t="shared" si="13"/>
        <v>150.99359461560636</v>
      </c>
      <c r="G63" s="5">
        <f t="shared" si="15"/>
        <v>8.8505213961637725</v>
      </c>
      <c r="H63" s="5">
        <f t="shared" si="16"/>
        <v>2.930760546066568E-2</v>
      </c>
      <c r="I63" s="5">
        <f t="shared" si="7"/>
        <v>2.930760546066568E-2</v>
      </c>
      <c r="J63" s="5">
        <f t="shared" si="14"/>
        <v>2.930760546066568E-2</v>
      </c>
    </row>
    <row r="64" spans="1:10" x14ac:dyDescent="0.3">
      <c r="A64">
        <v>40</v>
      </c>
      <c r="B64" s="5">
        <f t="shared" si="9"/>
        <v>310.83771062737651</v>
      </c>
      <c r="C64" s="5">
        <f t="shared" si="10"/>
        <v>310.83771062737623</v>
      </c>
      <c r="D64" s="5">
        <f t="shared" si="11"/>
        <v>10</v>
      </c>
      <c r="E64" s="5">
        <f t="shared" si="12"/>
        <v>1554.1885531368825</v>
      </c>
      <c r="F64" s="5">
        <f t="shared" si="13"/>
        <v>155.41885531368825</v>
      </c>
      <c r="G64" s="5">
        <f t="shared" si="15"/>
        <v>8.8761242815885275</v>
      </c>
      <c r="H64" s="5">
        <f t="shared" si="16"/>
        <v>2.8555493680845496E-2</v>
      </c>
      <c r="I64" s="5">
        <f t="shared" si="7"/>
        <v>2.8555493680845496E-2</v>
      </c>
      <c r="J64" s="5">
        <f t="shared" si="14"/>
        <v>2.8555493680845496E-2</v>
      </c>
    </row>
    <row r="65" spans="1:10" x14ac:dyDescent="0.3">
      <c r="A65">
        <v>41</v>
      </c>
      <c r="B65" s="5">
        <f t="shared" si="9"/>
        <v>319.71383490896505</v>
      </c>
      <c r="C65" s="5">
        <f t="shared" si="10"/>
        <v>319.71383490896471</v>
      </c>
      <c r="D65" s="5">
        <f t="shared" si="11"/>
        <v>10</v>
      </c>
      <c r="E65" s="5">
        <f t="shared" si="12"/>
        <v>1598.5691745448253</v>
      </c>
      <c r="F65" s="5">
        <f t="shared" si="13"/>
        <v>159.85691745448253</v>
      </c>
      <c r="G65" s="5">
        <f t="shared" si="15"/>
        <v>8.9011505655719834</v>
      </c>
      <c r="H65" s="5">
        <f t="shared" si="16"/>
        <v>2.7840992768131172E-2</v>
      </c>
      <c r="I65" s="5">
        <f t="shared" si="7"/>
        <v>2.7840992768131172E-2</v>
      </c>
      <c r="J65" s="5">
        <f t="shared" si="14"/>
        <v>2.7840992768131172E-2</v>
      </c>
    </row>
    <row r="66" spans="1:10" x14ac:dyDescent="0.3">
      <c r="A66">
        <v>42</v>
      </c>
      <c r="B66" s="5">
        <f t="shared" ref="B66:B124" si="17">B65+G65</f>
        <v>328.61498547453704</v>
      </c>
      <c r="C66" s="5">
        <f t="shared" ref="C66:C124" si="18">C65*(1+H65)</f>
        <v>328.6149854745367</v>
      </c>
      <c r="D66" s="5">
        <f t="shared" ref="D66:D124" si="19">D65*(1+$B$15)</f>
        <v>10</v>
      </c>
      <c r="E66" s="5">
        <f t="shared" ref="E66:E124" si="20">B66*(1-$B$16)*D66</f>
        <v>1643.0749273726851</v>
      </c>
      <c r="F66" s="5">
        <f t="shared" ref="F66:F124" si="21">B66*(1-$B$16)</f>
        <v>164.30749273726852</v>
      </c>
      <c r="G66" s="5">
        <f t="shared" si="15"/>
        <v>8.9256271427341289</v>
      </c>
      <c r="H66" s="5">
        <f t="shared" si="16"/>
        <v>2.7161351542885553E-2</v>
      </c>
      <c r="I66" s="5">
        <f t="shared" si="7"/>
        <v>2.7161351542885553E-2</v>
      </c>
      <c r="J66" s="5">
        <f t="shared" ref="J66:J124" si="22">H66</f>
        <v>2.7161351542885553E-2</v>
      </c>
    </row>
    <row r="67" spans="1:10" x14ac:dyDescent="0.3">
      <c r="A67">
        <v>43</v>
      </c>
      <c r="B67" s="5">
        <f t="shared" si="17"/>
        <v>337.54061261727117</v>
      </c>
      <c r="C67" s="5">
        <f t="shared" si="18"/>
        <v>337.54061261727077</v>
      </c>
      <c r="D67" s="5">
        <f t="shared" si="19"/>
        <v>10</v>
      </c>
      <c r="E67" s="5">
        <f t="shared" si="20"/>
        <v>1687.7030630863558</v>
      </c>
      <c r="F67" s="5">
        <f t="shared" si="21"/>
        <v>168.77030630863558</v>
      </c>
      <c r="G67" s="5">
        <f t="shared" si="15"/>
        <v>8.94957903611372</v>
      </c>
      <c r="H67" s="5">
        <f t="shared" si="16"/>
        <v>2.651408068119325E-2</v>
      </c>
      <c r="I67" s="5">
        <f t="shared" si="7"/>
        <v>2.651408068119325E-2</v>
      </c>
      <c r="J67" s="5">
        <f t="shared" si="22"/>
        <v>2.651408068119325E-2</v>
      </c>
    </row>
    <row r="68" spans="1:10" x14ac:dyDescent="0.3">
      <c r="A68">
        <v>44</v>
      </c>
      <c r="B68" s="5">
        <f t="shared" si="17"/>
        <v>346.4901916533849</v>
      </c>
      <c r="C68" s="5">
        <f t="shared" si="18"/>
        <v>346.49019165338444</v>
      </c>
      <c r="D68" s="5">
        <f t="shared" si="19"/>
        <v>10</v>
      </c>
      <c r="E68" s="5">
        <f t="shared" si="20"/>
        <v>1732.4509582669245</v>
      </c>
      <c r="F68" s="5">
        <f t="shared" si="21"/>
        <v>173.24509582669245</v>
      </c>
      <c r="G68" s="5">
        <f t="shared" si="15"/>
        <v>8.9730295683220049</v>
      </c>
      <c r="H68" s="5">
        <f t="shared" si="16"/>
        <v>2.5896922292387041E-2</v>
      </c>
      <c r="I68" s="5">
        <f t="shared" si="7"/>
        <v>2.5896922292387041E-2</v>
      </c>
      <c r="J68" s="5">
        <f t="shared" si="22"/>
        <v>2.5896922292387041E-2</v>
      </c>
    </row>
    <row r="69" spans="1:10" x14ac:dyDescent="0.3">
      <c r="A69">
        <v>45</v>
      </c>
      <c r="B69" s="5">
        <f t="shared" si="17"/>
        <v>355.46322122170693</v>
      </c>
      <c r="C69" s="5">
        <f t="shared" si="18"/>
        <v>355.46322122170642</v>
      </c>
      <c r="D69" s="5">
        <f t="shared" si="19"/>
        <v>10</v>
      </c>
      <c r="E69" s="5">
        <f t="shared" si="20"/>
        <v>1777.3161061085348</v>
      </c>
      <c r="F69" s="5">
        <f t="shared" si="21"/>
        <v>177.73161061085347</v>
      </c>
      <c r="G69" s="5">
        <f t="shared" si="15"/>
        <v>8.9960005134760337</v>
      </c>
      <c r="H69" s="5">
        <f t="shared" si="16"/>
        <v>2.5307823640817989E-2</v>
      </c>
      <c r="I69" s="5">
        <f t="shared" si="7"/>
        <v>2.5307823640817989E-2</v>
      </c>
      <c r="J69" s="5">
        <f t="shared" si="22"/>
        <v>2.5307823640817989E-2</v>
      </c>
    </row>
    <row r="70" spans="1:10" x14ac:dyDescent="0.3">
      <c r="A70">
        <v>46</v>
      </c>
      <c r="B70" s="5">
        <f t="shared" si="17"/>
        <v>364.45922173518295</v>
      </c>
      <c r="C70" s="5">
        <f t="shared" si="18"/>
        <v>364.45922173518244</v>
      </c>
      <c r="D70" s="5">
        <f t="shared" si="19"/>
        <v>10</v>
      </c>
      <c r="E70" s="5">
        <f t="shared" si="20"/>
        <v>1822.2961086759146</v>
      </c>
      <c r="F70" s="5">
        <f t="shared" si="21"/>
        <v>182.22961086759148</v>
      </c>
      <c r="G70" s="5">
        <f t="shared" si="15"/>
        <v>9.018512232452677</v>
      </c>
      <c r="H70" s="5">
        <f t="shared" si="16"/>
        <v>2.4744914367966109E-2</v>
      </c>
      <c r="I70" s="5">
        <f t="shared" si="7"/>
        <v>2.4744914367966109E-2</v>
      </c>
      <c r="J70" s="5">
        <f t="shared" si="22"/>
        <v>2.4744914367966109E-2</v>
      </c>
    </row>
    <row r="71" spans="1:10" x14ac:dyDescent="0.3">
      <c r="A71">
        <v>47</v>
      </c>
      <c r="B71" s="5">
        <f t="shared" si="17"/>
        <v>373.47773396763563</v>
      </c>
      <c r="C71" s="5">
        <f t="shared" si="18"/>
        <v>373.47773396763512</v>
      </c>
      <c r="D71" s="5">
        <f t="shared" si="19"/>
        <v>10</v>
      </c>
      <c r="E71" s="5">
        <f t="shared" si="20"/>
        <v>1867.3886698381782</v>
      </c>
      <c r="F71" s="5">
        <f t="shared" si="21"/>
        <v>186.73886698381781</v>
      </c>
      <c r="G71" s="5">
        <f t="shared" si="15"/>
        <v>9.0405837936201525</v>
      </c>
      <c r="H71" s="5">
        <f t="shared" si="16"/>
        <v>2.4206486682827467E-2</v>
      </c>
      <c r="I71" s="5">
        <f t="shared" si="7"/>
        <v>2.4206486682827467E-2</v>
      </c>
      <c r="J71" s="5">
        <f t="shared" si="22"/>
        <v>2.4206486682827467E-2</v>
      </c>
    </row>
    <row r="72" spans="1:10" x14ac:dyDescent="0.3">
      <c r="A72">
        <v>48</v>
      </c>
      <c r="B72" s="5">
        <f t="shared" si="17"/>
        <v>382.51831776125579</v>
      </c>
      <c r="C72" s="5">
        <f t="shared" si="18"/>
        <v>382.51831776125528</v>
      </c>
      <c r="D72" s="5">
        <f t="shared" si="19"/>
        <v>10</v>
      </c>
      <c r="E72" s="5">
        <f t="shared" si="20"/>
        <v>1912.5915888062789</v>
      </c>
      <c r="F72" s="5">
        <f t="shared" si="21"/>
        <v>191.25915888062789</v>
      </c>
      <c r="G72" s="5">
        <f t="shared" si="15"/>
        <v>9.0622330808847007</v>
      </c>
      <c r="H72" s="5">
        <f t="shared" si="16"/>
        <v>2.3690978078965558E-2</v>
      </c>
      <c r="I72" s="5">
        <f t="shared" si="7"/>
        <v>2.3690978078965558E-2</v>
      </c>
      <c r="J72" s="5">
        <f t="shared" si="22"/>
        <v>2.3690978078965558E-2</v>
      </c>
    </row>
    <row r="73" spans="1:10" x14ac:dyDescent="0.3">
      <c r="A73">
        <v>49</v>
      </c>
      <c r="B73" s="5">
        <f t="shared" si="17"/>
        <v>391.5805508421405</v>
      </c>
      <c r="C73" s="5">
        <f t="shared" si="18"/>
        <v>391.58055084213998</v>
      </c>
      <c r="D73" s="5">
        <f t="shared" si="19"/>
        <v>10</v>
      </c>
      <c r="E73" s="5">
        <f t="shared" si="20"/>
        <v>1957.9027542107024</v>
      </c>
      <c r="F73" s="5">
        <f t="shared" si="21"/>
        <v>195.79027542107025</v>
      </c>
      <c r="G73" s="5">
        <f t="shared" si="15"/>
        <v>9.0834768906237002</v>
      </c>
      <c r="H73" s="5">
        <f t="shared" si="16"/>
        <v>2.3196956210129939E-2</v>
      </c>
      <c r="I73" s="5">
        <f t="shared" si="7"/>
        <v>2.3196956210129939E-2</v>
      </c>
      <c r="J73" s="5">
        <f t="shared" si="22"/>
        <v>2.3196956210129939E-2</v>
      </c>
    </row>
    <row r="74" spans="1:10" x14ac:dyDescent="0.3">
      <c r="A74">
        <v>50</v>
      </c>
      <c r="B74" s="5">
        <f t="shared" si="17"/>
        <v>400.66402773276423</v>
      </c>
      <c r="C74" s="5">
        <f t="shared" si="18"/>
        <v>400.66402773276366</v>
      </c>
      <c r="D74" s="5">
        <f t="shared" si="19"/>
        <v>10</v>
      </c>
      <c r="E74" s="5">
        <f t="shared" si="20"/>
        <v>2003.3201386638211</v>
      </c>
      <c r="F74" s="5">
        <f t="shared" si="21"/>
        <v>200.33201386638211</v>
      </c>
      <c r="G74" s="5">
        <f t="shared" si="15"/>
        <v>9.1043310188536424</v>
      </c>
      <c r="H74" s="5">
        <f t="shared" si="16"/>
        <v>2.2723105616374591E-2</v>
      </c>
      <c r="I74" s="5">
        <f t="shared" si="7"/>
        <v>2.2723105616374591E-2</v>
      </c>
      <c r="J74" s="5">
        <f t="shared" si="22"/>
        <v>2.2723105616374591E-2</v>
      </c>
    </row>
    <row r="75" spans="1:10" x14ac:dyDescent="0.3">
      <c r="A75">
        <v>51</v>
      </c>
      <c r="B75" s="5">
        <f t="shared" si="17"/>
        <v>409.76835875161788</v>
      </c>
      <c r="C75" s="5">
        <f t="shared" si="18"/>
        <v>409.76835875161726</v>
      </c>
      <c r="D75" s="5">
        <f t="shared" si="19"/>
        <v>10</v>
      </c>
      <c r="E75" s="5">
        <f t="shared" si="20"/>
        <v>2048.8417937580894</v>
      </c>
      <c r="F75" s="5">
        <f t="shared" si="21"/>
        <v>204.88417937580894</v>
      </c>
      <c r="G75" s="5">
        <f t="shared" si="15"/>
        <v>9.1248103397937967</v>
      </c>
      <c r="H75" s="5">
        <f t="shared" si="16"/>
        <v>2.2268216041846266E-2</v>
      </c>
      <c r="I75" s="5">
        <f t="shared" si="7"/>
        <v>2.2268216041846266E-2</v>
      </c>
      <c r="J75" s="5">
        <f t="shared" si="22"/>
        <v>2.2268216041846266E-2</v>
      </c>
    </row>
    <row r="76" spans="1:10" x14ac:dyDescent="0.3">
      <c r="A76">
        <v>52</v>
      </c>
      <c r="B76" s="5">
        <f t="shared" si="17"/>
        <v>418.89316909141166</v>
      </c>
      <c r="C76" s="5">
        <f t="shared" si="18"/>
        <v>418.8931690914111</v>
      </c>
      <c r="D76" s="5">
        <f t="shared" si="19"/>
        <v>10</v>
      </c>
      <c r="E76" s="5">
        <f t="shared" si="20"/>
        <v>2094.4658454570581</v>
      </c>
      <c r="F76" s="5">
        <f t="shared" si="21"/>
        <v>209.44658454570583</v>
      </c>
      <c r="G76" s="5">
        <f t="shared" si="15"/>
        <v>9.1449288768282528</v>
      </c>
      <c r="H76" s="5">
        <f t="shared" si="16"/>
        <v>2.1831172125971392E-2</v>
      </c>
      <c r="I76" s="5">
        <f t="shared" si="7"/>
        <v>2.1831172125971392E-2</v>
      </c>
      <c r="J76" s="5">
        <f t="shared" si="22"/>
        <v>2.1831172125971392E-2</v>
      </c>
    </row>
    <row r="77" spans="1:10" x14ac:dyDescent="0.3">
      <c r="A77">
        <v>53</v>
      </c>
      <c r="B77" s="5">
        <f t="shared" si="17"/>
        <v>428.03809796823992</v>
      </c>
      <c r="C77" s="5">
        <f t="shared" si="18"/>
        <v>428.03809796823936</v>
      </c>
      <c r="D77" s="5">
        <f t="shared" si="19"/>
        <v>10</v>
      </c>
      <c r="E77" s="5">
        <f t="shared" si="20"/>
        <v>2140.1904898411995</v>
      </c>
      <c r="F77" s="5">
        <f t="shared" si="21"/>
        <v>214.01904898411996</v>
      </c>
      <c r="G77" s="5">
        <f t="shared" si="15"/>
        <v>9.1646998667349617</v>
      </c>
      <c r="H77" s="5">
        <f t="shared" si="16"/>
        <v>2.1410944283316982E-2</v>
      </c>
      <c r="I77" s="5">
        <f t="shared" si="7"/>
        <v>2.1410944283316982E-2</v>
      </c>
      <c r="J77" s="5">
        <f t="shared" si="22"/>
        <v>2.1410944283316982E-2</v>
      </c>
    </row>
    <row r="78" spans="1:10" x14ac:dyDescent="0.3">
      <c r="A78">
        <v>54</v>
      </c>
      <c r="B78" s="5">
        <f t="shared" si="17"/>
        <v>437.20279783497489</v>
      </c>
      <c r="C78" s="5">
        <f t="shared" si="18"/>
        <v>437.20279783497432</v>
      </c>
      <c r="D78" s="5">
        <f t="shared" si="19"/>
        <v>10</v>
      </c>
      <c r="E78" s="5">
        <f t="shared" si="20"/>
        <v>2186.0139891748745</v>
      </c>
      <c r="F78" s="5">
        <f t="shared" si="21"/>
        <v>218.60139891748744</v>
      </c>
      <c r="G78" s="5">
        <f t="shared" si="15"/>
        <v>9.1841358179365358</v>
      </c>
      <c r="H78" s="5">
        <f t="shared" si="16"/>
        <v>2.1006580615257509E-2</v>
      </c>
      <c r="I78" s="5">
        <f t="shared" si="7"/>
        <v>2.1006580615257509E-2</v>
      </c>
      <c r="J78" s="5">
        <f t="shared" si="22"/>
        <v>2.1006580615257509E-2</v>
      </c>
    </row>
    <row r="79" spans="1:10" x14ac:dyDescent="0.3">
      <c r="A79">
        <v>55</v>
      </c>
      <c r="B79" s="5">
        <f t="shared" si="17"/>
        <v>446.38693365291141</v>
      </c>
      <c r="C79" s="5">
        <f t="shared" si="18"/>
        <v>446.38693365291084</v>
      </c>
      <c r="D79" s="5">
        <f t="shared" si="19"/>
        <v>10</v>
      </c>
      <c r="E79" s="5">
        <f t="shared" si="20"/>
        <v>2231.9346682645569</v>
      </c>
      <c r="F79" s="5">
        <f t="shared" si="21"/>
        <v>223.1934668264557</v>
      </c>
      <c r="G79" s="5">
        <f t="shared" si="15"/>
        <v>9.2032485634304244</v>
      </c>
      <c r="H79" s="5">
        <f t="shared" si="16"/>
        <v>2.0617199719798293E-2</v>
      </c>
      <c r="I79" s="5">
        <f t="shared" si="7"/>
        <v>2.0617199719798293E-2</v>
      </c>
      <c r="J79" s="5">
        <f t="shared" si="22"/>
        <v>2.0617199719798293E-2</v>
      </c>
    </row>
    <row r="80" spans="1:10" x14ac:dyDescent="0.3">
      <c r="A80">
        <v>56</v>
      </c>
      <c r="B80" s="5">
        <f t="shared" si="17"/>
        <v>455.59018221634182</v>
      </c>
      <c r="C80" s="5">
        <f t="shared" si="18"/>
        <v>455.5901822163413</v>
      </c>
      <c r="D80" s="5">
        <f t="shared" si="19"/>
        <v>10</v>
      </c>
      <c r="E80" s="5">
        <f t="shared" si="20"/>
        <v>2277.9509110817089</v>
      </c>
      <c r="F80" s="5">
        <f t="shared" si="21"/>
        <v>227.79509110817091</v>
      </c>
      <c r="G80" s="5">
        <f t="shared" si="15"/>
        <v>9.2220493089730873</v>
      </c>
      <c r="H80" s="5">
        <f t="shared" si="16"/>
        <v>2.0241984285328394E-2</v>
      </c>
      <c r="I80" s="5">
        <f t="shared" si="7"/>
        <v>2.0241984285328394E-2</v>
      </c>
      <c r="J80" s="5">
        <f t="shared" si="22"/>
        <v>2.0241984285328394E-2</v>
      </c>
    </row>
    <row r="81" spans="1:10" x14ac:dyDescent="0.3">
      <c r="A81">
        <v>57</v>
      </c>
      <c r="B81" s="5">
        <f t="shared" si="17"/>
        <v>464.81223152531493</v>
      </c>
      <c r="C81" s="5">
        <f t="shared" si="18"/>
        <v>464.81223152531436</v>
      </c>
      <c r="D81" s="5">
        <f t="shared" si="19"/>
        <v>10</v>
      </c>
      <c r="E81" s="5">
        <f t="shared" si="20"/>
        <v>2324.0611576265746</v>
      </c>
      <c r="F81" s="5">
        <f t="shared" si="21"/>
        <v>232.40611576265746</v>
      </c>
      <c r="G81" s="5">
        <f t="shared" si="15"/>
        <v>9.240548677021394</v>
      </c>
      <c r="H81" s="5">
        <f t="shared" si="16"/>
        <v>1.9880175370380997E-2</v>
      </c>
      <c r="I81" s="5">
        <f t="shared" si="7"/>
        <v>1.9880175370380997E-2</v>
      </c>
      <c r="J81" s="5">
        <f t="shared" si="22"/>
        <v>1.9880175370380997E-2</v>
      </c>
    </row>
    <row r="82" spans="1:10" x14ac:dyDescent="0.3">
      <c r="A82">
        <v>58</v>
      </c>
      <c r="B82" s="5">
        <f t="shared" si="17"/>
        <v>474.05278020233629</v>
      </c>
      <c r="C82" s="5">
        <f t="shared" si="18"/>
        <v>474.05278020233573</v>
      </c>
      <c r="D82" s="5">
        <f t="shared" si="19"/>
        <v>10</v>
      </c>
      <c r="E82" s="5">
        <f t="shared" si="20"/>
        <v>2370.2639010116814</v>
      </c>
      <c r="F82" s="5">
        <f t="shared" si="21"/>
        <v>237.02639010116815</v>
      </c>
      <c r="G82" s="5">
        <f t="shared" si="15"/>
        <v>9.258756746873285</v>
      </c>
      <c r="H82" s="5">
        <f t="shared" si="16"/>
        <v>1.9531067285211243E-2</v>
      </c>
      <c r="I82" s="5">
        <f t="shared" si="7"/>
        <v>1.9531067285211243E-2</v>
      </c>
      <c r="J82" s="5">
        <f t="shared" si="22"/>
        <v>1.9531067285211243E-2</v>
      </c>
    </row>
    <row r="83" spans="1:10" x14ac:dyDescent="0.3">
      <c r="A83">
        <v>59</v>
      </c>
      <c r="B83" s="5">
        <f t="shared" si="17"/>
        <v>483.3115369492096</v>
      </c>
      <c r="C83" s="5">
        <f t="shared" si="18"/>
        <v>483.31153694920897</v>
      </c>
      <c r="D83" s="5">
        <f t="shared" si="19"/>
        <v>10</v>
      </c>
      <c r="E83" s="5">
        <f t="shared" si="20"/>
        <v>2416.5576847460479</v>
      </c>
      <c r="F83" s="5">
        <f t="shared" si="21"/>
        <v>241.6557684746048</v>
      </c>
      <c r="G83" s="5">
        <f t="shared" si="15"/>
        <v>9.2766830913967411</v>
      </c>
      <c r="H83" s="5">
        <f t="shared" si="16"/>
        <v>1.9194003002604942E-2</v>
      </c>
      <c r="I83" s="5">
        <f t="shared" si="7"/>
        <v>1.9194003002604942E-2</v>
      </c>
      <c r="J83" s="5">
        <f t="shared" si="22"/>
        <v>1.9194003002604942E-2</v>
      </c>
    </row>
    <row r="84" spans="1:10" x14ac:dyDescent="0.3">
      <c r="A84">
        <v>60</v>
      </c>
      <c r="B84" s="5">
        <f t="shared" si="17"/>
        <v>492.58822004060636</v>
      </c>
      <c r="C84" s="5">
        <f t="shared" si="18"/>
        <v>492.58822004060573</v>
      </c>
      <c r="D84" s="5">
        <f t="shared" si="19"/>
        <v>10</v>
      </c>
      <c r="E84" s="5">
        <f t="shared" si="20"/>
        <v>2462.941100203032</v>
      </c>
      <c r="F84" s="5">
        <f t="shared" si="21"/>
        <v>246.29411002030318</v>
      </c>
      <c r="G84" s="5">
        <f t="shared" si="15"/>
        <v>9.294336810690293</v>
      </c>
      <c r="H84" s="5">
        <f t="shared" si="16"/>
        <v>1.8868370035166733E-2</v>
      </c>
      <c r="I84" s="5">
        <f t="shared" si="7"/>
        <v>1.8868370035166733E-2</v>
      </c>
      <c r="J84" s="5">
        <f t="shared" si="22"/>
        <v>1.8868370035166733E-2</v>
      </c>
    </row>
    <row r="85" spans="1:10" x14ac:dyDescent="0.3">
      <c r="A85">
        <v>61</v>
      </c>
      <c r="B85" s="5">
        <f t="shared" si="17"/>
        <v>501.88255685129667</v>
      </c>
      <c r="C85" s="5">
        <f t="shared" si="18"/>
        <v>501.88255685129604</v>
      </c>
      <c r="D85" s="5">
        <f t="shared" si="19"/>
        <v>10</v>
      </c>
      <c r="E85" s="5">
        <f t="shared" si="20"/>
        <v>2509.4127842564835</v>
      </c>
      <c r="F85" s="5">
        <f t="shared" si="21"/>
        <v>250.94127842564833</v>
      </c>
      <c r="G85" s="5">
        <f t="shared" si="15"/>
        <v>9.3117265629787003</v>
      </c>
      <c r="H85" s="5">
        <f t="shared" si="16"/>
        <v>1.8553596724696846E-2</v>
      </c>
      <c r="I85" s="5">
        <f t="shared" si="7"/>
        <v>1.8553596724696846E-2</v>
      </c>
      <c r="J85" s="5">
        <f t="shared" si="22"/>
        <v>1.8553596724696846E-2</v>
      </c>
    </row>
    <row r="86" spans="1:10" x14ac:dyDescent="0.3">
      <c r="A86">
        <v>62</v>
      </c>
      <c r="B86" s="5">
        <f t="shared" si="17"/>
        <v>511.19428341427539</v>
      </c>
      <c r="C86" s="5">
        <f t="shared" si="18"/>
        <v>511.19428341427471</v>
      </c>
      <c r="D86" s="5">
        <f t="shared" si="19"/>
        <v>10</v>
      </c>
      <c r="E86" s="5">
        <f t="shared" si="20"/>
        <v>2555.9714170713769</v>
      </c>
      <c r="F86" s="5">
        <f t="shared" si="21"/>
        <v>255.59714170713769</v>
      </c>
      <c r="G86" s="5">
        <f t="shared" si="15"/>
        <v>9.3288605930126955</v>
      </c>
      <c r="H86" s="5">
        <f t="shared" si="16"/>
        <v>1.8249148896394295E-2</v>
      </c>
      <c r="I86" s="5">
        <f t="shared" si="7"/>
        <v>1.8249148896394295E-2</v>
      </c>
      <c r="J86" s="5">
        <f t="shared" si="22"/>
        <v>1.8249148896394295E-2</v>
      </c>
    </row>
    <row r="87" spans="1:10" x14ac:dyDescent="0.3">
      <c r="A87">
        <v>63</v>
      </c>
      <c r="B87" s="5">
        <f t="shared" si="17"/>
        <v>520.52314400728812</v>
      </c>
      <c r="C87" s="5">
        <f t="shared" si="18"/>
        <v>520.52314400728744</v>
      </c>
      <c r="D87" s="5">
        <f t="shared" si="19"/>
        <v>10</v>
      </c>
      <c r="E87" s="5">
        <f t="shared" si="20"/>
        <v>2602.6157200364405</v>
      </c>
      <c r="F87" s="5">
        <f t="shared" si="21"/>
        <v>260.26157200364406</v>
      </c>
      <c r="G87" s="5">
        <f t="shared" si="15"/>
        <v>9.3457467582118081</v>
      </c>
      <c r="H87" s="5">
        <f t="shared" si="16"/>
        <v>1.7954526836718231E-2</v>
      </c>
      <c r="I87" s="5">
        <f t="shared" si="7"/>
        <v>1.7954526836718231E-2</v>
      </c>
      <c r="J87" s="5">
        <f t="shared" si="22"/>
        <v>1.7954526836718231E-2</v>
      </c>
    </row>
    <row r="88" spans="1:10" x14ac:dyDescent="0.3">
      <c r="A88">
        <v>64</v>
      </c>
      <c r="B88" s="5">
        <f t="shared" si="17"/>
        <v>529.86889076549994</v>
      </c>
      <c r="C88" s="5">
        <f t="shared" si="18"/>
        <v>529.86889076549926</v>
      </c>
      <c r="D88" s="5">
        <f t="shared" si="19"/>
        <v>10</v>
      </c>
      <c r="E88" s="5">
        <f t="shared" si="20"/>
        <v>2649.3444538274998</v>
      </c>
      <c r="F88" s="5">
        <f t="shared" si="21"/>
        <v>264.93444538274997</v>
      </c>
      <c r="G88" s="5">
        <f t="shared" si="15"/>
        <v>9.362392552762735</v>
      </c>
      <c r="H88" s="5">
        <f t="shared" si="16"/>
        <v>1.7669262558964179E-2</v>
      </c>
      <c r="I88" s="5">
        <f t="shared" si="7"/>
        <v>1.7669262558964179E-2</v>
      </c>
      <c r="J88" s="5">
        <f t="shared" si="22"/>
        <v>1.7669262558964179E-2</v>
      </c>
    </row>
    <row r="89" spans="1:10" x14ac:dyDescent="0.3">
      <c r="A89">
        <v>65</v>
      </c>
      <c r="B89" s="5">
        <f t="shared" si="17"/>
        <v>539.23128331826263</v>
      </c>
      <c r="C89" s="5">
        <f t="shared" si="18"/>
        <v>539.23128331826206</v>
      </c>
      <c r="D89" s="5">
        <f t="shared" si="19"/>
        <v>10</v>
      </c>
      <c r="E89" s="5">
        <f t="shared" si="20"/>
        <v>2696.1564165913132</v>
      </c>
      <c r="F89" s="5">
        <f t="shared" si="21"/>
        <v>269.61564165913131</v>
      </c>
      <c r="G89" s="5">
        <f t="shared" ref="G89:G124" si="23">$B$18*(($B$16*D89)^$B$19)*B89^$B$20</f>
        <v>9.378805129862835</v>
      </c>
      <c r="H89" s="5">
        <f t="shared" ref="H89:H124" si="24">$B$18*(($B$16*D89)^$B$19)*(B89^($B$20-1))</f>
        <v>1.7392917325101342E-2</v>
      </c>
      <c r="I89" s="5">
        <f t="shared" si="7"/>
        <v>1.7392917325101342E-2</v>
      </c>
      <c r="J89" s="5">
        <f t="shared" si="22"/>
        <v>1.7392917325101342E-2</v>
      </c>
    </row>
    <row r="90" spans="1:10" x14ac:dyDescent="0.3">
      <c r="A90">
        <v>66</v>
      </c>
      <c r="B90" s="5">
        <f t="shared" si="17"/>
        <v>548.61008844812545</v>
      </c>
      <c r="C90" s="5">
        <f t="shared" si="18"/>
        <v>548.61008844812488</v>
      </c>
      <c r="D90" s="5">
        <f t="shared" si="19"/>
        <v>10</v>
      </c>
      <c r="E90" s="5">
        <f t="shared" si="20"/>
        <v>2743.0504422406275</v>
      </c>
      <c r="F90" s="5">
        <f t="shared" si="21"/>
        <v>274.30504422406273</v>
      </c>
      <c r="G90" s="5">
        <f t="shared" si="23"/>
        <v>9.3949913222780435</v>
      </c>
      <c r="H90" s="5">
        <f t="shared" si="24"/>
        <v>1.7125079396286748E-2</v>
      </c>
      <c r="I90" s="5">
        <f t="shared" si="7"/>
        <v>1.7125079396286748E-2</v>
      </c>
      <c r="J90" s="5">
        <f t="shared" si="22"/>
        <v>1.7125079396286748E-2</v>
      </c>
    </row>
    <row r="91" spans="1:10" x14ac:dyDescent="0.3">
      <c r="A91">
        <v>67</v>
      </c>
      <c r="B91" s="5">
        <f t="shared" si="17"/>
        <v>558.00507977040354</v>
      </c>
      <c r="C91" s="5">
        <f t="shared" si="18"/>
        <v>558.00507977040286</v>
      </c>
      <c r="D91" s="5">
        <f t="shared" si="19"/>
        <v>10</v>
      </c>
      <c r="E91" s="5">
        <f t="shared" si="20"/>
        <v>2790.0253988520176</v>
      </c>
      <c r="F91" s="5">
        <f t="shared" si="21"/>
        <v>279.00253988520177</v>
      </c>
      <c r="G91" s="5">
        <f t="shared" si="23"/>
        <v>9.4109576613666537</v>
      </c>
      <c r="H91" s="5">
        <f t="shared" si="24"/>
        <v>1.686536198781358E-2</v>
      </c>
      <c r="I91" s="5">
        <f t="shared" ref="I91:I124" si="25">H91+$B$15</f>
        <v>1.686536198781358E-2</v>
      </c>
      <c r="J91" s="5">
        <f t="shared" si="22"/>
        <v>1.686536198781358E-2</v>
      </c>
    </row>
    <row r="92" spans="1:10" x14ac:dyDescent="0.3">
      <c r="A92">
        <v>68</v>
      </c>
      <c r="B92" s="5">
        <f t="shared" si="17"/>
        <v>567.41603743177018</v>
      </c>
      <c r="C92" s="5">
        <f t="shared" si="18"/>
        <v>567.4160374317695</v>
      </c>
      <c r="D92" s="5">
        <f t="shared" si="19"/>
        <v>10</v>
      </c>
      <c r="E92" s="5">
        <f t="shared" si="20"/>
        <v>2837.080187158851</v>
      </c>
      <c r="F92" s="5">
        <f t="shared" si="21"/>
        <v>283.70801871588509</v>
      </c>
      <c r="G92" s="5">
        <f t="shared" si="23"/>
        <v>9.4267103947048287</v>
      </c>
      <c r="H92" s="5">
        <f t="shared" si="24"/>
        <v>1.6613401407143614E-2</v>
      </c>
      <c r="I92" s="5">
        <f t="shared" si="25"/>
        <v>1.6613401407143614E-2</v>
      </c>
      <c r="J92" s="5">
        <f t="shared" si="22"/>
        <v>1.6613401407143614E-2</v>
      </c>
    </row>
    <row r="93" spans="1:10" x14ac:dyDescent="0.3">
      <c r="A93">
        <v>69</v>
      </c>
      <c r="B93" s="5">
        <f t="shared" si="17"/>
        <v>576.84274782647503</v>
      </c>
      <c r="C93" s="5">
        <f t="shared" si="18"/>
        <v>576.84274782647424</v>
      </c>
      <c r="D93" s="5">
        <f t="shared" si="19"/>
        <v>10</v>
      </c>
      <c r="E93" s="5">
        <f t="shared" si="20"/>
        <v>2884.2137391323749</v>
      </c>
      <c r="F93" s="5">
        <f t="shared" si="21"/>
        <v>288.42137391323752</v>
      </c>
      <c r="G93" s="5">
        <f t="shared" si="23"/>
        <v>9.4422555024357475</v>
      </c>
      <c r="H93" s="5">
        <f t="shared" si="24"/>
        <v>1.6368855356184792E-2</v>
      </c>
      <c r="I93" s="5">
        <f t="shared" si="25"/>
        <v>1.6368855356184792E-2</v>
      </c>
      <c r="J93" s="5">
        <f t="shared" si="22"/>
        <v>1.6368855356184792E-2</v>
      </c>
    </row>
    <row r="94" spans="1:10" x14ac:dyDescent="0.3">
      <c r="A94">
        <v>70</v>
      </c>
      <c r="B94" s="5">
        <f t="shared" si="17"/>
        <v>586.28500332891076</v>
      </c>
      <c r="C94" s="5">
        <f t="shared" si="18"/>
        <v>586.28500332890997</v>
      </c>
      <c r="D94" s="5">
        <f t="shared" si="19"/>
        <v>10</v>
      </c>
      <c r="E94" s="5">
        <f t="shared" si="20"/>
        <v>2931.4250166445536</v>
      </c>
      <c r="F94" s="5">
        <f t="shared" si="21"/>
        <v>293.14250166445538</v>
      </c>
      <c r="G94" s="5">
        <f t="shared" si="23"/>
        <v>9.4575987124521284</v>
      </c>
      <c r="H94" s="5">
        <f t="shared" si="24"/>
        <v>1.6131401381157841E-2</v>
      </c>
      <c r="I94" s="5">
        <f t="shared" si="25"/>
        <v>1.6131401381157841E-2</v>
      </c>
      <c r="J94" s="5">
        <f t="shared" si="22"/>
        <v>1.6131401381157841E-2</v>
      </c>
    </row>
    <row r="95" spans="1:10" x14ac:dyDescent="0.3">
      <c r="A95">
        <v>71</v>
      </c>
      <c r="B95" s="5">
        <f t="shared" si="17"/>
        <v>595.74260204136294</v>
      </c>
      <c r="C95" s="5">
        <f t="shared" si="18"/>
        <v>595.74260204136203</v>
      </c>
      <c r="D95" s="5">
        <f t="shared" si="19"/>
        <v>10</v>
      </c>
      <c r="E95" s="5">
        <f t="shared" si="20"/>
        <v>2978.7130102068149</v>
      </c>
      <c r="F95" s="5">
        <f t="shared" si="21"/>
        <v>297.87130102068147</v>
      </c>
      <c r="G95" s="5">
        <f t="shared" si="23"/>
        <v>9.4727455145108923</v>
      </c>
      <c r="H95" s="5">
        <f t="shared" si="24"/>
        <v>1.5900735455298513E-2</v>
      </c>
      <c r="I95" s="5">
        <f t="shared" si="25"/>
        <v>1.5900735455298513E-2</v>
      </c>
      <c r="J95" s="5">
        <f t="shared" si="22"/>
        <v>1.5900735455298513E-2</v>
      </c>
    </row>
    <row r="96" spans="1:10" x14ac:dyDescent="0.3">
      <c r="A96">
        <v>72</v>
      </c>
      <c r="B96" s="5">
        <f t="shared" si="17"/>
        <v>605.21534755587379</v>
      </c>
      <c r="C96" s="5">
        <f t="shared" si="18"/>
        <v>605.21534755587288</v>
      </c>
      <c r="D96" s="5">
        <f t="shared" si="19"/>
        <v>10</v>
      </c>
      <c r="E96" s="5">
        <f t="shared" si="20"/>
        <v>3026.0767377793691</v>
      </c>
      <c r="F96" s="5">
        <f t="shared" si="21"/>
        <v>302.6076737779369</v>
      </c>
      <c r="G96" s="5">
        <f t="shared" si="23"/>
        <v>9.4877011733692065</v>
      </c>
      <c r="H96" s="5">
        <f t="shared" si="24"/>
        <v>1.567657068130332E-2</v>
      </c>
      <c r="I96" s="5">
        <f t="shared" si="25"/>
        <v>1.567657068130332E-2</v>
      </c>
      <c r="J96" s="5">
        <f t="shared" si="22"/>
        <v>1.567657068130332E-2</v>
      </c>
    </row>
    <row r="97" spans="1:10" x14ac:dyDescent="0.3">
      <c r="A97">
        <v>73</v>
      </c>
      <c r="B97" s="5">
        <f t="shared" si="17"/>
        <v>614.70304872924305</v>
      </c>
      <c r="C97" s="5">
        <f t="shared" si="18"/>
        <v>614.70304872924214</v>
      </c>
      <c r="D97" s="5">
        <f t="shared" si="19"/>
        <v>10</v>
      </c>
      <c r="E97" s="5">
        <f t="shared" si="20"/>
        <v>3073.5152436462154</v>
      </c>
      <c r="F97" s="5">
        <f t="shared" si="21"/>
        <v>307.35152436462153</v>
      </c>
      <c r="G97" s="5">
        <f t="shared" si="23"/>
        <v>9.5024707410224334</v>
      </c>
      <c r="H97" s="5">
        <f t="shared" si="24"/>
        <v>1.5458636101881402E-2</v>
      </c>
      <c r="I97" s="5">
        <f t="shared" si="25"/>
        <v>1.5458636101881402E-2</v>
      </c>
      <c r="J97" s="5">
        <f t="shared" si="22"/>
        <v>1.5458636101881402E-2</v>
      </c>
    </row>
    <row r="98" spans="1:10" x14ac:dyDescent="0.3">
      <c r="A98">
        <v>74</v>
      </c>
      <c r="B98" s="5">
        <f t="shared" si="17"/>
        <v>624.20551947026547</v>
      </c>
      <c r="C98" s="5">
        <f t="shared" si="18"/>
        <v>624.20551947026456</v>
      </c>
      <c r="D98" s="5">
        <f t="shared" si="19"/>
        <v>10</v>
      </c>
      <c r="E98" s="5">
        <f t="shared" si="20"/>
        <v>3121.0275973513271</v>
      </c>
      <c r="F98" s="5">
        <f t="shared" si="21"/>
        <v>312.10275973513274</v>
      </c>
      <c r="G98" s="5">
        <f t="shared" si="23"/>
        <v>9.5170590681169536</v>
      </c>
      <c r="H98" s="5">
        <f t="shared" si="24"/>
        <v>1.5246675608049161E-2</v>
      </c>
      <c r="I98" s="5">
        <f t="shared" si="25"/>
        <v>1.5246675608049161E-2</v>
      </c>
      <c r="J98" s="5">
        <f t="shared" si="22"/>
        <v>1.5246675608049161E-2</v>
      </c>
    </row>
    <row r="99" spans="1:10" x14ac:dyDescent="0.3">
      <c r="A99">
        <v>75</v>
      </c>
      <c r="B99" s="5">
        <f t="shared" si="17"/>
        <v>633.72257853838244</v>
      </c>
      <c r="C99" s="5">
        <f t="shared" si="18"/>
        <v>633.72257853838153</v>
      </c>
      <c r="D99" s="5">
        <f t="shared" si="19"/>
        <v>10</v>
      </c>
      <c r="E99" s="5">
        <f t="shared" si="20"/>
        <v>3168.6128926919123</v>
      </c>
      <c r="F99" s="5">
        <f t="shared" si="21"/>
        <v>316.86128926919122</v>
      </c>
      <c r="G99" s="5">
        <f t="shared" si="23"/>
        <v>9.5314708146039333</v>
      </c>
      <c r="H99" s="5">
        <f t="shared" si="24"/>
        <v>1.5040446935924727E-2</v>
      </c>
      <c r="I99" s="5">
        <f t="shared" si="25"/>
        <v>1.5040446935924727E-2</v>
      </c>
      <c r="J99" s="5">
        <f t="shared" si="22"/>
        <v>1.5040446935924727E-2</v>
      </c>
    </row>
    <row r="100" spans="1:10" x14ac:dyDescent="0.3">
      <c r="A100">
        <v>76</v>
      </c>
      <c r="B100" s="5">
        <f t="shared" si="17"/>
        <v>643.25404935298639</v>
      </c>
      <c r="C100" s="5">
        <f t="shared" si="18"/>
        <v>643.25404935298536</v>
      </c>
      <c r="D100" s="5">
        <f t="shared" si="19"/>
        <v>10</v>
      </c>
      <c r="E100" s="5">
        <f t="shared" si="20"/>
        <v>3216.2702467649319</v>
      </c>
      <c r="F100" s="5">
        <f t="shared" si="21"/>
        <v>321.62702467649319</v>
      </c>
      <c r="G100" s="5">
        <f t="shared" si="23"/>
        <v>9.5457104596940372</v>
      </c>
      <c r="H100" s="5">
        <f t="shared" si="24"/>
        <v>1.4839720743764519E-2</v>
      </c>
      <c r="I100" s="5">
        <f t="shared" si="25"/>
        <v>1.4839720743764519E-2</v>
      </c>
      <c r="J100" s="5">
        <f t="shared" si="22"/>
        <v>1.4839720743764519E-2</v>
      </c>
    </row>
    <row r="101" spans="1:10" x14ac:dyDescent="0.3">
      <c r="A101">
        <v>77</v>
      </c>
      <c r="B101" s="5">
        <f t="shared" si="17"/>
        <v>652.79975981268046</v>
      </c>
      <c r="C101" s="5">
        <f t="shared" si="18"/>
        <v>652.79975981267933</v>
      </c>
      <c r="D101" s="5">
        <f t="shared" si="19"/>
        <v>10</v>
      </c>
      <c r="E101" s="5">
        <f t="shared" si="20"/>
        <v>3263.9987990634022</v>
      </c>
      <c r="F101" s="5">
        <f t="shared" si="21"/>
        <v>326.39987990634023</v>
      </c>
      <c r="G101" s="5">
        <f t="shared" si="23"/>
        <v>9.5597823111675968</v>
      </c>
      <c r="H101" s="5">
        <f t="shared" si="24"/>
        <v>1.4644279761853399E-2</v>
      </c>
      <c r="I101" s="5">
        <f t="shared" si="25"/>
        <v>1.4644279761853399E-2</v>
      </c>
      <c r="J101" s="5">
        <f t="shared" si="22"/>
        <v>1.4644279761853399E-2</v>
      </c>
    </row>
    <row r="102" spans="1:10" x14ac:dyDescent="0.3">
      <c r="A102">
        <v>78</v>
      </c>
      <c r="B102" s="5">
        <f t="shared" si="17"/>
        <v>662.35954212384809</v>
      </c>
      <c r="C102" s="5">
        <f t="shared" si="18"/>
        <v>662.35954212384684</v>
      </c>
      <c r="D102" s="5">
        <f t="shared" si="19"/>
        <v>10</v>
      </c>
      <c r="E102" s="5">
        <f t="shared" si="20"/>
        <v>3311.7977106192402</v>
      </c>
      <c r="F102" s="5">
        <f t="shared" si="21"/>
        <v>331.17977106192404</v>
      </c>
      <c r="G102" s="5">
        <f t="shared" si="23"/>
        <v>9.5736905140898347</v>
      </c>
      <c r="H102" s="5">
        <f t="shared" si="24"/>
        <v>1.4453918008627008E-2</v>
      </c>
      <c r="I102" s="5">
        <f t="shared" si="25"/>
        <v>1.4453918008627008E-2</v>
      </c>
      <c r="J102" s="5">
        <f t="shared" si="22"/>
        <v>1.4453918008627008E-2</v>
      </c>
    </row>
    <row r="103" spans="1:10" x14ac:dyDescent="0.3">
      <c r="A103">
        <v>79</v>
      </c>
      <c r="B103" s="5">
        <f t="shared" si="17"/>
        <v>671.93323263793798</v>
      </c>
      <c r="C103" s="5">
        <f t="shared" si="18"/>
        <v>671.93323263793661</v>
      </c>
      <c r="D103" s="5">
        <f t="shared" si="19"/>
        <v>10</v>
      </c>
      <c r="E103" s="5">
        <f t="shared" si="20"/>
        <v>3359.66616318969</v>
      </c>
      <c r="F103" s="5">
        <f t="shared" si="21"/>
        <v>335.96661631896899</v>
      </c>
      <c r="G103" s="5">
        <f t="shared" si="23"/>
        <v>9.5874390589763614</v>
      </c>
      <c r="H103" s="5">
        <f t="shared" si="24"/>
        <v>1.4268440067083899E-2</v>
      </c>
      <c r="I103" s="5">
        <f t="shared" si="25"/>
        <v>1.4268440067083899E-2</v>
      </c>
      <c r="J103" s="5">
        <f t="shared" si="22"/>
        <v>1.4268440067083899E-2</v>
      </c>
    </row>
    <row r="104" spans="1:10" x14ac:dyDescent="0.3">
      <c r="A104">
        <v>80</v>
      </c>
      <c r="B104" s="5">
        <f t="shared" si="17"/>
        <v>681.52067169691429</v>
      </c>
      <c r="C104" s="5">
        <f t="shared" si="18"/>
        <v>681.52067169691293</v>
      </c>
      <c r="D104" s="5">
        <f t="shared" si="19"/>
        <v>10</v>
      </c>
      <c r="E104" s="5">
        <f t="shared" si="20"/>
        <v>3407.6033584845713</v>
      </c>
      <c r="F104" s="5">
        <f t="shared" si="21"/>
        <v>340.76033584845715</v>
      </c>
      <c r="G104" s="5">
        <f t="shared" si="23"/>
        <v>9.6010317894501505</v>
      </c>
      <c r="H104" s="5">
        <f t="shared" si="24"/>
        <v>1.4087660416146428E-2</v>
      </c>
      <c r="I104" s="5">
        <f t="shared" si="25"/>
        <v>1.4087660416146428E-2</v>
      </c>
      <c r="J104" s="5">
        <f t="shared" si="22"/>
        <v>1.4087660416146428E-2</v>
      </c>
    </row>
    <row r="105" spans="1:10" x14ac:dyDescent="0.3">
      <c r="A105">
        <v>81</v>
      </c>
      <c r="B105" s="5">
        <f t="shared" si="17"/>
        <v>691.12170348636448</v>
      </c>
      <c r="C105" s="5">
        <f t="shared" si="18"/>
        <v>691.121703486363</v>
      </c>
      <c r="D105" s="5">
        <f t="shared" si="19"/>
        <v>10</v>
      </c>
      <c r="E105" s="5">
        <f t="shared" si="20"/>
        <v>3455.6085174318223</v>
      </c>
      <c r="F105" s="5">
        <f t="shared" si="21"/>
        <v>345.56085174318224</v>
      </c>
      <c r="G105" s="5">
        <f t="shared" si="23"/>
        <v>9.614472409427675</v>
      </c>
      <c r="H105" s="5">
        <f t="shared" si="24"/>
        <v>1.3911402812163836E-2</v>
      </c>
      <c r="I105" s="5">
        <f t="shared" si="25"/>
        <v>1.3911402812163836E-2</v>
      </c>
      <c r="J105" s="5">
        <f t="shared" si="22"/>
        <v>1.3911402812163836E-2</v>
      </c>
    </row>
    <row r="106" spans="1:10" x14ac:dyDescent="0.3">
      <c r="A106">
        <v>82</v>
      </c>
      <c r="B106" s="5">
        <f t="shared" si="17"/>
        <v>700.73617589579214</v>
      </c>
      <c r="C106" s="5">
        <f t="shared" si="18"/>
        <v>700.73617589579067</v>
      </c>
      <c r="D106" s="5">
        <f t="shared" si="19"/>
        <v>10</v>
      </c>
      <c r="E106" s="5">
        <f t="shared" si="20"/>
        <v>3503.6808794789608</v>
      </c>
      <c r="F106" s="5">
        <f t="shared" si="21"/>
        <v>350.36808794789607</v>
      </c>
      <c r="G106" s="5">
        <f t="shared" si="23"/>
        <v>9.6277644898686443</v>
      </c>
      <c r="H106" s="5">
        <f t="shared" si="24"/>
        <v>1.3739499716224741E-2</v>
      </c>
      <c r="I106" s="5">
        <f t="shared" si="25"/>
        <v>1.3739499716224741E-2</v>
      </c>
      <c r="J106" s="5">
        <f t="shared" si="22"/>
        <v>1.3739499716224741E-2</v>
      </c>
    </row>
    <row r="107" spans="1:10" x14ac:dyDescent="0.3">
      <c r="A107">
        <v>83</v>
      </c>
      <c r="B107" s="5">
        <f t="shared" si="17"/>
        <v>710.36394038566084</v>
      </c>
      <c r="C107" s="5">
        <f t="shared" si="18"/>
        <v>710.36394038565936</v>
      </c>
      <c r="D107" s="5">
        <f t="shared" si="19"/>
        <v>10</v>
      </c>
      <c r="E107" s="5">
        <f t="shared" si="20"/>
        <v>3551.8197019283043</v>
      </c>
      <c r="F107" s="5">
        <f t="shared" si="21"/>
        <v>355.18197019283042</v>
      </c>
      <c r="G107" s="5">
        <f t="shared" si="23"/>
        <v>9.6409114751208449</v>
      </c>
      <c r="H107" s="5">
        <f t="shared" si="24"/>
        <v>1.3571791763369544E-2</v>
      </c>
      <c r="I107" s="5">
        <f t="shared" si="25"/>
        <v>1.3571791763369544E-2</v>
      </c>
      <c r="J107" s="5">
        <f t="shared" si="22"/>
        <v>1.3571791763369544E-2</v>
      </c>
    </row>
    <row r="108" spans="1:10" x14ac:dyDescent="0.3">
      <c r="A108">
        <v>84</v>
      </c>
      <c r="B108" s="5">
        <f t="shared" si="17"/>
        <v>720.00485186078163</v>
      </c>
      <c r="C108" s="5">
        <f t="shared" si="18"/>
        <v>720.00485186078015</v>
      </c>
      <c r="D108" s="5">
        <f t="shared" si="19"/>
        <v>10</v>
      </c>
      <c r="E108" s="5">
        <f t="shared" si="20"/>
        <v>3600.0242593039084</v>
      </c>
      <c r="F108" s="5">
        <f t="shared" si="21"/>
        <v>360.00242593039081</v>
      </c>
      <c r="G108" s="5">
        <f t="shared" si="23"/>
        <v>9.6539166888890193</v>
      </c>
      <c r="H108" s="5">
        <f t="shared" si="24"/>
        <v>1.3408127270169668E-2</v>
      </c>
      <c r="I108" s="5">
        <f t="shared" si="25"/>
        <v>1.3408127270169668E-2</v>
      </c>
      <c r="J108" s="5">
        <f t="shared" si="22"/>
        <v>1.3408127270169668E-2</v>
      </c>
    </row>
    <row r="109" spans="1:10" x14ac:dyDescent="0.3">
      <c r="A109">
        <v>85</v>
      </c>
      <c r="B109" s="5">
        <f t="shared" si="17"/>
        <v>729.65876854967064</v>
      </c>
      <c r="C109" s="5">
        <f t="shared" si="18"/>
        <v>729.65876854966905</v>
      </c>
      <c r="D109" s="5">
        <f t="shared" si="19"/>
        <v>10</v>
      </c>
      <c r="E109" s="5">
        <f t="shared" si="20"/>
        <v>3648.2938427483532</v>
      </c>
      <c r="F109" s="5">
        <f t="shared" si="21"/>
        <v>364.82938427483532</v>
      </c>
      <c r="G109" s="5">
        <f t="shared" si="23"/>
        <v>9.6667833398542626</v>
      </c>
      <c r="H109" s="5">
        <f t="shared" si="24"/>
        <v>1.3248361777476826E-2</v>
      </c>
      <c r="I109" s="5">
        <f t="shared" si="25"/>
        <v>1.3248361777476826E-2</v>
      </c>
      <c r="J109" s="5">
        <f t="shared" si="22"/>
        <v>1.3248361777476826E-2</v>
      </c>
    </row>
    <row r="110" spans="1:10" x14ac:dyDescent="0.3">
      <c r="A110">
        <v>86</v>
      </c>
      <c r="B110" s="5">
        <f t="shared" si="17"/>
        <v>739.32555188952495</v>
      </c>
      <c r="C110" s="5">
        <f t="shared" si="18"/>
        <v>739.32555188952324</v>
      </c>
      <c r="D110" s="5">
        <f t="shared" si="19"/>
        <v>10</v>
      </c>
      <c r="E110" s="5">
        <f t="shared" si="20"/>
        <v>3696.6277594476246</v>
      </c>
      <c r="F110" s="5">
        <f t="shared" si="21"/>
        <v>369.66277594476247</v>
      </c>
      <c r="G110" s="5">
        <f t="shared" si="23"/>
        <v>9.6795145269683083</v>
      </c>
      <c r="H110" s="5">
        <f t="shared" si="24"/>
        <v>1.3092357625446556E-2</v>
      </c>
      <c r="I110" s="5">
        <f t="shared" si="25"/>
        <v>1.3092357625446556E-2</v>
      </c>
      <c r="J110" s="5">
        <f t="shared" si="22"/>
        <v>1.3092357625446556E-2</v>
      </c>
    </row>
    <row r="111" spans="1:10" x14ac:dyDescent="0.3">
      <c r="A111">
        <v>87</v>
      </c>
      <c r="B111" s="5">
        <f t="shared" si="17"/>
        <v>749.00506641649326</v>
      </c>
      <c r="C111" s="5">
        <f t="shared" si="18"/>
        <v>749.00506641649145</v>
      </c>
      <c r="D111" s="5">
        <f t="shared" si="19"/>
        <v>10</v>
      </c>
      <c r="E111" s="5">
        <f t="shared" si="20"/>
        <v>3745.0253320824663</v>
      </c>
      <c r="F111" s="5">
        <f t="shared" si="21"/>
        <v>374.50253320824663</v>
      </c>
      <c r="G111" s="5">
        <f t="shared" si="23"/>
        <v>9.6921132444450855</v>
      </c>
      <c r="H111" s="5">
        <f t="shared" si="24"/>
        <v>1.2939983558209561E-2</v>
      </c>
      <c r="I111" s="5">
        <f t="shared" si="25"/>
        <v>1.2939983558209561E-2</v>
      </c>
      <c r="J111" s="5">
        <f t="shared" si="22"/>
        <v>1.2939983558209561E-2</v>
      </c>
    </row>
    <row r="112" spans="1:10" x14ac:dyDescent="0.3">
      <c r="A112">
        <v>88</v>
      </c>
      <c r="B112" s="5">
        <f t="shared" si="17"/>
        <v>758.69717966093833</v>
      </c>
      <c r="C112" s="5">
        <f t="shared" si="18"/>
        <v>758.69717966093651</v>
      </c>
      <c r="D112" s="5">
        <f t="shared" si="19"/>
        <v>10</v>
      </c>
      <c r="E112" s="5">
        <f t="shared" si="20"/>
        <v>3793.4858983046915</v>
      </c>
      <c r="F112" s="5">
        <f t="shared" si="21"/>
        <v>379.34858983046917</v>
      </c>
      <c r="G112" s="5">
        <f t="shared" si="23"/>
        <v>9.7045823864701664</v>
      </c>
      <c r="H112" s="5">
        <f t="shared" si="24"/>
        <v>1.2791114355805489E-2</v>
      </c>
      <c r="I112" s="5">
        <f t="shared" si="25"/>
        <v>1.2791114355805489E-2</v>
      </c>
      <c r="J112" s="5">
        <f t="shared" si="22"/>
        <v>1.2791114355805489E-2</v>
      </c>
    </row>
    <row r="113" spans="1:10" x14ac:dyDescent="0.3">
      <c r="A113">
        <v>89</v>
      </c>
      <c r="B113" s="5">
        <f t="shared" si="17"/>
        <v>768.40176204740851</v>
      </c>
      <c r="C113" s="5">
        <f t="shared" si="18"/>
        <v>768.40176204740669</v>
      </c>
      <c r="D113" s="5">
        <f t="shared" si="19"/>
        <v>10</v>
      </c>
      <c r="E113" s="5">
        <f t="shared" si="20"/>
        <v>3842.0088102370428</v>
      </c>
      <c r="F113" s="5">
        <f t="shared" si="21"/>
        <v>384.20088102370426</v>
      </c>
      <c r="G113" s="5">
        <f t="shared" si="23"/>
        <v>9.7169247516470563</v>
      </c>
      <c r="H113" s="5">
        <f t="shared" si="24"/>
        <v>1.2645630491211117E-2</v>
      </c>
      <c r="I113" s="5">
        <f t="shared" si="25"/>
        <v>1.2645630491211117E-2</v>
      </c>
      <c r="J113" s="5">
        <f t="shared" si="22"/>
        <v>1.2645630491211117E-2</v>
      </c>
    </row>
    <row r="114" spans="1:10" x14ac:dyDescent="0.3">
      <c r="A114">
        <v>90</v>
      </c>
      <c r="B114" s="5">
        <f t="shared" si="17"/>
        <v>778.11868679905558</v>
      </c>
      <c r="C114" s="5">
        <f t="shared" si="18"/>
        <v>778.11868679905365</v>
      </c>
      <c r="D114" s="5">
        <f t="shared" si="19"/>
        <v>10</v>
      </c>
      <c r="E114" s="5">
        <f t="shared" si="20"/>
        <v>3890.5934339952778</v>
      </c>
      <c r="F114" s="5">
        <f t="shared" si="21"/>
        <v>389.05934339952779</v>
      </c>
      <c r="G114" s="5">
        <f t="shared" si="23"/>
        <v>9.7291430471978959</v>
      </c>
      <c r="H114" s="5">
        <f t="shared" si="24"/>
        <v>1.2503417810489349E-2</v>
      </c>
      <c r="I114" s="5">
        <f t="shared" si="25"/>
        <v>1.2503417810489349E-2</v>
      </c>
      <c r="J114" s="5">
        <f t="shared" si="22"/>
        <v>1.2503417810489349E-2</v>
      </c>
    </row>
    <row r="115" spans="1:10" x14ac:dyDescent="0.3">
      <c r="A115">
        <v>91</v>
      </c>
      <c r="B115" s="5">
        <f t="shared" si="17"/>
        <v>787.84782984625349</v>
      </c>
      <c r="C115" s="5">
        <f t="shared" si="18"/>
        <v>787.84782984625144</v>
      </c>
      <c r="D115" s="5">
        <f t="shared" si="19"/>
        <v>10</v>
      </c>
      <c r="E115" s="5">
        <f t="shared" si="20"/>
        <v>3939.2391492312672</v>
      </c>
      <c r="F115" s="5">
        <f t="shared" si="21"/>
        <v>393.92391492312674</v>
      </c>
      <c r="G115" s="5">
        <f t="shared" si="23"/>
        <v>9.7412398929346526</v>
      </c>
      <c r="H115" s="5">
        <f t="shared" si="24"/>
        <v>1.2364367234260999E-2</v>
      </c>
      <c r="I115" s="5">
        <f t="shared" si="25"/>
        <v>1.2364367234260999E-2</v>
      </c>
      <c r="J115" s="5">
        <f t="shared" si="22"/>
        <v>1.2364367234260999E-2</v>
      </c>
    </row>
    <row r="116" spans="1:10" x14ac:dyDescent="0.3">
      <c r="A116">
        <v>92</v>
      </c>
      <c r="B116" s="5">
        <f t="shared" si="17"/>
        <v>797.58906973918818</v>
      </c>
      <c r="C116" s="5">
        <f t="shared" si="18"/>
        <v>797.58906973918613</v>
      </c>
      <c r="D116" s="5">
        <f t="shared" si="19"/>
        <v>10</v>
      </c>
      <c r="E116" s="5">
        <f t="shared" si="20"/>
        <v>3987.945348695941</v>
      </c>
      <c r="F116" s="5">
        <f t="shared" si="21"/>
        <v>398.79453486959409</v>
      </c>
      <c r="G116" s="5">
        <f t="shared" si="23"/>
        <v>9.7532178250158221</v>
      </c>
      <c r="H116" s="5">
        <f t="shared" si="24"/>
        <v>1.22283744788593E-2</v>
      </c>
      <c r="I116" s="5">
        <f t="shared" si="25"/>
        <v>1.22283744788593E-2</v>
      </c>
      <c r="J116" s="5">
        <f t="shared" si="22"/>
        <v>1.22283744788593E-2</v>
      </c>
    </row>
    <row r="117" spans="1:10" x14ac:dyDescent="0.3">
      <c r="A117">
        <v>93</v>
      </c>
      <c r="B117" s="5">
        <f t="shared" si="17"/>
        <v>807.34228756420396</v>
      </c>
      <c r="C117" s="5">
        <f t="shared" si="18"/>
        <v>807.34228756420202</v>
      </c>
      <c r="D117" s="5">
        <f t="shared" si="19"/>
        <v>10</v>
      </c>
      <c r="E117" s="5">
        <f t="shared" si="20"/>
        <v>4036.7114378210199</v>
      </c>
      <c r="F117" s="5">
        <f t="shared" si="21"/>
        <v>403.67114378210198</v>
      </c>
      <c r="G117" s="5">
        <f t="shared" si="23"/>
        <v>9.7650792995023643</v>
      </c>
      <c r="H117" s="5">
        <f t="shared" si="24"/>
        <v>1.2095339795669739E-2</v>
      </c>
      <c r="I117" s="5">
        <f t="shared" si="25"/>
        <v>1.2095339795669739E-2</v>
      </c>
      <c r="J117" s="5">
        <f t="shared" si="22"/>
        <v>1.2095339795669739E-2</v>
      </c>
    </row>
    <row r="118" spans="1:10" x14ac:dyDescent="0.3">
      <c r="A118">
        <v>94</v>
      </c>
      <c r="B118" s="5">
        <f t="shared" si="17"/>
        <v>817.10736686370637</v>
      </c>
      <c r="C118" s="5">
        <f t="shared" si="18"/>
        <v>817.10736686370444</v>
      </c>
      <c r="D118" s="5">
        <f t="shared" si="19"/>
        <v>10</v>
      </c>
      <c r="E118" s="5">
        <f t="shared" si="20"/>
        <v>4085.5368343185319</v>
      </c>
      <c r="F118" s="5">
        <f t="shared" si="21"/>
        <v>408.55368343185319</v>
      </c>
      <c r="G118" s="5">
        <f t="shared" si="23"/>
        <v>9.7768266957257168</v>
      </c>
      <c r="H118" s="5">
        <f t="shared" si="24"/>
        <v>1.1965167727286553E-2</v>
      </c>
      <c r="I118" s="5">
        <f t="shared" si="25"/>
        <v>1.1965167727286553E-2</v>
      </c>
      <c r="J118" s="5">
        <f t="shared" si="22"/>
        <v>1.1965167727286553E-2</v>
      </c>
    </row>
    <row r="119" spans="1:10" x14ac:dyDescent="0.3">
      <c r="A119">
        <v>95</v>
      </c>
      <c r="B119" s="5">
        <f t="shared" si="17"/>
        <v>826.88419355943211</v>
      </c>
      <c r="C119" s="5">
        <f t="shared" si="18"/>
        <v>826.88419355943006</v>
      </c>
      <c r="D119" s="5">
        <f t="shared" si="19"/>
        <v>10</v>
      </c>
      <c r="E119" s="5">
        <f t="shared" si="20"/>
        <v>4134.4209677971603</v>
      </c>
      <c r="F119" s="5">
        <f t="shared" si="21"/>
        <v>413.44209677971605</v>
      </c>
      <c r="G119" s="5">
        <f t="shared" si="23"/>
        <v>9.7884623194796703</v>
      </c>
      <c r="H119" s="5">
        <f t="shared" si="24"/>
        <v>1.1837766879233649E-2</v>
      </c>
      <c r="I119" s="5">
        <f t="shared" si="25"/>
        <v>1.1837766879233649E-2</v>
      </c>
      <c r="J119" s="5">
        <f t="shared" si="22"/>
        <v>1.1837766879233649E-2</v>
      </c>
    </row>
    <row r="120" spans="1:10" x14ac:dyDescent="0.3">
      <c r="A120">
        <v>96</v>
      </c>
      <c r="B120" s="5">
        <f t="shared" si="17"/>
        <v>836.67265587891177</v>
      </c>
      <c r="C120" s="5">
        <f t="shared" si="18"/>
        <v>836.67265587890961</v>
      </c>
      <c r="D120" s="5">
        <f t="shared" si="19"/>
        <v>10</v>
      </c>
      <c r="E120" s="5">
        <f t="shared" si="20"/>
        <v>4183.363279394559</v>
      </c>
      <c r="F120" s="5">
        <f t="shared" si="21"/>
        <v>418.33632793945588</v>
      </c>
      <c r="G120" s="5">
        <f t="shared" si="23"/>
        <v>9.7999884060471327</v>
      </c>
      <c r="H120" s="5">
        <f t="shared" si="24"/>
        <v>1.1713049706103264E-2</v>
      </c>
      <c r="I120" s="5">
        <f t="shared" si="25"/>
        <v>1.1713049706103264E-2</v>
      </c>
      <c r="J120" s="5">
        <f t="shared" si="22"/>
        <v>1.1713049706103264E-2</v>
      </c>
    </row>
    <row r="121" spans="1:10" x14ac:dyDescent="0.3">
      <c r="A121">
        <v>97</v>
      </c>
      <c r="B121" s="5">
        <f t="shared" si="17"/>
        <v>846.47264428495885</v>
      </c>
      <c r="C121" s="5">
        <f t="shared" si="18"/>
        <v>846.4726442849568</v>
      </c>
      <c r="D121" s="5">
        <f t="shared" si="19"/>
        <v>10</v>
      </c>
      <c r="E121" s="5">
        <f t="shared" si="20"/>
        <v>4232.3632214247946</v>
      </c>
      <c r="F121" s="5">
        <f t="shared" si="21"/>
        <v>423.23632214247942</v>
      </c>
      <c r="G121" s="5">
        <f t="shared" si="23"/>
        <v>9.8114071230719109</v>
      </c>
      <c r="H121" s="5">
        <f t="shared" si="24"/>
        <v>1.1590932311061159E-2</v>
      </c>
      <c r="I121" s="5">
        <f t="shared" si="25"/>
        <v>1.1590932311061159E-2</v>
      </c>
      <c r="J121" s="5">
        <f t="shared" si="22"/>
        <v>1.1590932311061159E-2</v>
      </c>
    </row>
    <row r="122" spans="1:10" x14ac:dyDescent="0.3">
      <c r="A122">
        <v>98</v>
      </c>
      <c r="B122" s="5">
        <f t="shared" si="17"/>
        <v>856.28405140803079</v>
      </c>
      <c r="C122" s="5">
        <f t="shared" si="18"/>
        <v>856.28405140802874</v>
      </c>
      <c r="D122" s="5">
        <f t="shared" si="19"/>
        <v>10</v>
      </c>
      <c r="E122" s="5">
        <f t="shared" si="20"/>
        <v>4281.420257040154</v>
      </c>
      <c r="F122" s="5">
        <f t="shared" si="21"/>
        <v>428.1420257040154</v>
      </c>
      <c r="G122" s="5">
        <f t="shared" si="23"/>
        <v>9.8227205732850145</v>
      </c>
      <c r="H122" s="5">
        <f t="shared" si="24"/>
        <v>1.147133425775362E-2</v>
      </c>
      <c r="I122" s="5">
        <f t="shared" si="25"/>
        <v>1.147133425775362E-2</v>
      </c>
      <c r="J122" s="5">
        <f t="shared" si="22"/>
        <v>1.147133425775362E-2</v>
      </c>
    </row>
    <row r="123" spans="1:10" x14ac:dyDescent="0.3">
      <c r="A123">
        <v>99</v>
      </c>
      <c r="B123" s="5">
        <f t="shared" si="17"/>
        <v>866.10677198131577</v>
      </c>
      <c r="C123" s="5">
        <f t="shared" si="18"/>
        <v>866.10677198131384</v>
      </c>
      <c r="D123" s="5">
        <f t="shared" si="19"/>
        <v>10</v>
      </c>
      <c r="E123" s="5">
        <f t="shared" si="20"/>
        <v>4330.533859906579</v>
      </c>
      <c r="F123" s="5">
        <f t="shared" si="21"/>
        <v>433.05338599065789</v>
      </c>
      <c r="G123" s="5">
        <f t="shared" si="23"/>
        <v>9.8339307970942293</v>
      </c>
      <c r="H123" s="5">
        <f t="shared" si="24"/>
        <v>1.135417839373085E-2</v>
      </c>
      <c r="I123" s="5">
        <f t="shared" si="25"/>
        <v>1.135417839373085E-2</v>
      </c>
      <c r="J123" s="5">
        <f t="shared" si="22"/>
        <v>1.135417839373085E-2</v>
      </c>
    </row>
    <row r="124" spans="1:10" x14ac:dyDescent="0.3">
      <c r="A124">
        <v>100</v>
      </c>
      <c r="B124" s="5">
        <f t="shared" si="17"/>
        <v>875.94070277841001</v>
      </c>
      <c r="C124" s="5">
        <f t="shared" si="18"/>
        <v>875.94070277840797</v>
      </c>
      <c r="D124" s="5">
        <f t="shared" si="19"/>
        <v>10</v>
      </c>
      <c r="E124" s="5">
        <f t="shared" si="20"/>
        <v>4379.7035138920501</v>
      </c>
      <c r="F124" s="5">
        <f t="shared" si="21"/>
        <v>437.97035138920501</v>
      </c>
      <c r="G124" s="5">
        <f t="shared" si="23"/>
        <v>9.8450397750451586</v>
      </c>
      <c r="H124" s="5">
        <f t="shared" si="24"/>
        <v>1.1239390684572054E-2</v>
      </c>
      <c r="I124" s="5">
        <f t="shared" si="25"/>
        <v>1.1239390684572054E-2</v>
      </c>
      <c r="J124" s="5">
        <f t="shared" si="22"/>
        <v>1.1239390684572054E-2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Legend</vt:lpstr>
      <vt:lpstr>Solow</vt:lpstr>
      <vt:lpstr>Convergence</vt:lpstr>
      <vt:lpstr>Solow 2</vt:lpstr>
      <vt:lpstr>Solow met market power</vt:lpstr>
      <vt:lpstr>Diamon</vt:lpstr>
      <vt:lpstr>endogeen</vt:lpstr>
      <vt:lpstr>Blijvende kapitaalopbouw</vt:lpstr>
      <vt:lpstr>R&amp;D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Beheerder</dc:creator>
  <cp:lastModifiedBy>Beheerder</cp:lastModifiedBy>
  <dcterms:created xsi:type="dcterms:W3CDTF">2017-11-11T13:14:19Z</dcterms:created>
  <dcterms:modified xsi:type="dcterms:W3CDTF">2022-07-08T21:51:26Z</dcterms:modified>
</cp:coreProperties>
</file>