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apstone\Informe\"/>
    </mc:Choice>
  </mc:AlternateContent>
  <xr:revisionPtr revIDLastSave="0" documentId="13_ncr:1_{94D2363D-C278-4587-B585-011276BCC535}" xr6:coauthVersionLast="47" xr6:coauthVersionMax="47" xr10:uidLastSave="{00000000-0000-0000-0000-000000000000}"/>
  <bookViews>
    <workbookView xWindow="-28920" yWindow="-120" windowWidth="29040" windowHeight="15720" activeTab="4" xr2:uid="{8694E265-CA5A-4B3C-A26F-2BEB47BC4E29}"/>
  </bookViews>
  <sheets>
    <sheet name="Ingresos" sheetId="1" r:id="rId1"/>
    <sheet name="Inversiones" sheetId="2" r:id="rId2"/>
    <sheet name="Costos" sheetId="3" r:id="rId3"/>
    <sheet name="Depreciación" sheetId="4" r:id="rId4"/>
    <sheet name="Flujo Caj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5" l="1"/>
  <c r="H7" i="5"/>
  <c r="I7" i="5"/>
  <c r="J7" i="5"/>
  <c r="K7" i="5"/>
  <c r="L7" i="5"/>
  <c r="M7" i="5"/>
  <c r="N7" i="5"/>
  <c r="O7" i="5"/>
  <c r="H13" i="5"/>
  <c r="I13" i="5"/>
  <c r="J13" i="5"/>
  <c r="K13" i="5"/>
  <c r="L13" i="5"/>
  <c r="M13" i="5"/>
  <c r="N13" i="5"/>
  <c r="O13" i="5"/>
  <c r="D15" i="5" l="1"/>
  <c r="E4" i="2"/>
  <c r="F16" i="3"/>
  <c r="E16" i="3"/>
  <c r="G29" i="2"/>
  <c r="L4" i="3"/>
  <c r="M4" i="3"/>
  <c r="L5" i="3"/>
  <c r="M5" i="3" s="1"/>
  <c r="L6" i="3"/>
  <c r="M6" i="3" s="1"/>
  <c r="C5" i="1"/>
  <c r="D5" i="1" s="1"/>
  <c r="I20" i="4"/>
  <c r="J20" i="4"/>
  <c r="K20" i="4"/>
  <c r="L20" i="4"/>
  <c r="M20" i="4"/>
  <c r="N20" i="4"/>
  <c r="O20" i="4"/>
  <c r="P20" i="4"/>
  <c r="D5" i="3"/>
  <c r="E5" i="3" s="1"/>
  <c r="F5" i="3" s="1"/>
  <c r="G5" i="3" s="1"/>
  <c r="H5" i="3" s="1"/>
  <c r="I5" i="3" s="1"/>
  <c r="J5" i="3" s="1"/>
  <c r="K5" i="3" s="1"/>
  <c r="D6" i="3"/>
  <c r="E6" i="3" s="1"/>
  <c r="F6" i="3" s="1"/>
  <c r="G6" i="3" s="1"/>
  <c r="H6" i="3" s="1"/>
  <c r="I6" i="3" s="1"/>
  <c r="J6" i="3" s="1"/>
  <c r="K6" i="3" s="1"/>
  <c r="D4" i="3"/>
  <c r="Q20" i="3"/>
  <c r="Q21" i="3"/>
  <c r="Q19" i="3"/>
  <c r="F29" i="2"/>
  <c r="U24" i="5" l="1"/>
  <c r="T24" i="5"/>
  <c r="S24" i="5"/>
  <c r="R24" i="5"/>
  <c r="Q24" i="5"/>
  <c r="P24" i="5"/>
  <c r="V24" i="5"/>
  <c r="D6" i="1"/>
  <c r="E5" i="1"/>
  <c r="F5" i="1" s="1"/>
  <c r="F6" i="1" l="1"/>
  <c r="H5" i="5" s="1"/>
  <c r="G5" i="1"/>
  <c r="E21" i="2"/>
  <c r="D21" i="2"/>
  <c r="H5" i="1" l="1"/>
  <c r="G6" i="1"/>
  <c r="I5" i="5" s="1"/>
  <c r="H8" i="5"/>
  <c r="H10" i="5" s="1"/>
  <c r="H11" i="5" s="1"/>
  <c r="H12" i="5" s="1"/>
  <c r="H14" i="5" s="1"/>
  <c r="H18" i="5" s="1"/>
  <c r="H24" i="5"/>
  <c r="E6" i="1"/>
  <c r="D16" i="3"/>
  <c r="F4" i="2"/>
  <c r="I8" i="5" l="1"/>
  <c r="I10" i="5" s="1"/>
  <c r="I11" i="5" s="1"/>
  <c r="I12" i="5" s="1"/>
  <c r="I14" i="5" s="1"/>
  <c r="I18" i="5" s="1"/>
  <c r="I24" i="5"/>
  <c r="I5" i="1"/>
  <c r="H6" i="1"/>
  <c r="J5" i="5" s="1"/>
  <c r="F20" i="2"/>
  <c r="F21" i="2" s="1"/>
  <c r="H20" i="4"/>
  <c r="G13" i="5" s="1"/>
  <c r="C6" i="1"/>
  <c r="E5" i="5" s="1"/>
  <c r="E4" i="3"/>
  <c r="G5" i="5"/>
  <c r="G24" i="5" s="1"/>
  <c r="J5" i="1" l="1"/>
  <c r="I6" i="1"/>
  <c r="K5" i="5" s="1"/>
  <c r="J8" i="5"/>
  <c r="J10" i="5" s="1"/>
  <c r="J11" i="5" s="1"/>
  <c r="J12" i="5" s="1"/>
  <c r="J14" i="5" s="1"/>
  <c r="J18" i="5" s="1"/>
  <c r="J24" i="5"/>
  <c r="F5" i="5"/>
  <c r="F24" i="5" s="1"/>
  <c r="E20" i="4"/>
  <c r="D18" i="5"/>
  <c r="F4" i="3"/>
  <c r="G4" i="3" s="1"/>
  <c r="H4" i="3" s="1"/>
  <c r="I4" i="3" s="1"/>
  <c r="J4" i="3" s="1"/>
  <c r="K4" i="3" s="1"/>
  <c r="K5" i="1" l="1"/>
  <c r="J6" i="1"/>
  <c r="L5" i="5" s="1"/>
  <c r="K8" i="5"/>
  <c r="K10" i="5" s="1"/>
  <c r="K24" i="5"/>
  <c r="F20" i="4"/>
  <c r="G20" i="4"/>
  <c r="E7" i="5"/>
  <c r="E8" i="5" s="1"/>
  <c r="F7" i="5"/>
  <c r="F8" i="5" s="1"/>
  <c r="L8" i="5" l="1"/>
  <c r="L10" i="5" s="1"/>
  <c r="L24" i="5"/>
  <c r="K12" i="5"/>
  <c r="K14" i="5" s="1"/>
  <c r="K18" i="5" s="1"/>
  <c r="K11" i="5"/>
  <c r="K6" i="1"/>
  <c r="M5" i="5" s="1"/>
  <c r="L5" i="1"/>
  <c r="F10" i="5"/>
  <c r="F13" i="5"/>
  <c r="E13" i="5"/>
  <c r="E10" i="5"/>
  <c r="E12" i="5" s="1"/>
  <c r="G16" i="3"/>
  <c r="L11" i="5" l="1"/>
  <c r="L12" i="5" s="1"/>
  <c r="L14" i="5" s="1"/>
  <c r="L18" i="5" s="1"/>
  <c r="L6" i="1"/>
  <c r="N5" i="5" s="1"/>
  <c r="M5" i="1"/>
  <c r="M8" i="5"/>
  <c r="M10" i="5" s="1"/>
  <c r="M11" i="5" s="1"/>
  <c r="M12" i="5" s="1"/>
  <c r="M14" i="5" s="1"/>
  <c r="M18" i="5" s="1"/>
  <c r="M24" i="5"/>
  <c r="G7" i="5"/>
  <c r="G8" i="5" s="1"/>
  <c r="G10" i="5" s="1"/>
  <c r="G11" i="5" s="1"/>
  <c r="G12" i="5" s="1"/>
  <c r="G14" i="5" s="1"/>
  <c r="G18" i="5" s="1"/>
  <c r="H16" i="3"/>
  <c r="F11" i="5"/>
  <c r="F12" i="5" s="1"/>
  <c r="F14" i="5" s="1"/>
  <c r="F18" i="5" s="1"/>
  <c r="E14" i="5"/>
  <c r="E18" i="5" s="1"/>
  <c r="M6" i="1" l="1"/>
  <c r="O5" i="5" s="1"/>
  <c r="N5" i="1"/>
  <c r="N6" i="1" s="1"/>
  <c r="N8" i="5"/>
  <c r="N10" i="5" s="1"/>
  <c r="N24" i="5"/>
  <c r="I16" i="3"/>
  <c r="O8" i="5" l="1"/>
  <c r="O10" i="5" s="1"/>
  <c r="O24" i="5"/>
  <c r="N11" i="5"/>
  <c r="N12" i="5"/>
  <c r="N14" i="5" s="1"/>
  <c r="N18" i="5" s="1"/>
  <c r="J16" i="3"/>
  <c r="O11" i="5" l="1"/>
  <c r="O12" i="5"/>
  <c r="O14" i="5" s="1"/>
  <c r="O18" i="5" s="1"/>
  <c r="K16" i="3"/>
  <c r="L16" i="3" l="1"/>
  <c r="M16" i="3" l="1"/>
  <c r="D23" i="5" l="1"/>
  <c r="D22" i="5"/>
</calcChain>
</file>

<file path=xl/sharedStrings.xml><?xml version="1.0" encoding="utf-8"?>
<sst xmlns="http://schemas.openxmlformats.org/spreadsheetml/2006/main" count="102" uniqueCount="75">
  <si>
    <t>Ingresos por venta</t>
  </si>
  <si>
    <t>Año 1</t>
  </si>
  <si>
    <t>Año 2</t>
  </si>
  <si>
    <t>Año 3</t>
  </si>
  <si>
    <t>Clientes</t>
  </si>
  <si>
    <t>Total ingresos mensuales</t>
  </si>
  <si>
    <t>Total ingresos anuales</t>
  </si>
  <si>
    <t>Inversiones</t>
  </si>
  <si>
    <t>Tipos de Activo Fijo</t>
  </si>
  <si>
    <t>Nombre</t>
  </si>
  <si>
    <t>Cantidad</t>
  </si>
  <si>
    <t xml:space="preserve">Costo unitario </t>
  </si>
  <si>
    <t>Costo unitario CLP</t>
  </si>
  <si>
    <t>Costo total CLP</t>
  </si>
  <si>
    <t>Nombre del costo</t>
  </si>
  <si>
    <t>Costo año 1</t>
  </si>
  <si>
    <t>Costos</t>
  </si>
  <si>
    <t>Total inversión</t>
  </si>
  <si>
    <t>Depreciación</t>
  </si>
  <si>
    <t>Años de depreciación</t>
  </si>
  <si>
    <t>Inversión inicial</t>
  </si>
  <si>
    <t xml:space="preserve">Año 2 </t>
  </si>
  <si>
    <t>UF</t>
  </si>
  <si>
    <t>USD</t>
  </si>
  <si>
    <t>Costo año 2 (+4%)</t>
  </si>
  <si>
    <t>Costo año 3 (+4%)</t>
  </si>
  <si>
    <t>Costo total</t>
  </si>
  <si>
    <t>Total depreciación</t>
  </si>
  <si>
    <t>Ingresos</t>
  </si>
  <si>
    <t>Costos operacionales</t>
  </si>
  <si>
    <t>Total antes de ajustes</t>
  </si>
  <si>
    <t>Depreciación (-)</t>
  </si>
  <si>
    <t>Resultado antes de impuesto</t>
  </si>
  <si>
    <t>Resultado después de impuesto</t>
  </si>
  <si>
    <t>Depreciación (+)</t>
  </si>
  <si>
    <t>Flujo operacional</t>
  </si>
  <si>
    <t>Valor de desecho</t>
  </si>
  <si>
    <t>Flujo de capitales</t>
  </si>
  <si>
    <t>FLUJO DE CAJA</t>
  </si>
  <si>
    <t>Año 0</t>
  </si>
  <si>
    <t>Tasa</t>
  </si>
  <si>
    <t>VAN</t>
  </si>
  <si>
    <t>TIR</t>
  </si>
  <si>
    <t>ROI</t>
  </si>
  <si>
    <t>Valor unitario</t>
  </si>
  <si>
    <t>Nota 1: Depreciación acelerada según tabla de SII</t>
  </si>
  <si>
    <t>Nota 2: Depreciacion de inmobiliario es a 1 año según SII</t>
  </si>
  <si>
    <t>Flujo de caja</t>
  </si>
  <si>
    <t>Impuestos 21%</t>
  </si>
  <si>
    <t>Otros</t>
  </si>
  <si>
    <t>5% Adicional para imprevistos</t>
  </si>
  <si>
    <t>Desarrollo de software</t>
  </si>
  <si>
    <t>Software</t>
  </si>
  <si>
    <t>Cantidad equipo</t>
  </si>
  <si>
    <t>Horas</t>
  </si>
  <si>
    <t>Valor Hora programacion</t>
  </si>
  <si>
    <t>Total UF</t>
  </si>
  <si>
    <t>CLP</t>
  </si>
  <si>
    <t>SSL Anual 69 USD Anual</t>
  </si>
  <si>
    <t>Azure SQL 11 USD Mensula</t>
  </si>
  <si>
    <t>Año 4</t>
  </si>
  <si>
    <t>Año 5</t>
  </si>
  <si>
    <t>Año 6</t>
  </si>
  <si>
    <t>Año 7</t>
  </si>
  <si>
    <t>Año 8</t>
  </si>
  <si>
    <t>Año 9</t>
  </si>
  <si>
    <t>Año 10</t>
  </si>
  <si>
    <t>Año 11</t>
  </si>
  <si>
    <t>Año 12</t>
  </si>
  <si>
    <t>Costo año 4 (+4%)</t>
  </si>
  <si>
    <t>Costo año 5 (+4%)</t>
  </si>
  <si>
    <t>Costo año 6 (+4%)</t>
  </si>
  <si>
    <t>Costo año 7 (+4%)</t>
  </si>
  <si>
    <t>Desarrollo</t>
  </si>
  <si>
    <t>Servicos weB services  Azure mensuales 51 USD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</si>
</sst>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164" formatCode="_-* #,##0.00\ &quot;€&quot;_-;\-* #,##0.00\ &quot;€&quot;_-;_-* &quot;-&quot;??\ &quot;€&quot;_-;_-@_-"/>
    <numFmt numFmtId="165" formatCode="_-* #,##0.00_-;\-* #,##0.00_-;_-* &quot;-&quot;??_-;_-@_-"/>
    <numFmt numFmtId="166" formatCode="_ [$$-340A]* #,##0.00_ ;_ [$$-340A]* \-#,##0.00_ ;_ [$$-340A]* &quot;-&quot;??_ ;_ @_ "/>
    <numFmt numFmtId="167" formatCode="_ [$$-340A]* #,##0_ ;_ [$$-340A]* \-#,##0_ ;_ [$$-340A]* &quot;-&quot;??_ ;_ @_ "/>
    <numFmt numFmtId="168" formatCode="_-[$$-80A]* #,##0_-;\-[$$-80A]* #,##0_-;_-[$$-80A]* &quot;-&quot;??_-;_-@_-"/>
    <numFmt numFmtId="169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167" fontId="0" fillId="0" borderId="0" xfId="0" applyNumberFormat="1"/>
    <xf numFmtId="167" fontId="0" fillId="0" borderId="1" xfId="0" applyNumberFormat="1" applyBorder="1"/>
    <xf numFmtId="167" fontId="0" fillId="0" borderId="1" xfId="2" applyNumberFormat="1" applyFont="1" applyBorder="1"/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4" borderId="1" xfId="0" applyFill="1" applyBorder="1"/>
    <xf numFmtId="167" fontId="0" fillId="4" borderId="1" xfId="0" applyNumberFormat="1" applyFill="1" applyBorder="1"/>
    <xf numFmtId="0" fontId="0" fillId="4" borderId="1" xfId="0" applyFill="1" applyBorder="1" applyAlignment="1">
      <alignment horizontal="left" vertical="top"/>
    </xf>
    <xf numFmtId="166" fontId="0" fillId="4" borderId="1" xfId="0" applyNumberFormat="1" applyFill="1" applyBorder="1"/>
    <xf numFmtId="9" fontId="0" fillId="4" borderId="1" xfId="3" applyFont="1" applyFill="1" applyBorder="1"/>
    <xf numFmtId="0" fontId="0" fillId="3" borderId="1" xfId="0" applyFill="1" applyBorder="1"/>
    <xf numFmtId="167" fontId="0" fillId="3" borderId="1" xfId="0" applyNumberFormat="1" applyFill="1" applyBorder="1"/>
    <xf numFmtId="0" fontId="0" fillId="3" borderId="1" xfId="0" applyFill="1" applyBorder="1" applyAlignment="1">
      <alignment horizontal="center" vertical="top"/>
    </xf>
    <xf numFmtId="9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168" fontId="0" fillId="3" borderId="5" xfId="0" applyNumberFormat="1" applyFill="1" applyBorder="1"/>
    <xf numFmtId="14" fontId="0" fillId="0" borderId="0" xfId="0" applyNumberFormat="1"/>
    <xf numFmtId="10" fontId="0" fillId="0" borderId="0" xfId="0" applyNumberFormat="1"/>
    <xf numFmtId="169" fontId="0" fillId="0" borderId="0" xfId="1" applyNumberFormat="1" applyFont="1"/>
    <xf numFmtId="42" fontId="0" fillId="0" borderId="1" xfId="4" applyFont="1" applyBorder="1"/>
    <xf numFmtId="42" fontId="0" fillId="0" borderId="1" xfId="4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9" fontId="5" fillId="0" borderId="0" xfId="0" applyNumberFormat="1" applyFont="1"/>
    <xf numFmtId="9" fontId="0" fillId="3" borderId="6" xfId="0" applyNumberFormat="1" applyFill="1" applyBorder="1"/>
    <xf numFmtId="0" fontId="0" fillId="4" borderId="3" xfId="0" applyFill="1" applyBorder="1" applyAlignment="1">
      <alignment horizontal="center" vertical="center"/>
    </xf>
    <xf numFmtId="9" fontId="0" fillId="4" borderId="4" xfId="3" applyFont="1" applyFill="1" applyBorder="1" applyAlignment="1">
      <alignment horizontal="center" vertical="center"/>
    </xf>
    <xf numFmtId="9" fontId="0" fillId="4" borderId="5" xfId="3" applyFont="1" applyFill="1" applyBorder="1" applyAlignment="1">
      <alignment horizontal="center" vertical="center"/>
    </xf>
    <xf numFmtId="9" fontId="0" fillId="0" borderId="1" xfId="3" applyFont="1" applyBorder="1"/>
    <xf numFmtId="42" fontId="0" fillId="0" borderId="0" xfId="4" applyFont="1"/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5">
    <cellStyle name="Millares" xfId="1" builtinId="3"/>
    <cellStyle name="Moneda" xfId="2" builtinId="4"/>
    <cellStyle name="Moneda [0]" xfId="4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6</xdr:col>
      <xdr:colOff>324707</xdr:colOff>
      <xdr:row>49</xdr:row>
      <xdr:rowOff>72867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2C001F-3EDB-E664-1DA2-6E12E8987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486150"/>
          <a:ext cx="9891617" cy="5502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0B8A6-8546-410A-8AAA-47D7B380FCCE}">
  <dimension ref="B2:N6"/>
  <sheetViews>
    <sheetView workbookViewId="0">
      <selection activeCell="F1" sqref="F1:N1048576"/>
    </sheetView>
  </sheetViews>
  <sheetFormatPr baseColWidth="10" defaultRowHeight="14.4" x14ac:dyDescent="0.3"/>
  <cols>
    <col min="2" max="2" width="23.109375" customWidth="1"/>
    <col min="3" max="5" width="15.5546875" bestFit="1" customWidth="1"/>
  </cols>
  <sheetData>
    <row r="2" spans="2:14" ht="18" x14ac:dyDescent="0.35">
      <c r="B2" s="37" t="s">
        <v>0</v>
      </c>
      <c r="C2" s="37"/>
      <c r="D2" s="37"/>
      <c r="E2" s="37"/>
    </row>
    <row r="3" spans="2:14" x14ac:dyDescent="0.3">
      <c r="B3" s="1"/>
      <c r="C3" s="2" t="s">
        <v>1</v>
      </c>
      <c r="D3" s="3" t="s">
        <v>2</v>
      </c>
      <c r="E3" s="2" t="s">
        <v>3</v>
      </c>
      <c r="F3" s="2" t="s">
        <v>60</v>
      </c>
      <c r="G3" s="3" t="s">
        <v>61</v>
      </c>
      <c r="H3" s="2" t="s">
        <v>62</v>
      </c>
      <c r="I3" s="2" t="s">
        <v>63</v>
      </c>
      <c r="J3" s="3" t="s">
        <v>64</v>
      </c>
      <c r="K3" s="2" t="s">
        <v>65</v>
      </c>
      <c r="L3" s="2" t="s">
        <v>66</v>
      </c>
      <c r="M3" s="3" t="s">
        <v>67</v>
      </c>
      <c r="N3" s="2" t="s">
        <v>68</v>
      </c>
    </row>
    <row r="4" spans="2:14" x14ac:dyDescent="0.3">
      <c r="B4" s="1" t="s">
        <v>4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</row>
    <row r="5" spans="2:14" x14ac:dyDescent="0.3">
      <c r="B5" s="1" t="s">
        <v>5</v>
      </c>
      <c r="C5" s="6">
        <f>1000000*C4</f>
        <v>1000000</v>
      </c>
      <c r="D5" s="6">
        <f>C$5*D4*1.04</f>
        <v>1040000</v>
      </c>
      <c r="E5" s="6">
        <f t="shared" ref="E5:N5" si="0">D$5*E4*1.04</f>
        <v>1081600</v>
      </c>
      <c r="F5" s="6">
        <f t="shared" si="0"/>
        <v>1124864</v>
      </c>
      <c r="G5" s="6">
        <f t="shared" si="0"/>
        <v>1169858.5600000001</v>
      </c>
      <c r="H5" s="6">
        <f t="shared" si="0"/>
        <v>1216652.9024</v>
      </c>
      <c r="I5" s="6">
        <f t="shared" si="0"/>
        <v>1265319.018496</v>
      </c>
      <c r="J5" s="6">
        <f t="shared" si="0"/>
        <v>1315931.7792358401</v>
      </c>
      <c r="K5" s="6">
        <f t="shared" si="0"/>
        <v>1368569.0504052737</v>
      </c>
      <c r="L5" s="6">
        <f t="shared" si="0"/>
        <v>1423311.8124214846</v>
      </c>
      <c r="M5" s="6">
        <f t="shared" si="0"/>
        <v>1480244.2849183441</v>
      </c>
      <c r="N5" s="6">
        <f t="shared" si="0"/>
        <v>1539454.0563150779</v>
      </c>
    </row>
    <row r="6" spans="2:14" x14ac:dyDescent="0.3">
      <c r="B6" s="1" t="s">
        <v>6</v>
      </c>
      <c r="C6" s="6">
        <f>C5*12</f>
        <v>12000000</v>
      </c>
      <c r="D6" s="6">
        <f>D5*12</f>
        <v>12480000</v>
      </c>
      <c r="E6" s="6">
        <f>E5*12</f>
        <v>12979200</v>
      </c>
      <c r="F6" s="6">
        <f t="shared" ref="F6:N6" si="1">F5*12</f>
        <v>13498368</v>
      </c>
      <c r="G6" s="6">
        <f t="shared" si="1"/>
        <v>14038302.720000001</v>
      </c>
      <c r="H6" s="6">
        <f t="shared" si="1"/>
        <v>14599834.8288</v>
      </c>
      <c r="I6" s="6">
        <f t="shared" si="1"/>
        <v>15183828.221951999</v>
      </c>
      <c r="J6" s="6">
        <f t="shared" si="1"/>
        <v>15791181.350830082</v>
      </c>
      <c r="K6" s="6">
        <f t="shared" si="1"/>
        <v>16422828.604863284</v>
      </c>
      <c r="L6" s="6">
        <f t="shared" si="1"/>
        <v>17079741.749057814</v>
      </c>
      <c r="M6" s="6">
        <f t="shared" si="1"/>
        <v>17762931.419020131</v>
      </c>
      <c r="N6" s="6">
        <f t="shared" si="1"/>
        <v>18473448.675780937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013A-A11D-457E-B343-F40CAD5894EF}">
  <dimension ref="B2:H29"/>
  <sheetViews>
    <sheetView workbookViewId="0">
      <selection activeCell="F20" sqref="F20"/>
    </sheetView>
  </sheetViews>
  <sheetFormatPr baseColWidth="10" defaultRowHeight="14.4" x14ac:dyDescent="0.3"/>
  <cols>
    <col min="2" max="2" width="29.109375" customWidth="1"/>
    <col min="3" max="3" width="27.109375" bestFit="1" customWidth="1"/>
    <col min="5" max="5" width="19.109375" customWidth="1"/>
    <col min="6" max="6" width="16" customWidth="1"/>
  </cols>
  <sheetData>
    <row r="2" spans="2:8" ht="18" x14ac:dyDescent="0.35">
      <c r="B2" s="37" t="s">
        <v>7</v>
      </c>
      <c r="C2" s="37"/>
      <c r="D2" s="37"/>
      <c r="E2" s="37"/>
      <c r="F2" s="37"/>
    </row>
    <row r="3" spans="2:8" x14ac:dyDescent="0.3">
      <c r="B3" s="17" t="s">
        <v>8</v>
      </c>
      <c r="C3" s="17" t="s">
        <v>9</v>
      </c>
      <c r="D3" s="17" t="s">
        <v>10</v>
      </c>
      <c r="E3" s="17" t="s">
        <v>12</v>
      </c>
      <c r="F3" s="17" t="s">
        <v>13</v>
      </c>
      <c r="H3" s="8"/>
    </row>
    <row r="4" spans="2:8" x14ac:dyDescent="0.3">
      <c r="B4" s="1" t="s">
        <v>52</v>
      </c>
      <c r="C4" s="1" t="s">
        <v>51</v>
      </c>
      <c r="D4" s="1">
        <v>1</v>
      </c>
      <c r="E4" s="6">
        <f>G29</f>
        <v>18608850</v>
      </c>
      <c r="F4" s="6">
        <f>E4*D4</f>
        <v>18608850</v>
      </c>
    </row>
    <row r="5" spans="2:8" x14ac:dyDescent="0.3">
      <c r="B5" s="1"/>
      <c r="C5" s="1"/>
      <c r="D5" s="1"/>
      <c r="E5" s="6"/>
      <c r="F5" s="6"/>
    </row>
    <row r="6" spans="2:8" x14ac:dyDescent="0.3">
      <c r="B6" s="1"/>
      <c r="C6" s="1"/>
      <c r="D6" s="1"/>
      <c r="E6" s="6"/>
      <c r="F6" s="6"/>
    </row>
    <row r="7" spans="2:8" x14ac:dyDescent="0.3">
      <c r="B7" s="1"/>
      <c r="C7" s="1"/>
      <c r="D7" s="1"/>
      <c r="E7" s="6"/>
      <c r="F7" s="6"/>
    </row>
    <row r="8" spans="2:8" x14ac:dyDescent="0.3">
      <c r="B8" s="1"/>
      <c r="C8" s="1"/>
      <c r="D8" s="1"/>
      <c r="E8" s="7"/>
      <c r="F8" s="6"/>
    </row>
    <row r="9" spans="2:8" x14ac:dyDescent="0.3">
      <c r="B9" s="1"/>
      <c r="C9" s="1"/>
      <c r="D9" s="1"/>
      <c r="E9" s="6"/>
      <c r="F9" s="6"/>
    </row>
    <row r="10" spans="2:8" x14ac:dyDescent="0.3">
      <c r="B10" s="1"/>
      <c r="C10" s="1"/>
      <c r="D10" s="1"/>
      <c r="E10" s="6"/>
      <c r="F10" s="6"/>
    </row>
    <row r="11" spans="2:8" x14ac:dyDescent="0.3">
      <c r="B11" s="1"/>
      <c r="C11" s="1"/>
      <c r="D11" s="1"/>
      <c r="E11" s="6"/>
      <c r="F11" s="6"/>
    </row>
    <row r="12" spans="2:8" x14ac:dyDescent="0.3">
      <c r="B12" s="1"/>
      <c r="C12" s="1"/>
      <c r="D12" s="1"/>
      <c r="E12" s="6"/>
      <c r="F12" s="6"/>
    </row>
    <row r="13" spans="2:8" x14ac:dyDescent="0.3">
      <c r="B13" s="1"/>
      <c r="C13" s="1"/>
      <c r="D13" s="1"/>
      <c r="E13" s="24"/>
      <c r="F13" s="6"/>
    </row>
    <row r="14" spans="2:8" x14ac:dyDescent="0.3">
      <c r="B14" s="1"/>
      <c r="C14" s="1"/>
      <c r="D14" s="1"/>
      <c r="E14" s="24"/>
      <c r="F14" s="6"/>
    </row>
    <row r="15" spans="2:8" x14ac:dyDescent="0.3">
      <c r="B15" s="1"/>
      <c r="C15" s="1"/>
      <c r="D15" s="1"/>
      <c r="E15" s="24"/>
      <c r="F15" s="6"/>
    </row>
    <row r="16" spans="2:8" x14ac:dyDescent="0.3">
      <c r="B16" s="1"/>
      <c r="C16" s="1"/>
      <c r="D16" s="1"/>
      <c r="E16" s="24"/>
      <c r="F16" s="6"/>
    </row>
    <row r="17" spans="2:8" x14ac:dyDescent="0.3">
      <c r="B17" s="1"/>
      <c r="C17" s="1"/>
      <c r="D17" s="1"/>
      <c r="E17" s="24"/>
      <c r="F17" s="6"/>
    </row>
    <row r="18" spans="2:8" x14ac:dyDescent="0.3">
      <c r="B18" s="1"/>
      <c r="C18" s="1"/>
      <c r="D18" s="1"/>
      <c r="E18" s="24"/>
      <c r="F18" s="6"/>
    </row>
    <row r="19" spans="2:8" x14ac:dyDescent="0.3">
      <c r="B19" s="1"/>
      <c r="C19" s="1"/>
      <c r="D19" s="1"/>
      <c r="E19" s="24"/>
      <c r="F19" s="6"/>
    </row>
    <row r="20" spans="2:8" x14ac:dyDescent="0.3">
      <c r="B20" s="1" t="s">
        <v>49</v>
      </c>
      <c r="C20" s="1" t="s">
        <v>50</v>
      </c>
      <c r="D20" s="1">
        <v>1</v>
      </c>
      <c r="E20" s="33">
        <v>0.05</v>
      </c>
      <c r="F20" s="6">
        <f>(SUM(F4:F19))*E20</f>
        <v>930442.5</v>
      </c>
    </row>
    <row r="21" spans="2:8" x14ac:dyDescent="0.3">
      <c r="B21" s="15" t="s">
        <v>17</v>
      </c>
      <c r="C21" s="15"/>
      <c r="D21" s="15">
        <f>SUM(D4:D20)</f>
        <v>2</v>
      </c>
      <c r="E21" s="16">
        <f>SUM(E4:E19)</f>
        <v>18608850</v>
      </c>
      <c r="F21" s="16">
        <f>SUM(F4:F20)</f>
        <v>19539292.5</v>
      </c>
    </row>
    <row r="24" spans="2:8" x14ac:dyDescent="0.3">
      <c r="G24" t="s">
        <v>22</v>
      </c>
      <c r="H24">
        <v>38172</v>
      </c>
    </row>
    <row r="28" spans="2:8" x14ac:dyDescent="0.3">
      <c r="C28" t="s">
        <v>53</v>
      </c>
      <c r="D28" t="s">
        <v>54</v>
      </c>
      <c r="E28" t="s">
        <v>55</v>
      </c>
      <c r="F28" t="s">
        <v>56</v>
      </c>
      <c r="G28" t="s">
        <v>57</v>
      </c>
    </row>
    <row r="29" spans="2:8" x14ac:dyDescent="0.3">
      <c r="C29">
        <v>3</v>
      </c>
      <c r="D29">
        <v>65</v>
      </c>
      <c r="E29">
        <v>2.5</v>
      </c>
      <c r="F29">
        <f>D29*E29*C29</f>
        <v>487.5</v>
      </c>
      <c r="G29" s="34">
        <f>F29*H24</f>
        <v>18608850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D5E8-8F03-46CA-B589-2D1322C118A3}">
  <dimension ref="B1:Q23"/>
  <sheetViews>
    <sheetView workbookViewId="0">
      <selection activeCell="H2" sqref="H2"/>
    </sheetView>
  </sheetViews>
  <sheetFormatPr baseColWidth="10" defaultRowHeight="14.4" x14ac:dyDescent="0.3"/>
  <cols>
    <col min="2" max="2" width="83" bestFit="1" customWidth="1"/>
    <col min="4" max="4" width="14.6640625" customWidth="1"/>
    <col min="5" max="5" width="14.109375" customWidth="1"/>
    <col min="6" max="6" width="16" customWidth="1"/>
    <col min="7" max="13" width="16.33203125" customWidth="1"/>
    <col min="14" max="14" width="2.109375" customWidth="1"/>
  </cols>
  <sheetData>
    <row r="1" spans="2:16" x14ac:dyDescent="0.3">
      <c r="P1" s="21">
        <v>45076</v>
      </c>
    </row>
    <row r="2" spans="2:16" ht="18" x14ac:dyDescent="0.35">
      <c r="B2" s="37" t="s">
        <v>16</v>
      </c>
      <c r="C2" s="37"/>
      <c r="D2" s="37"/>
      <c r="E2" s="37"/>
      <c r="F2" s="37"/>
      <c r="G2" s="37"/>
      <c r="H2" s="35"/>
      <c r="I2" s="35"/>
      <c r="J2" s="35"/>
      <c r="K2" s="35"/>
      <c r="L2" s="35"/>
      <c r="M2" s="35"/>
      <c r="O2" s="10" t="s">
        <v>22</v>
      </c>
      <c r="P2" s="11">
        <v>38172</v>
      </c>
    </row>
    <row r="3" spans="2:16" x14ac:dyDescent="0.3">
      <c r="B3" s="4" t="s">
        <v>14</v>
      </c>
      <c r="C3" s="4" t="s">
        <v>10</v>
      </c>
      <c r="D3" s="4" t="s">
        <v>11</v>
      </c>
      <c r="E3" s="4" t="s">
        <v>15</v>
      </c>
      <c r="F3" s="4" t="s">
        <v>24</v>
      </c>
      <c r="G3" s="4" t="s">
        <v>25</v>
      </c>
      <c r="H3" s="4" t="s">
        <v>69</v>
      </c>
      <c r="I3" s="4" t="s">
        <v>70</v>
      </c>
      <c r="J3" s="4" t="s">
        <v>71</v>
      </c>
      <c r="K3" s="4" t="s">
        <v>72</v>
      </c>
      <c r="L3" s="36"/>
      <c r="M3" s="36"/>
      <c r="O3" s="12" t="s">
        <v>23</v>
      </c>
      <c r="P3" s="13">
        <v>977.93</v>
      </c>
    </row>
    <row r="4" spans="2:16" x14ac:dyDescent="0.3">
      <c r="B4" s="1" t="s">
        <v>74</v>
      </c>
      <c r="C4" s="1">
        <v>1</v>
      </c>
      <c r="D4" s="6">
        <f>49874*C4</f>
        <v>49874</v>
      </c>
      <c r="E4" s="6">
        <f>D4*12</f>
        <v>598488</v>
      </c>
      <c r="F4" s="6">
        <f t="shared" ref="F4:K6" si="0">E4*(1+$P$4)</f>
        <v>622427.52</v>
      </c>
      <c r="G4" s="6">
        <f t="shared" si="0"/>
        <v>647324.62080000003</v>
      </c>
      <c r="H4" s="6">
        <f t="shared" si="0"/>
        <v>673217.60563200002</v>
      </c>
      <c r="I4" s="6">
        <f t="shared" si="0"/>
        <v>700146.30985727999</v>
      </c>
      <c r="J4" s="6">
        <f t="shared" si="0"/>
        <v>728152.16225157119</v>
      </c>
      <c r="K4" s="6">
        <f t="shared" si="0"/>
        <v>757278.24874163407</v>
      </c>
      <c r="L4" s="6">
        <f t="shared" ref="L4:M4" si="1">K4*(1+$P$4)</f>
        <v>787569.37869129947</v>
      </c>
      <c r="M4" s="6">
        <f t="shared" si="1"/>
        <v>819072.15383895149</v>
      </c>
      <c r="O4" s="10"/>
      <c r="P4" s="14">
        <v>0.04</v>
      </c>
    </row>
    <row r="5" spans="2:16" x14ac:dyDescent="0.3">
      <c r="B5" s="1" t="s">
        <v>59</v>
      </c>
      <c r="C5" s="1">
        <v>1</v>
      </c>
      <c r="D5" s="6">
        <f>10757*C5</f>
        <v>10757</v>
      </c>
      <c r="E5" s="6">
        <f>D5*12</f>
        <v>129084</v>
      </c>
      <c r="F5" s="6">
        <f t="shared" si="0"/>
        <v>134247.36000000002</v>
      </c>
      <c r="G5" s="6">
        <f t="shared" si="0"/>
        <v>139617.25440000003</v>
      </c>
      <c r="H5" s="6">
        <f t="shared" si="0"/>
        <v>145201.94457600004</v>
      </c>
      <c r="I5" s="6">
        <f t="shared" si="0"/>
        <v>151010.02235904004</v>
      </c>
      <c r="J5" s="6">
        <f t="shared" si="0"/>
        <v>157050.42325340165</v>
      </c>
      <c r="K5" s="6">
        <f t="shared" si="0"/>
        <v>163332.44018353772</v>
      </c>
      <c r="L5" s="6">
        <f t="shared" ref="L5:M5" si="2">K5*(1+$P$4)</f>
        <v>169865.73779087924</v>
      </c>
      <c r="M5" s="6">
        <f t="shared" si="2"/>
        <v>176660.36730251441</v>
      </c>
    </row>
    <row r="6" spans="2:16" x14ac:dyDescent="0.3">
      <c r="B6" s="1" t="s">
        <v>58</v>
      </c>
      <c r="C6" s="1">
        <v>1</v>
      </c>
      <c r="D6" s="6">
        <f>49874*C6</f>
        <v>49874</v>
      </c>
      <c r="E6" s="6">
        <f>D6</f>
        <v>49874</v>
      </c>
      <c r="F6" s="6">
        <f t="shared" si="0"/>
        <v>51868.959999999999</v>
      </c>
      <c r="G6" s="6">
        <f t="shared" si="0"/>
        <v>53943.718399999998</v>
      </c>
      <c r="H6" s="6">
        <f t="shared" si="0"/>
        <v>56101.467135999999</v>
      </c>
      <c r="I6" s="6">
        <f t="shared" si="0"/>
        <v>58345.525821440002</v>
      </c>
      <c r="J6" s="6">
        <f t="shared" si="0"/>
        <v>60679.346854297604</v>
      </c>
      <c r="K6" s="6">
        <f t="shared" si="0"/>
        <v>63106.520728469513</v>
      </c>
      <c r="L6" s="6">
        <f t="shared" ref="L6:M6" si="3">K6*(1+$P$4)</f>
        <v>65630.781557608294</v>
      </c>
      <c r="M6" s="6">
        <f t="shared" si="3"/>
        <v>68256.012819912634</v>
      </c>
    </row>
    <row r="7" spans="2:16" x14ac:dyDescent="0.3">
      <c r="B7" s="1" t="s">
        <v>73</v>
      </c>
      <c r="C7" s="1"/>
      <c r="D7" s="6"/>
      <c r="E7" s="6">
        <v>18608850</v>
      </c>
      <c r="F7" s="6"/>
      <c r="G7" s="6"/>
      <c r="H7" s="6"/>
      <c r="I7" s="6"/>
      <c r="J7" s="6"/>
      <c r="K7" s="6"/>
      <c r="L7" s="6"/>
      <c r="M7" s="6"/>
    </row>
    <row r="8" spans="2:16" x14ac:dyDescent="0.3">
      <c r="B8" s="1"/>
      <c r="C8" s="1"/>
      <c r="D8" s="6"/>
      <c r="E8" s="6"/>
      <c r="F8" s="6"/>
      <c r="G8" s="6"/>
      <c r="H8" s="6"/>
      <c r="I8" s="6"/>
      <c r="J8" s="6"/>
      <c r="K8" s="6"/>
      <c r="L8" s="6"/>
      <c r="M8" s="6"/>
    </row>
    <row r="9" spans="2:16" x14ac:dyDescent="0.3">
      <c r="B9" s="1"/>
      <c r="C9" s="1"/>
      <c r="D9" s="6"/>
      <c r="E9" s="6"/>
      <c r="F9" s="6"/>
      <c r="G9" s="6"/>
      <c r="H9" s="6"/>
      <c r="I9" s="6"/>
      <c r="J9" s="6"/>
      <c r="K9" s="6"/>
      <c r="L9" s="6"/>
      <c r="M9" s="6"/>
    </row>
    <row r="10" spans="2:16" x14ac:dyDescent="0.3">
      <c r="B10" s="1"/>
      <c r="C10" s="1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2:16" x14ac:dyDescent="0.3">
      <c r="B11" s="1"/>
      <c r="C11" s="1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2:16" x14ac:dyDescent="0.3">
      <c r="B12" s="1"/>
      <c r="C12" s="1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2:16" x14ac:dyDescent="0.3">
      <c r="B13" s="1"/>
      <c r="C13" s="1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2:16" x14ac:dyDescent="0.3">
      <c r="B14" s="1"/>
      <c r="C14" s="1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2:16" x14ac:dyDescent="0.3">
      <c r="B15" s="1"/>
      <c r="C15" s="1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2:16" x14ac:dyDescent="0.3">
      <c r="B16" s="15" t="s">
        <v>26</v>
      </c>
      <c r="C16" s="15"/>
      <c r="D16" s="16">
        <f>SUM(D4:D15)</f>
        <v>110505</v>
      </c>
      <c r="E16" s="16">
        <f>SUM(E4:E15)</f>
        <v>19386296</v>
      </c>
      <c r="F16" s="16">
        <f>(F4+F5+F6)</f>
        <v>808543.84</v>
      </c>
      <c r="G16" s="16">
        <f>F16*(1+$P$4)</f>
        <v>840885.59360000002</v>
      </c>
      <c r="H16" s="16">
        <f>G16*(1+$P$4)</f>
        <v>874521.01734400005</v>
      </c>
      <c r="I16" s="16">
        <f>H16*(1+$P$4)</f>
        <v>909501.85803776013</v>
      </c>
      <c r="J16" s="16">
        <f>I16*(1+$P$4)</f>
        <v>945881.93235927052</v>
      </c>
      <c r="K16" s="16">
        <f>J16*(1+$P$4)</f>
        <v>983717.20965364133</v>
      </c>
      <c r="L16" s="16">
        <f t="shared" ref="L16:M16" si="4">K16*(1+$P$4)</f>
        <v>1023065.8980397871</v>
      </c>
      <c r="M16" s="16">
        <f t="shared" si="4"/>
        <v>1063988.5339613785</v>
      </c>
    </row>
    <row r="18" spans="16:17" x14ac:dyDescent="0.3">
      <c r="P18" t="s">
        <v>23</v>
      </c>
      <c r="Q18" t="s">
        <v>57</v>
      </c>
    </row>
    <row r="19" spans="16:17" x14ac:dyDescent="0.3">
      <c r="P19">
        <v>51</v>
      </c>
      <c r="Q19" s="34">
        <f>P19*$P$3</f>
        <v>49874.43</v>
      </c>
    </row>
    <row r="20" spans="16:17" x14ac:dyDescent="0.3">
      <c r="P20">
        <v>11</v>
      </c>
      <c r="Q20" s="34">
        <f t="shared" ref="Q20:Q21" si="5">P20*$P$3</f>
        <v>10757.23</v>
      </c>
    </row>
    <row r="21" spans="16:17" x14ac:dyDescent="0.3">
      <c r="P21">
        <v>69</v>
      </c>
      <c r="Q21" s="34">
        <f t="shared" si="5"/>
        <v>67477.17</v>
      </c>
    </row>
    <row r="23" spans="16:17" x14ac:dyDescent="0.3">
      <c r="P23" s="5"/>
    </row>
  </sheetData>
  <mergeCells count="1">
    <mergeCell ref="B2:G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5AA-6431-4866-BA2F-D2BDE68CDC03}">
  <dimension ref="B2:P24"/>
  <sheetViews>
    <sheetView workbookViewId="0">
      <selection activeCell="C5" sqref="C5"/>
    </sheetView>
  </sheetViews>
  <sheetFormatPr baseColWidth="10" defaultRowHeight="14.4" x14ac:dyDescent="0.3"/>
  <cols>
    <col min="2" max="2" width="56.88671875" customWidth="1"/>
    <col min="3" max="3" width="17.5546875" customWidth="1"/>
    <col min="4" max="4" width="20.33203125" customWidth="1"/>
    <col min="5" max="5" width="15" bestFit="1" customWidth="1"/>
    <col min="6" max="8" width="12" bestFit="1" customWidth="1"/>
  </cols>
  <sheetData>
    <row r="2" spans="2:16" ht="18" x14ac:dyDescent="0.35">
      <c r="B2" s="38" t="s">
        <v>18</v>
      </c>
      <c r="C2" s="39"/>
      <c r="D2" s="39"/>
      <c r="E2" s="39"/>
      <c r="F2" s="39"/>
      <c r="G2" s="39"/>
      <c r="H2" s="40"/>
    </row>
    <row r="3" spans="2:16" x14ac:dyDescent="0.3">
      <c r="B3" s="15" t="s">
        <v>9</v>
      </c>
      <c r="C3" s="15" t="s">
        <v>44</v>
      </c>
      <c r="D3" s="15" t="s">
        <v>19</v>
      </c>
      <c r="E3" s="15" t="s">
        <v>20</v>
      </c>
      <c r="F3" s="15" t="s">
        <v>1</v>
      </c>
      <c r="G3" s="15" t="s">
        <v>21</v>
      </c>
      <c r="H3" s="15" t="s">
        <v>3</v>
      </c>
      <c r="I3" s="15" t="s">
        <v>60</v>
      </c>
      <c r="J3" s="15" t="s">
        <v>61</v>
      </c>
      <c r="K3" s="15" t="s">
        <v>62</v>
      </c>
      <c r="L3" s="15" t="s">
        <v>63</v>
      </c>
      <c r="M3" s="15" t="s">
        <v>64</v>
      </c>
      <c r="N3" s="15" t="s">
        <v>65</v>
      </c>
      <c r="O3" s="15" t="s">
        <v>66</v>
      </c>
      <c r="P3" s="15" t="s">
        <v>67</v>
      </c>
    </row>
    <row r="4" spans="2:16" x14ac:dyDescent="0.3">
      <c r="B4" s="1"/>
      <c r="C4" s="6"/>
      <c r="D4" s="9"/>
      <c r="E4" s="27"/>
      <c r="F4" s="27"/>
      <c r="G4" s="27"/>
      <c r="H4" s="26"/>
      <c r="I4" s="26"/>
      <c r="J4" s="26"/>
      <c r="K4" s="26"/>
      <c r="L4" s="26"/>
      <c r="M4" s="26"/>
      <c r="N4" s="26"/>
      <c r="O4" s="26"/>
      <c r="P4" s="26"/>
    </row>
    <row r="5" spans="2:16" x14ac:dyDescent="0.3">
      <c r="B5" s="1"/>
      <c r="C5" s="6"/>
      <c r="D5" s="9"/>
      <c r="E5" s="27"/>
      <c r="F5" s="27"/>
      <c r="G5" s="27"/>
      <c r="H5" s="26"/>
      <c r="I5" s="26"/>
      <c r="J5" s="26"/>
      <c r="K5" s="26"/>
      <c r="L5" s="26"/>
      <c r="M5" s="26"/>
      <c r="N5" s="26"/>
      <c r="O5" s="26"/>
      <c r="P5" s="26"/>
    </row>
    <row r="6" spans="2:16" x14ac:dyDescent="0.3">
      <c r="B6" s="1"/>
      <c r="C6" s="6"/>
      <c r="D6" s="9"/>
      <c r="E6" s="27"/>
      <c r="F6" s="27"/>
      <c r="G6" s="27"/>
      <c r="H6" s="26"/>
      <c r="I6" s="26"/>
      <c r="J6" s="26"/>
      <c r="K6" s="26"/>
      <c r="L6" s="26"/>
      <c r="M6" s="26"/>
      <c r="N6" s="26"/>
      <c r="O6" s="26"/>
      <c r="P6" s="26"/>
    </row>
    <row r="7" spans="2:16" x14ac:dyDescent="0.3">
      <c r="B7" s="1"/>
      <c r="C7" s="6"/>
      <c r="D7" s="9"/>
      <c r="E7" s="27"/>
      <c r="F7" s="27"/>
      <c r="G7" s="27"/>
      <c r="H7" s="26"/>
      <c r="I7" s="26"/>
      <c r="J7" s="26"/>
      <c r="K7" s="26"/>
      <c r="L7" s="26"/>
      <c r="M7" s="26"/>
      <c r="N7" s="26"/>
      <c r="O7" s="26"/>
      <c r="P7" s="26"/>
    </row>
    <row r="8" spans="2:16" x14ac:dyDescent="0.3">
      <c r="B8" s="1"/>
      <c r="C8" s="6"/>
      <c r="D8" s="9"/>
      <c r="E8" s="27"/>
      <c r="F8" s="27"/>
      <c r="G8" s="27"/>
      <c r="H8" s="26"/>
      <c r="I8" s="26"/>
      <c r="J8" s="26"/>
      <c r="K8" s="26"/>
      <c r="L8" s="26"/>
      <c r="M8" s="26"/>
      <c r="N8" s="26"/>
      <c r="O8" s="26"/>
      <c r="P8" s="26"/>
    </row>
    <row r="9" spans="2:16" x14ac:dyDescent="0.3">
      <c r="B9" s="1"/>
      <c r="C9" s="6"/>
      <c r="D9" s="9"/>
      <c r="E9" s="27"/>
      <c r="F9" s="27"/>
      <c r="G9" s="27"/>
      <c r="H9" s="26"/>
      <c r="I9" s="26"/>
      <c r="J9" s="26"/>
      <c r="K9" s="26"/>
      <c r="L9" s="26"/>
      <c r="M9" s="26"/>
      <c r="N9" s="26"/>
      <c r="O9" s="26"/>
      <c r="P9" s="26"/>
    </row>
    <row r="10" spans="2:16" x14ac:dyDescent="0.3">
      <c r="B10" s="1"/>
      <c r="C10" s="6"/>
      <c r="D10" s="9"/>
      <c r="E10" s="27"/>
      <c r="F10" s="27"/>
      <c r="G10" s="27"/>
      <c r="H10" s="26"/>
      <c r="I10" s="26"/>
      <c r="J10" s="26"/>
      <c r="K10" s="26"/>
      <c r="L10" s="26"/>
      <c r="M10" s="26"/>
      <c r="N10" s="26"/>
      <c r="O10" s="26"/>
      <c r="P10" s="26"/>
    </row>
    <row r="11" spans="2:16" x14ac:dyDescent="0.3">
      <c r="B11" s="1"/>
      <c r="C11" s="6"/>
      <c r="D11" s="9"/>
      <c r="E11" s="27"/>
      <c r="F11" s="27"/>
      <c r="G11" s="27"/>
      <c r="H11" s="26"/>
      <c r="I11" s="26"/>
      <c r="J11" s="26"/>
      <c r="K11" s="26"/>
      <c r="L11" s="26"/>
      <c r="M11" s="26"/>
      <c r="N11" s="26"/>
      <c r="O11" s="26"/>
      <c r="P11" s="26"/>
    </row>
    <row r="12" spans="2:16" x14ac:dyDescent="0.3">
      <c r="B12" s="1"/>
      <c r="C12" s="6"/>
      <c r="D12" s="9"/>
      <c r="E12" s="27"/>
      <c r="F12" s="27"/>
      <c r="G12" s="27"/>
      <c r="H12" s="26"/>
      <c r="I12" s="26"/>
      <c r="J12" s="26"/>
      <c r="K12" s="26"/>
      <c r="L12" s="26"/>
      <c r="M12" s="26"/>
      <c r="N12" s="26"/>
      <c r="O12" s="26"/>
      <c r="P12" s="26"/>
    </row>
    <row r="13" spans="2:16" x14ac:dyDescent="0.3">
      <c r="B13" s="1"/>
      <c r="C13" s="6"/>
      <c r="D13" s="9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4" spans="2:16" x14ac:dyDescent="0.3">
      <c r="B14" s="1"/>
      <c r="C14" s="6"/>
      <c r="D14" s="9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15" spans="2:16" x14ac:dyDescent="0.3">
      <c r="B15" s="1"/>
      <c r="C15" s="6"/>
      <c r="D15" s="9"/>
      <c r="E15" s="27"/>
      <c r="F15" s="27"/>
      <c r="G15" s="27"/>
      <c r="H15" s="26"/>
      <c r="I15" s="26"/>
      <c r="J15" s="26"/>
      <c r="K15" s="26"/>
      <c r="L15" s="26"/>
      <c r="M15" s="26"/>
      <c r="N15" s="26"/>
      <c r="O15" s="26"/>
      <c r="P15" s="26"/>
    </row>
    <row r="16" spans="2:16" x14ac:dyDescent="0.3">
      <c r="B16" s="1"/>
      <c r="C16" s="6"/>
      <c r="D16" s="9"/>
      <c r="E16" s="27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2:16" x14ac:dyDescent="0.3">
      <c r="B17" s="1"/>
      <c r="C17" s="6"/>
      <c r="D17" s="9"/>
      <c r="E17" s="27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2:16" x14ac:dyDescent="0.3">
      <c r="B18" s="1"/>
      <c r="C18" s="6"/>
      <c r="D18" s="9"/>
      <c r="E18" s="27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2:16" x14ac:dyDescent="0.3">
      <c r="B19" s="1"/>
      <c r="C19" s="6"/>
      <c r="D19" s="9"/>
      <c r="E19" s="27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2:16" x14ac:dyDescent="0.3">
      <c r="B20" s="15" t="s">
        <v>27</v>
      </c>
      <c r="C20" s="15"/>
      <c r="D20" s="15"/>
      <c r="E20" s="16">
        <f>SUM(E4:E19)</f>
        <v>0</v>
      </c>
      <c r="F20" s="16">
        <f>SUM(F4:F19)</f>
        <v>0</v>
      </c>
      <c r="G20" s="16">
        <f>SUM(G4:G19)</f>
        <v>0</v>
      </c>
      <c r="H20" s="16">
        <f>SUM(H4:H19)</f>
        <v>0</v>
      </c>
      <c r="I20" s="16">
        <f t="shared" ref="I20:P20" si="0">SUM(I4:I19)</f>
        <v>0</v>
      </c>
      <c r="J20" s="16">
        <f t="shared" si="0"/>
        <v>0</v>
      </c>
      <c r="K20" s="16">
        <f t="shared" si="0"/>
        <v>0</v>
      </c>
      <c r="L20" s="16">
        <f t="shared" si="0"/>
        <v>0</v>
      </c>
      <c r="M20" s="16">
        <f t="shared" si="0"/>
        <v>0</v>
      </c>
      <c r="N20" s="16">
        <f t="shared" si="0"/>
        <v>0</v>
      </c>
      <c r="O20" s="16">
        <f t="shared" si="0"/>
        <v>0</v>
      </c>
      <c r="P20" s="16">
        <f t="shared" si="0"/>
        <v>0</v>
      </c>
    </row>
    <row r="22" spans="2:16" ht="0.75" customHeight="1" x14ac:dyDescent="0.3"/>
    <row r="23" spans="2:16" x14ac:dyDescent="0.3">
      <c r="B23" t="s">
        <v>45</v>
      </c>
    </row>
    <row r="24" spans="2:16" x14ac:dyDescent="0.3">
      <c r="B24" t="s">
        <v>46</v>
      </c>
    </row>
  </sheetData>
  <mergeCells count="1">
    <mergeCell ref="B2:H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9884-A9F9-4B15-A6C6-A43A2FEDB9EC}">
  <dimension ref="B2:V39"/>
  <sheetViews>
    <sheetView tabSelected="1" workbookViewId="0">
      <selection activeCell="E24" sqref="E24"/>
    </sheetView>
  </sheetViews>
  <sheetFormatPr baseColWidth="10" defaultRowHeight="14.4" x14ac:dyDescent="0.3"/>
  <cols>
    <col min="1" max="1" width="12.5546875" customWidth="1"/>
    <col min="2" max="2" width="4.44140625" customWidth="1"/>
    <col min="3" max="3" width="31.33203125" customWidth="1"/>
    <col min="4" max="4" width="25.33203125" customWidth="1"/>
    <col min="5" max="5" width="21.109375" customWidth="1"/>
    <col min="6" max="6" width="18.6640625" customWidth="1"/>
    <col min="7" max="7" width="22" customWidth="1"/>
    <col min="8" max="15" width="12.44140625" bestFit="1" customWidth="1"/>
  </cols>
  <sheetData>
    <row r="2" spans="2:15" ht="15.6" x14ac:dyDescent="0.3">
      <c r="C2" s="41" t="s">
        <v>47</v>
      </c>
      <c r="D2" s="42"/>
      <c r="E2" s="42"/>
      <c r="F2" s="42"/>
      <c r="G2" s="43"/>
    </row>
    <row r="3" spans="2:15" x14ac:dyDescent="0.3">
      <c r="C3" s="1"/>
      <c r="D3" s="19" t="s">
        <v>39</v>
      </c>
      <c r="E3" s="19" t="s">
        <v>1</v>
      </c>
      <c r="F3" s="19" t="s">
        <v>2</v>
      </c>
      <c r="G3" s="19" t="s">
        <v>3</v>
      </c>
      <c r="H3" s="19" t="s">
        <v>60</v>
      </c>
      <c r="I3" s="19" t="s">
        <v>61</v>
      </c>
      <c r="J3" s="19" t="s">
        <v>62</v>
      </c>
      <c r="K3" s="19" t="s">
        <v>63</v>
      </c>
      <c r="L3" s="19" t="s">
        <v>64</v>
      </c>
      <c r="M3" s="19" t="s">
        <v>65</v>
      </c>
      <c r="N3" s="19" t="s">
        <v>66</v>
      </c>
      <c r="O3" s="19" t="s">
        <v>67</v>
      </c>
    </row>
    <row r="4" spans="2:15" x14ac:dyDescent="0.3">
      <c r="C4" s="1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2:15" x14ac:dyDescent="0.3">
      <c r="C5" s="1" t="s">
        <v>28</v>
      </c>
      <c r="D5" s="6"/>
      <c r="E5" s="6">
        <f>Ingresos!C6</f>
        <v>12000000</v>
      </c>
      <c r="F5" s="6">
        <f>Ingresos!D6</f>
        <v>12480000</v>
      </c>
      <c r="G5" s="6">
        <f>Ingresos!E6</f>
        <v>12979200</v>
      </c>
      <c r="H5" s="6">
        <f>Ingresos!F6</f>
        <v>13498368</v>
      </c>
      <c r="I5" s="6">
        <f>Ingresos!G6</f>
        <v>14038302.720000001</v>
      </c>
      <c r="J5" s="6">
        <f>Ingresos!H6</f>
        <v>14599834.8288</v>
      </c>
      <c r="K5" s="6">
        <f>Ingresos!I6</f>
        <v>15183828.221951999</v>
      </c>
      <c r="L5" s="6">
        <f>Ingresos!J6</f>
        <v>15791181.350830082</v>
      </c>
      <c r="M5" s="6">
        <f>Ingresos!K6</f>
        <v>16422828.604863284</v>
      </c>
      <c r="N5" s="6">
        <f>Ingresos!L6</f>
        <v>17079741.749057814</v>
      </c>
      <c r="O5" s="6">
        <f>Ingresos!M6</f>
        <v>17762931.419020131</v>
      </c>
    </row>
    <row r="6" spans="2:15" x14ac:dyDescent="0.3">
      <c r="C6" s="1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2:15" x14ac:dyDescent="0.3">
      <c r="C7" s="1" t="s">
        <v>29</v>
      </c>
      <c r="D7" s="6"/>
      <c r="E7" s="6">
        <f>Costos!E16</f>
        <v>19386296</v>
      </c>
      <c r="F7" s="6">
        <f>Costos!F16</f>
        <v>808543.84</v>
      </c>
      <c r="G7" s="6">
        <f>Costos!G16</f>
        <v>840885.59360000002</v>
      </c>
      <c r="H7" s="6">
        <f>Costos!H16</f>
        <v>874521.01734400005</v>
      </c>
      <c r="I7" s="6">
        <f>Costos!I16</f>
        <v>909501.85803776013</v>
      </c>
      <c r="J7" s="6">
        <f>Costos!J16</f>
        <v>945881.93235927052</v>
      </c>
      <c r="K7" s="6">
        <f>Costos!K16</f>
        <v>983717.20965364133</v>
      </c>
      <c r="L7" s="6">
        <f>Costos!L16</f>
        <v>1023065.8980397871</v>
      </c>
      <c r="M7" s="6">
        <f>Costos!M16</f>
        <v>1063988.5339613785</v>
      </c>
      <c r="N7" s="6">
        <f>Costos!N16</f>
        <v>0</v>
      </c>
      <c r="O7" s="6">
        <f>Costos!O16</f>
        <v>0</v>
      </c>
    </row>
    <row r="8" spans="2:15" x14ac:dyDescent="0.3">
      <c r="C8" s="1" t="s">
        <v>30</v>
      </c>
      <c r="D8" s="6"/>
      <c r="E8" s="6">
        <f>E5-E7</f>
        <v>-7386296</v>
      </c>
      <c r="F8" s="6">
        <f t="shared" ref="F8:G8" si="0">F5-F7</f>
        <v>11671456.16</v>
      </c>
      <c r="G8" s="6">
        <f t="shared" si="0"/>
        <v>12138314.406400001</v>
      </c>
      <c r="H8" s="6">
        <f t="shared" ref="H8:O8" si="1">H5-H7</f>
        <v>12623846.982656</v>
      </c>
      <c r="I8" s="6">
        <f t="shared" si="1"/>
        <v>13128800.86196224</v>
      </c>
      <c r="J8" s="6">
        <f t="shared" si="1"/>
        <v>13653952.896440729</v>
      </c>
      <c r="K8" s="6">
        <f t="shared" si="1"/>
        <v>14200111.012298357</v>
      </c>
      <c r="L8" s="6">
        <f t="shared" si="1"/>
        <v>14768115.452790294</v>
      </c>
      <c r="M8" s="6">
        <f t="shared" si="1"/>
        <v>15358840.070901906</v>
      </c>
      <c r="N8" s="6">
        <f t="shared" si="1"/>
        <v>17079741.749057814</v>
      </c>
      <c r="O8" s="6">
        <f t="shared" si="1"/>
        <v>17762931.419020131</v>
      </c>
    </row>
    <row r="9" spans="2:15" x14ac:dyDescent="0.3">
      <c r="C9" s="1" t="s">
        <v>31</v>
      </c>
      <c r="D9" s="6"/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</row>
    <row r="10" spans="2:15" x14ac:dyDescent="0.3">
      <c r="C10" s="1" t="s">
        <v>32</v>
      </c>
      <c r="D10" s="6"/>
      <c r="E10" s="6">
        <f>E8-E9</f>
        <v>-7386296</v>
      </c>
      <c r="F10" s="6">
        <f t="shared" ref="F10:G10" si="2">F8-F9</f>
        <v>11671456.16</v>
      </c>
      <c r="G10" s="6">
        <f t="shared" si="2"/>
        <v>12138314.406400001</v>
      </c>
      <c r="H10" s="6">
        <f t="shared" ref="H10:O10" si="3">H8-H9</f>
        <v>12623846.982656</v>
      </c>
      <c r="I10" s="6">
        <f t="shared" si="3"/>
        <v>13128800.86196224</v>
      </c>
      <c r="J10" s="6">
        <f t="shared" si="3"/>
        <v>13653952.896440729</v>
      </c>
      <c r="K10" s="6">
        <f t="shared" si="3"/>
        <v>14200111.012298357</v>
      </c>
      <c r="L10" s="6">
        <f t="shared" si="3"/>
        <v>14768115.452790294</v>
      </c>
      <c r="M10" s="6">
        <f t="shared" si="3"/>
        <v>15358840.070901906</v>
      </c>
      <c r="N10" s="6">
        <f t="shared" si="3"/>
        <v>17079741.749057814</v>
      </c>
      <c r="O10" s="6">
        <f t="shared" si="3"/>
        <v>17762931.419020131</v>
      </c>
    </row>
    <row r="11" spans="2:15" x14ac:dyDescent="0.3">
      <c r="B11" s="28">
        <v>0.21</v>
      </c>
      <c r="C11" s="1" t="s">
        <v>48</v>
      </c>
      <c r="D11" s="6"/>
      <c r="E11" s="6">
        <v>0</v>
      </c>
      <c r="F11" s="6">
        <f>F10*$B$11</f>
        <v>2451005.7936</v>
      </c>
      <c r="G11" s="6">
        <f t="shared" ref="G11" si="4">G10*$B$11</f>
        <v>2549046.0253440002</v>
      </c>
      <c r="H11" s="6">
        <f t="shared" ref="H11:O11" si="5">H10*$B$11</f>
        <v>2651007.86635776</v>
      </c>
      <c r="I11" s="6">
        <f t="shared" si="5"/>
        <v>2757048.1810120703</v>
      </c>
      <c r="J11" s="6">
        <f t="shared" si="5"/>
        <v>2867330.1082525533</v>
      </c>
      <c r="K11" s="6">
        <f t="shared" si="5"/>
        <v>2982023.3125826549</v>
      </c>
      <c r="L11" s="6">
        <f t="shared" si="5"/>
        <v>3101304.2450859617</v>
      </c>
      <c r="M11" s="6">
        <f t="shared" si="5"/>
        <v>3225356.4148894004</v>
      </c>
      <c r="N11" s="6">
        <f t="shared" si="5"/>
        <v>3586745.7673021411</v>
      </c>
      <c r="O11" s="6">
        <f t="shared" si="5"/>
        <v>3730215.5979942274</v>
      </c>
    </row>
    <row r="12" spans="2:15" x14ac:dyDescent="0.3">
      <c r="C12" s="1" t="s">
        <v>33</v>
      </c>
      <c r="D12" s="6"/>
      <c r="E12" s="6">
        <f>E10-E11</f>
        <v>-7386296</v>
      </c>
      <c r="F12" s="6">
        <f t="shared" ref="F12:G12" si="6">F10-F11</f>
        <v>9220450.3663999997</v>
      </c>
      <c r="G12" s="6">
        <f t="shared" si="6"/>
        <v>9589268.3810559995</v>
      </c>
      <c r="H12" s="6">
        <f t="shared" ref="H12:O12" si="7">H10-H11</f>
        <v>9972839.1162982397</v>
      </c>
      <c r="I12" s="6">
        <f t="shared" si="7"/>
        <v>10371752.68095017</v>
      </c>
      <c r="J12" s="6">
        <f t="shared" si="7"/>
        <v>10786622.788188176</v>
      </c>
      <c r="K12" s="6">
        <f t="shared" si="7"/>
        <v>11218087.699715702</v>
      </c>
      <c r="L12" s="6">
        <f t="shared" si="7"/>
        <v>11666811.207704332</v>
      </c>
      <c r="M12" s="6">
        <f t="shared" si="7"/>
        <v>12133483.656012505</v>
      </c>
      <c r="N12" s="6">
        <f t="shared" si="7"/>
        <v>13492995.981755674</v>
      </c>
      <c r="O12" s="6">
        <f t="shared" si="7"/>
        <v>14032715.821025904</v>
      </c>
    </row>
    <row r="13" spans="2:15" x14ac:dyDescent="0.3">
      <c r="C13" s="1" t="s">
        <v>34</v>
      </c>
      <c r="D13" s="6"/>
      <c r="E13" s="6">
        <f>Depreciación!F20</f>
        <v>0</v>
      </c>
      <c r="F13" s="6">
        <f>Depreciación!G20</f>
        <v>0</v>
      </c>
      <c r="G13" s="6">
        <f>Depreciación!H20</f>
        <v>0</v>
      </c>
      <c r="H13" s="6">
        <f>Depreciación!I20</f>
        <v>0</v>
      </c>
      <c r="I13" s="6">
        <f>Depreciación!J20</f>
        <v>0</v>
      </c>
      <c r="J13" s="6">
        <f>Depreciación!K20</f>
        <v>0</v>
      </c>
      <c r="K13" s="6">
        <f>Depreciación!L20</f>
        <v>0</v>
      </c>
      <c r="L13" s="6">
        <f>Depreciación!M20</f>
        <v>0</v>
      </c>
      <c r="M13" s="6">
        <f>Depreciación!N20</f>
        <v>0</v>
      </c>
      <c r="N13" s="6">
        <f>Depreciación!O20</f>
        <v>0</v>
      </c>
      <c r="O13" s="6">
        <f>Depreciación!P20</f>
        <v>0</v>
      </c>
    </row>
    <row r="14" spans="2:15" x14ac:dyDescent="0.3">
      <c r="C14" s="1" t="s">
        <v>35</v>
      </c>
      <c r="D14" s="6"/>
      <c r="E14" s="6">
        <f>E12+E13</f>
        <v>-7386296</v>
      </c>
      <c r="F14" s="6">
        <f t="shared" ref="F14:G14" si="8">F12+F13</f>
        <v>9220450.3663999997</v>
      </c>
      <c r="G14" s="6">
        <f t="shared" si="8"/>
        <v>9589268.3810559995</v>
      </c>
      <c r="H14" s="6">
        <f t="shared" ref="H14:O14" si="9">H12+H13</f>
        <v>9972839.1162982397</v>
      </c>
      <c r="I14" s="6">
        <f t="shared" si="9"/>
        <v>10371752.68095017</v>
      </c>
      <c r="J14" s="6">
        <f t="shared" si="9"/>
        <v>10786622.788188176</v>
      </c>
      <c r="K14" s="6">
        <f t="shared" si="9"/>
        <v>11218087.699715702</v>
      </c>
      <c r="L14" s="6">
        <f t="shared" si="9"/>
        <v>11666811.207704332</v>
      </c>
      <c r="M14" s="6">
        <f t="shared" si="9"/>
        <v>12133483.656012505</v>
      </c>
      <c r="N14" s="6">
        <f t="shared" si="9"/>
        <v>13492995.981755674</v>
      </c>
      <c r="O14" s="6">
        <f t="shared" si="9"/>
        <v>14032715.821025904</v>
      </c>
    </row>
    <row r="15" spans="2:15" x14ac:dyDescent="0.3">
      <c r="C15" s="1" t="s">
        <v>7</v>
      </c>
      <c r="D15" s="6">
        <f>Inversiones!F21</f>
        <v>19539292.5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2:15" x14ac:dyDescent="0.3">
      <c r="C16" s="1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3:22" x14ac:dyDescent="0.3">
      <c r="C17" s="1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3:22" x14ac:dyDescent="0.3">
      <c r="C18" s="1" t="s">
        <v>38</v>
      </c>
      <c r="D18" s="6">
        <f>D15*-1</f>
        <v>-19539292.5</v>
      </c>
      <c r="E18" s="6">
        <f>E14+E17</f>
        <v>-7386296</v>
      </c>
      <c r="F18" s="6">
        <f t="shared" ref="F18:G18" si="10">F14+F17</f>
        <v>9220450.3663999997</v>
      </c>
      <c r="G18" s="6">
        <f t="shared" si="10"/>
        <v>9589268.3810559995</v>
      </c>
      <c r="H18" s="6">
        <f t="shared" ref="H18:O18" si="11">H14+H17</f>
        <v>9972839.1162982397</v>
      </c>
      <c r="I18" s="6">
        <f t="shared" si="11"/>
        <v>10371752.68095017</v>
      </c>
      <c r="J18" s="6">
        <f t="shared" si="11"/>
        <v>10786622.788188176</v>
      </c>
      <c r="K18" s="6">
        <f t="shared" si="11"/>
        <v>11218087.699715702</v>
      </c>
      <c r="L18" s="6">
        <f t="shared" si="11"/>
        <v>11666811.207704332</v>
      </c>
      <c r="M18" s="6">
        <f t="shared" si="11"/>
        <v>12133483.656012505</v>
      </c>
      <c r="N18" s="6">
        <f t="shared" si="11"/>
        <v>13492995.981755674</v>
      </c>
      <c r="O18" s="6">
        <f t="shared" si="11"/>
        <v>14032715.821025904</v>
      </c>
    </row>
    <row r="19" spans="3:22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3:22" x14ac:dyDescent="0.3">
      <c r="C20" s="1" t="s">
        <v>40</v>
      </c>
      <c r="D20" s="18">
        <v>0.12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2" spans="3:22" x14ac:dyDescent="0.3">
      <c r="C22" s="15" t="s">
        <v>41</v>
      </c>
      <c r="D22" s="20">
        <f>NPV(D20,E18:O18)-D15</f>
        <v>28270140.567841217</v>
      </c>
    </row>
    <row r="23" spans="3:22" x14ac:dyDescent="0.3">
      <c r="C23" s="15" t="s">
        <v>42</v>
      </c>
      <c r="D23" s="29">
        <f>IRR(D18:O18)</f>
        <v>0.29145715633802305</v>
      </c>
    </row>
    <row r="24" spans="3:22" ht="24.75" customHeight="1" x14ac:dyDescent="0.3">
      <c r="D24" s="30" t="s">
        <v>43</v>
      </c>
      <c r="E24" s="31">
        <f>((E5-$D$15)/$D$15)</f>
        <v>-0.38585289103993914</v>
      </c>
      <c r="F24" s="31">
        <f>(F5-$D$15)/$D$15</f>
        <v>-0.36128700668153668</v>
      </c>
      <c r="G24" s="32">
        <f>(G5-$D$15)/$D$15</f>
        <v>-0.33573848694879815</v>
      </c>
      <c r="H24" s="32">
        <f t="shared" ref="H24:V24" si="12">(H5-$D$15)/$D$15</f>
        <v>-0.30916802642675012</v>
      </c>
      <c r="I24" s="32">
        <f t="shared" si="12"/>
        <v>-0.28153474748382007</v>
      </c>
      <c r="J24" s="32">
        <f t="shared" si="12"/>
        <v>-0.25279613738317291</v>
      </c>
      <c r="K24" s="32">
        <f t="shared" si="12"/>
        <v>-0.22290798287849989</v>
      </c>
      <c r="L24" s="32">
        <f t="shared" si="12"/>
        <v>-0.19182430219363972</v>
      </c>
      <c r="M24" s="32">
        <f t="shared" si="12"/>
        <v>-0.15949727428138535</v>
      </c>
      <c r="N24" s="32">
        <f t="shared" si="12"/>
        <v>-0.12587716525264084</v>
      </c>
      <c r="O24" s="32">
        <f t="shared" si="12"/>
        <v>-9.0912251862746249E-2</v>
      </c>
      <c r="P24" s="32">
        <f t="shared" si="12"/>
        <v>-1</v>
      </c>
      <c r="Q24" s="32">
        <f t="shared" si="12"/>
        <v>-1</v>
      </c>
      <c r="R24" s="32">
        <f t="shared" si="12"/>
        <v>-1</v>
      </c>
      <c r="S24" s="32">
        <f t="shared" si="12"/>
        <v>-1</v>
      </c>
      <c r="T24" s="32">
        <f t="shared" si="12"/>
        <v>-1</v>
      </c>
      <c r="U24" s="32">
        <f t="shared" si="12"/>
        <v>-1</v>
      </c>
      <c r="V24" s="32">
        <f t="shared" si="12"/>
        <v>-1</v>
      </c>
    </row>
    <row r="35" spans="4:7" x14ac:dyDescent="0.3">
      <c r="D35" s="22"/>
    </row>
    <row r="36" spans="4:7" x14ac:dyDescent="0.3">
      <c r="D36" s="5"/>
    </row>
    <row r="37" spans="4:7" x14ac:dyDescent="0.3">
      <c r="D37" s="5"/>
      <c r="E37" s="5"/>
      <c r="F37" s="5"/>
      <c r="G37" s="5"/>
    </row>
    <row r="39" spans="4:7" x14ac:dyDescent="0.3">
      <c r="E39" s="23"/>
      <c r="F39" s="23"/>
      <c r="G39" s="23"/>
    </row>
  </sheetData>
  <mergeCells count="1">
    <mergeCell ref="C2:G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Ingresos</vt:lpstr>
      <vt:lpstr>Inversiones</vt:lpstr>
      <vt:lpstr>Costos</vt:lpstr>
      <vt:lpstr>Depreciación</vt:lpstr>
      <vt:lpstr>Flujo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Hidalgo</dc:creator>
  <cp:lastModifiedBy>Jonatan David Sandoval Riquelme</cp:lastModifiedBy>
  <dcterms:created xsi:type="dcterms:W3CDTF">2023-05-25T22:54:10Z</dcterms:created>
  <dcterms:modified xsi:type="dcterms:W3CDTF">2024-11-25T18:21:58Z</dcterms:modified>
</cp:coreProperties>
</file>