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pstone\Informe\Otros\"/>
    </mc:Choice>
  </mc:AlternateContent>
  <xr:revisionPtr revIDLastSave="0" documentId="13_ncr:1_{F6834DF7-4D32-4AA6-885C-0EE217F46C89}" xr6:coauthVersionLast="47" xr6:coauthVersionMax="47" xr10:uidLastSave="{00000000-0000-0000-0000-000000000000}"/>
  <bookViews>
    <workbookView xWindow="-120" yWindow="-16320" windowWidth="29040" windowHeight="15720" activeTab="2" xr2:uid="{8694E265-CA5A-4B3C-A26F-2BEB47BC4E29}"/>
  </bookViews>
  <sheets>
    <sheet name="Ingresos" sheetId="1" r:id="rId1"/>
    <sheet name="Inversiones" sheetId="2" r:id="rId2"/>
    <sheet name="Costos" sheetId="3" r:id="rId3"/>
    <sheet name="Depreciación" sheetId="4" r:id="rId4"/>
    <sheet name="Flujo Caj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E7" i="3"/>
  <c r="F7" i="3" s="1"/>
  <c r="G7" i="3" s="1"/>
  <c r="H7" i="3" s="1"/>
  <c r="I7" i="3" s="1"/>
  <c r="D8" i="3"/>
  <c r="E8" i="3" s="1"/>
  <c r="F4" i="2"/>
  <c r="C6" i="1" l="1"/>
  <c r="C7" i="1" s="1"/>
  <c r="D6" i="1"/>
  <c r="D7" i="1" s="1"/>
  <c r="E6" i="1" l="1"/>
  <c r="F6" i="1" l="1"/>
  <c r="G6" i="1" l="1"/>
  <c r="H13" i="5" l="1"/>
  <c r="I13" i="5"/>
  <c r="G16" i="2" l="1"/>
  <c r="I20" i="4"/>
  <c r="J20" i="4"/>
  <c r="K20" i="4"/>
  <c r="L20" i="4"/>
  <c r="M20" i="4"/>
  <c r="N20" i="4"/>
  <c r="O20" i="4"/>
  <c r="P20" i="4"/>
  <c r="D5" i="3"/>
  <c r="E5" i="3" s="1"/>
  <c r="F5" i="3" s="1"/>
  <c r="G5" i="3" s="1"/>
  <c r="H5" i="3" s="1"/>
  <c r="I5" i="3" s="1"/>
  <c r="D6" i="3"/>
  <c r="E6" i="3" s="1"/>
  <c r="F6" i="3" s="1"/>
  <c r="G6" i="3" s="1"/>
  <c r="H6" i="3" s="1"/>
  <c r="I6" i="3" s="1"/>
  <c r="D4" i="3"/>
  <c r="M17" i="3"/>
  <c r="M18" i="3"/>
  <c r="M16" i="3"/>
  <c r="F16" i="2"/>
  <c r="F7" i="1" l="1"/>
  <c r="H5" i="5" s="1"/>
  <c r="E8" i="2"/>
  <c r="D8" i="2"/>
  <c r="G7" i="1" l="1"/>
  <c r="I5" i="5" s="1"/>
  <c r="E7" i="1"/>
  <c r="D13" i="3"/>
  <c r="F8" i="2" l="1"/>
  <c r="D15" i="5" s="1"/>
  <c r="H20" i="4"/>
  <c r="G13" i="5" s="1"/>
  <c r="E5" i="5"/>
  <c r="E4" i="3"/>
  <c r="G5" i="5"/>
  <c r="E13" i="3" l="1"/>
  <c r="F4" i="3"/>
  <c r="G25" i="5"/>
  <c r="E25" i="5"/>
  <c r="H25" i="5"/>
  <c r="I25" i="5"/>
  <c r="F5" i="5"/>
  <c r="F25" i="5" s="1"/>
  <c r="E20" i="4"/>
  <c r="D18" i="5"/>
  <c r="G4" i="3" l="1"/>
  <c r="H4" i="3" s="1"/>
  <c r="I4" i="3" s="1"/>
  <c r="F13" i="3"/>
  <c r="F7" i="5" s="1"/>
  <c r="F8" i="5" s="1"/>
  <c r="F20" i="4"/>
  <c r="G20" i="4"/>
  <c r="E7" i="5"/>
  <c r="E8" i="5" s="1"/>
  <c r="F10" i="5" l="1"/>
  <c r="F13" i="5"/>
  <c r="E13" i="5"/>
  <c r="E10" i="5"/>
  <c r="E12" i="5" s="1"/>
  <c r="G13" i="3"/>
  <c r="G7" i="5" l="1"/>
  <c r="G8" i="5" s="1"/>
  <c r="G10" i="5" s="1"/>
  <c r="G11" i="5" s="1"/>
  <c r="G12" i="5" s="1"/>
  <c r="G14" i="5" s="1"/>
  <c r="G18" i="5" s="1"/>
  <c r="H13" i="3"/>
  <c r="H7" i="5" s="1"/>
  <c r="H8" i="5" s="1"/>
  <c r="H10" i="5" s="1"/>
  <c r="H11" i="5" s="1"/>
  <c r="H12" i="5" s="1"/>
  <c r="H14" i="5" s="1"/>
  <c r="H18" i="5" s="1"/>
  <c r="F11" i="5"/>
  <c r="F12" i="5" s="1"/>
  <c r="F14" i="5" s="1"/>
  <c r="F18" i="5" s="1"/>
  <c r="E14" i="5"/>
  <c r="E18" i="5" s="1"/>
  <c r="I13" i="3" l="1"/>
  <c r="I7" i="5" s="1"/>
  <c r="I8" i="5" s="1"/>
  <c r="I10" i="5" s="1"/>
  <c r="I11" i="5" s="1"/>
  <c r="I12" i="5" s="1"/>
  <c r="I14" i="5" s="1"/>
  <c r="I18" i="5" s="1"/>
  <c r="D23" i="5" l="1"/>
  <c r="D22" i="5"/>
</calcChain>
</file>

<file path=xl/sharedStrings.xml><?xml version="1.0" encoding="utf-8"?>
<sst xmlns="http://schemas.openxmlformats.org/spreadsheetml/2006/main" count="89" uniqueCount="74">
  <si>
    <t>Ingresos por venta</t>
  </si>
  <si>
    <t>Año 1</t>
  </si>
  <si>
    <t>Año 2</t>
  </si>
  <si>
    <t>Año 3</t>
  </si>
  <si>
    <t>Clientes</t>
  </si>
  <si>
    <t>Total ingresos mensuales</t>
  </si>
  <si>
    <t>Total ingresos anuales</t>
  </si>
  <si>
    <t>Inversiones</t>
  </si>
  <si>
    <t>Tipos de Activo Fijo</t>
  </si>
  <si>
    <t>Nombre</t>
  </si>
  <si>
    <t>Cantidad</t>
  </si>
  <si>
    <t xml:space="preserve">Costo unitario </t>
  </si>
  <si>
    <t>Costo unitario CLP</t>
  </si>
  <si>
    <t>Costo total CLP</t>
  </si>
  <si>
    <t>Nombre del costo</t>
  </si>
  <si>
    <t>Costo año 1</t>
  </si>
  <si>
    <t>Costos</t>
  </si>
  <si>
    <t>Total inversión</t>
  </si>
  <si>
    <t>Depreciación</t>
  </si>
  <si>
    <t>Años de depreciación</t>
  </si>
  <si>
    <t>Inversión inicial</t>
  </si>
  <si>
    <t xml:space="preserve">Año 2 </t>
  </si>
  <si>
    <t>UF</t>
  </si>
  <si>
    <t>USD</t>
  </si>
  <si>
    <t>Costo total</t>
  </si>
  <si>
    <t>Total depreciación</t>
  </si>
  <si>
    <t>Ingresos</t>
  </si>
  <si>
    <t>Costos operacionales</t>
  </si>
  <si>
    <t>Total antes de ajustes</t>
  </si>
  <si>
    <t>Depreciación (-)</t>
  </si>
  <si>
    <t>Resultado antes de impuesto</t>
  </si>
  <si>
    <t>Resultado después de impuesto</t>
  </si>
  <si>
    <t>Depreciación (+)</t>
  </si>
  <si>
    <t>Flujo operacional</t>
  </si>
  <si>
    <t>Valor de desecho</t>
  </si>
  <si>
    <t>Flujo de capitales</t>
  </si>
  <si>
    <t>FLUJO DE CAJA</t>
  </si>
  <si>
    <t>Año 0</t>
  </si>
  <si>
    <t>Tasa</t>
  </si>
  <si>
    <t>VAN</t>
  </si>
  <si>
    <t>TIR</t>
  </si>
  <si>
    <t>ROI</t>
  </si>
  <si>
    <t>Valor unitario</t>
  </si>
  <si>
    <t>Nota 1: Depreciación acelerada según tabla de SII</t>
  </si>
  <si>
    <t>Nota 2: Depreciacion de inmobiliario es a 1 año según SII</t>
  </si>
  <si>
    <t>Flujo de caja</t>
  </si>
  <si>
    <t>Cantidad equipo</t>
  </si>
  <si>
    <t>Horas</t>
  </si>
  <si>
    <t>Valor Hora programacion</t>
  </si>
  <si>
    <t>Total UF</t>
  </si>
  <si>
    <t>CLP</t>
  </si>
  <si>
    <t>SSL Anual 69 USD Anual</t>
  </si>
  <si>
    <t>Azure SQL 11 USD Mensula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</si>
  <si>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</si>
  <si>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</si>
  <si>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</si>
  <si>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</si>
  <si>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</si>
  <si>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</si>
  <si>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</si>
  <si>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</si>
  <si>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Servicos weB services  Azure mensuales 51 USD Mensual</t>
  </si>
  <si>
    <t>IPC Anual 4,7%</t>
  </si>
  <si>
    <t>Valor mensual por suscripción</t>
  </si>
  <si>
    <t>Presupuesto</t>
  </si>
  <si>
    <t>Inversión para desarrollo</t>
  </si>
  <si>
    <t>Costo año 2 (+IPC)</t>
  </si>
  <si>
    <t>Costo año 3 (+IPC)</t>
  </si>
  <si>
    <t>Costo año 4 (+IPC)</t>
  </si>
  <si>
    <t>Costo año 5 (+IPC)</t>
  </si>
  <si>
    <t>Impuestos 27%</t>
  </si>
  <si>
    <t>Servicio Soporte Remoto Mensual (Prorateo mesa de ayuda 4 All Solutions)</t>
  </si>
  <si>
    <t xml:space="preserve">Desarrollo Software </t>
  </si>
  <si>
    <t>IPC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</si>
</sst>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164" formatCode="_-* #,##0.00_-;\-* #,##0.00_-;_-* &quot;-&quot;??_-;_-@_-"/>
    <numFmt numFmtId="165" formatCode="_ [$$-340A]* #,##0.00_ ;_ [$$-340A]* \-#,##0.00_ ;_ [$$-340A]* &quot;-&quot;??_ ;_ @_ "/>
    <numFmt numFmtId="166" formatCode="_ [$$-340A]* #,##0_ ;_ [$$-340A]* \-#,##0_ ;_ [$$-340A]* &quot;-&quot;??_ ;_ @_ "/>
    <numFmt numFmtId="167" formatCode="_-[$$-80A]* #,##0_-;\-[$$-80A]* #,##0_-;_-[$$-80A]* &quot;-&quot;??_-;_-@_-"/>
    <numFmt numFmtId="168" formatCode="_-* #,##0.0_-;\-* #,##0.0_-;_-* &quot;-&quot;??_-;_-@_-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66" fontId="0" fillId="0" borderId="0" xfId="0" applyNumberFormat="1"/>
    <xf numFmtId="166" fontId="0" fillId="0" borderId="1" xfId="0" applyNumberFormat="1" applyBorder="1"/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66" fontId="0" fillId="4" borderId="1" xfId="0" applyNumberFormat="1" applyFill="1" applyBorder="1"/>
    <xf numFmtId="0" fontId="0" fillId="4" borderId="1" xfId="0" applyFill="1" applyBorder="1" applyAlignment="1">
      <alignment horizontal="left" vertical="top"/>
    </xf>
    <xf numFmtId="165" fontId="0" fillId="4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0" fontId="0" fillId="3" borderId="1" xfId="0" applyFill="1" applyBorder="1" applyAlignment="1">
      <alignment horizontal="center" vertical="top"/>
    </xf>
    <xf numFmtId="9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167" fontId="0" fillId="3" borderId="5" xfId="0" applyNumberFormat="1" applyFill="1" applyBorder="1"/>
    <xf numFmtId="14" fontId="0" fillId="0" borderId="0" xfId="0" applyNumberFormat="1"/>
    <xf numFmtId="10" fontId="0" fillId="0" borderId="0" xfId="0" applyNumberFormat="1"/>
    <xf numFmtId="168" fontId="0" fillId="0" borderId="0" xfId="1" applyNumberFormat="1" applyFont="1"/>
    <xf numFmtId="42" fontId="0" fillId="0" borderId="1" xfId="3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5" fillId="0" borderId="0" xfId="0" applyNumberFormat="1" applyFont="1"/>
    <xf numFmtId="0" fontId="0" fillId="4" borderId="3" xfId="0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42" fontId="0" fillId="0" borderId="0" xfId="3" applyFont="1"/>
    <xf numFmtId="0" fontId="2" fillId="2" borderId="0" xfId="0" applyFont="1" applyFill="1" applyAlignment="1">
      <alignment horizontal="center"/>
    </xf>
    <xf numFmtId="169" fontId="0" fillId="4" borderId="1" xfId="2" applyNumberFormat="1" applyFont="1" applyFill="1" applyBorder="1"/>
    <xf numFmtId="9" fontId="0" fillId="3" borderId="1" xfId="0" applyNumberForma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4">
    <cellStyle name="Millares" xfId="1" builtinId="3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663513</xdr:colOff>
      <xdr:row>38</xdr:row>
      <xdr:rowOff>171904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37717F-DAC2-6A7C-C70A-FBEADA7E4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57375"/>
          <a:ext cx="6614733" cy="52353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431387</xdr:colOff>
      <xdr:row>46</xdr:row>
      <xdr:rowOff>72867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2C001F-3EDB-E664-1DA2-6E12E8987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486150"/>
          <a:ext cx="9891617" cy="550211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B8A6-8546-410A-8AAA-47D7B380FCCE}">
  <dimension ref="B2:G9"/>
  <sheetViews>
    <sheetView workbookViewId="0">
      <selection activeCell="C6" sqref="C6"/>
    </sheetView>
  </sheetViews>
  <sheetFormatPr baseColWidth="10" defaultRowHeight="14.4" x14ac:dyDescent="0.3"/>
  <cols>
    <col min="2" max="2" width="27.109375" bestFit="1" customWidth="1"/>
    <col min="3" max="5" width="15.5546875" bestFit="1" customWidth="1"/>
    <col min="6" max="6" width="13" bestFit="1" customWidth="1"/>
    <col min="7" max="7" width="14.5546875" bestFit="1" customWidth="1"/>
  </cols>
  <sheetData>
    <row r="2" spans="2:7" ht="18" x14ac:dyDescent="0.35">
      <c r="B2" s="33" t="s">
        <v>0</v>
      </c>
      <c r="C2" s="34"/>
      <c r="D2" s="34"/>
      <c r="E2" s="34"/>
      <c r="F2" s="34"/>
      <c r="G2" s="34"/>
    </row>
    <row r="3" spans="2:7" x14ac:dyDescent="0.3">
      <c r="B3" s="1"/>
      <c r="C3" s="2" t="s">
        <v>1</v>
      </c>
      <c r="D3" s="3" t="s">
        <v>2</v>
      </c>
      <c r="E3" s="2" t="s">
        <v>3</v>
      </c>
      <c r="F3" s="2" t="s">
        <v>53</v>
      </c>
      <c r="G3" s="3" t="s">
        <v>54</v>
      </c>
    </row>
    <row r="4" spans="2:7" x14ac:dyDescent="0.3">
      <c r="B4" s="1" t="s">
        <v>4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2:7" x14ac:dyDescent="0.3">
      <c r="B5" s="1" t="s">
        <v>63</v>
      </c>
      <c r="C5" s="6">
        <f>1800000</f>
        <v>1800000</v>
      </c>
      <c r="D5" s="6">
        <f>C5*1.047</f>
        <v>1884599.9999999998</v>
      </c>
      <c r="E5" s="6">
        <f t="shared" ref="E5:G5" si="0">D5*1.047</f>
        <v>1973176.1999999997</v>
      </c>
      <c r="F5" s="6">
        <f t="shared" si="0"/>
        <v>2065915.4813999995</v>
      </c>
      <c r="G5" s="6">
        <f t="shared" si="0"/>
        <v>2163013.5090257991</v>
      </c>
    </row>
    <row r="6" spans="2:7" x14ac:dyDescent="0.3">
      <c r="B6" s="1" t="s">
        <v>5</v>
      </c>
      <c r="C6" s="6">
        <f>C5*C4</f>
        <v>1800000</v>
      </c>
      <c r="D6" s="6">
        <f>D5*D4</f>
        <v>1884599.9999999998</v>
      </c>
      <c r="E6" s="6">
        <f t="shared" ref="E6:G6" si="1">E5*E4</f>
        <v>1973176.1999999997</v>
      </c>
      <c r="F6" s="6">
        <f t="shared" si="1"/>
        <v>2065915.4813999995</v>
      </c>
      <c r="G6" s="6">
        <f t="shared" si="1"/>
        <v>2163013.5090257991</v>
      </c>
    </row>
    <row r="7" spans="2:7" x14ac:dyDescent="0.3">
      <c r="B7" s="1" t="s">
        <v>6</v>
      </c>
      <c r="C7" s="6">
        <f>C6*12</f>
        <v>21600000</v>
      </c>
      <c r="D7" s="6">
        <f>D6*12</f>
        <v>22615199.999999996</v>
      </c>
      <c r="E7" s="6">
        <f>E6*12</f>
        <v>23678114.399999999</v>
      </c>
      <c r="F7" s="6">
        <f t="shared" ref="F7:G7" si="2">F6*12</f>
        <v>24790985.776799992</v>
      </c>
      <c r="G7" s="6">
        <f t="shared" si="2"/>
        <v>25956162.108309589</v>
      </c>
    </row>
    <row r="9" spans="2:7" x14ac:dyDescent="0.3">
      <c r="B9" s="1" t="s">
        <v>62</v>
      </c>
    </row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013A-A11D-457E-B343-F40CAD5894EF}">
  <dimension ref="B2:H16"/>
  <sheetViews>
    <sheetView workbookViewId="0">
      <selection activeCell="F8" sqref="F8"/>
    </sheetView>
  </sheetViews>
  <sheetFormatPr baseColWidth="10" defaultRowHeight="14.4" x14ac:dyDescent="0.3"/>
  <cols>
    <col min="2" max="2" width="29.109375" customWidth="1"/>
    <col min="3" max="3" width="27.109375" bestFit="1" customWidth="1"/>
    <col min="5" max="5" width="19.109375" customWidth="1"/>
    <col min="6" max="6" width="16" customWidth="1"/>
  </cols>
  <sheetData>
    <row r="2" spans="2:8" ht="18" x14ac:dyDescent="0.35">
      <c r="B2" s="35" t="s">
        <v>7</v>
      </c>
      <c r="C2" s="35"/>
      <c r="D2" s="35"/>
      <c r="E2" s="35"/>
      <c r="F2" s="35"/>
    </row>
    <row r="3" spans="2:8" x14ac:dyDescent="0.3">
      <c r="B3" s="15" t="s">
        <v>8</v>
      </c>
      <c r="C3" s="15" t="s">
        <v>9</v>
      </c>
      <c r="D3" s="15" t="s">
        <v>10</v>
      </c>
      <c r="E3" s="15" t="s">
        <v>12</v>
      </c>
      <c r="F3" s="15" t="s">
        <v>13</v>
      </c>
      <c r="H3" s="7"/>
    </row>
    <row r="4" spans="2:8" x14ac:dyDescent="0.3">
      <c r="B4" s="1" t="s">
        <v>64</v>
      </c>
      <c r="C4" s="1" t="s">
        <v>65</v>
      </c>
      <c r="D4" s="1">
        <v>1</v>
      </c>
      <c r="E4" s="6">
        <v>20000000</v>
      </c>
      <c r="F4" s="6">
        <f>E4*D4</f>
        <v>20000000</v>
      </c>
    </row>
    <row r="5" spans="2:8" x14ac:dyDescent="0.3">
      <c r="B5" s="1"/>
      <c r="C5" s="1"/>
      <c r="D5" s="1"/>
      <c r="E5" s="6"/>
      <c r="F5" s="6"/>
    </row>
    <row r="6" spans="2:8" x14ac:dyDescent="0.3">
      <c r="B6" s="1"/>
      <c r="C6" s="1"/>
      <c r="D6" s="1"/>
      <c r="E6" s="6"/>
      <c r="F6" s="6"/>
    </row>
    <row r="7" spans="2:8" x14ac:dyDescent="0.3">
      <c r="B7" s="1"/>
      <c r="C7" s="1"/>
      <c r="D7" s="1"/>
      <c r="E7" s="6"/>
      <c r="F7" s="6"/>
    </row>
    <row r="8" spans="2:8" x14ac:dyDescent="0.3">
      <c r="B8" s="13" t="s">
        <v>17</v>
      </c>
      <c r="C8" s="13"/>
      <c r="D8" s="13">
        <f>SUM(D4:D7)</f>
        <v>1</v>
      </c>
      <c r="E8" s="14">
        <f>SUM(E4:E7)</f>
        <v>20000000</v>
      </c>
      <c r="F8" s="14">
        <f>SUM(F4:F7)</f>
        <v>20000000</v>
      </c>
    </row>
    <row r="11" spans="2:8" x14ac:dyDescent="0.3">
      <c r="G11" t="s">
        <v>22</v>
      </c>
      <c r="H11">
        <v>38172</v>
      </c>
    </row>
    <row r="15" spans="2:8" x14ac:dyDescent="0.3">
      <c r="C15" t="s">
        <v>46</v>
      </c>
      <c r="D15" t="s">
        <v>47</v>
      </c>
      <c r="E15" t="s">
        <v>48</v>
      </c>
      <c r="F15" t="s">
        <v>49</v>
      </c>
      <c r="G15" t="s">
        <v>50</v>
      </c>
    </row>
    <row r="16" spans="2:8" x14ac:dyDescent="0.3">
      <c r="C16">
        <v>3</v>
      </c>
      <c r="D16">
        <v>65</v>
      </c>
      <c r="E16">
        <v>2.5</v>
      </c>
      <c r="F16">
        <f>D16*E16*C16</f>
        <v>487.5</v>
      </c>
      <c r="G16" s="29">
        <f>F16*H11</f>
        <v>18608850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D5E8-8F03-46CA-B589-2D1322C118A3}">
  <dimension ref="B1:M20"/>
  <sheetViews>
    <sheetView showGridLines="0" tabSelected="1" workbookViewId="0">
      <selection activeCell="J26" sqref="J26"/>
    </sheetView>
  </sheetViews>
  <sheetFormatPr baseColWidth="10" defaultRowHeight="14.4" x14ac:dyDescent="0.3"/>
  <cols>
    <col min="2" max="2" width="65.109375" bestFit="1" customWidth="1"/>
    <col min="4" max="4" width="14.6640625" customWidth="1"/>
    <col min="5" max="5" width="14.109375" customWidth="1"/>
    <col min="6" max="6" width="16" customWidth="1"/>
    <col min="7" max="9" width="16.33203125" customWidth="1"/>
    <col min="10" max="10" width="2.109375" customWidth="1"/>
  </cols>
  <sheetData>
    <row r="1" spans="2:13" x14ac:dyDescent="0.3">
      <c r="L1" s="19">
        <v>45076</v>
      </c>
    </row>
    <row r="2" spans="2:13" ht="18" x14ac:dyDescent="0.35">
      <c r="B2" s="35" t="s">
        <v>16</v>
      </c>
      <c r="C2" s="35"/>
      <c r="D2" s="35"/>
      <c r="E2" s="35"/>
      <c r="F2" s="35"/>
      <c r="G2" s="35"/>
      <c r="H2" s="30"/>
      <c r="I2" s="30"/>
      <c r="K2" s="9" t="s">
        <v>22</v>
      </c>
      <c r="L2" s="10">
        <v>38172</v>
      </c>
    </row>
    <row r="3" spans="2:13" x14ac:dyDescent="0.3">
      <c r="B3" s="4" t="s">
        <v>14</v>
      </c>
      <c r="C3" s="4" t="s">
        <v>10</v>
      </c>
      <c r="D3" s="4" t="s">
        <v>11</v>
      </c>
      <c r="E3" s="4" t="s">
        <v>15</v>
      </c>
      <c r="F3" s="4" t="s">
        <v>66</v>
      </c>
      <c r="G3" s="4" t="s">
        <v>67</v>
      </c>
      <c r="H3" s="4" t="s">
        <v>68</v>
      </c>
      <c r="I3" s="4" t="s">
        <v>69</v>
      </c>
      <c r="K3" s="11" t="s">
        <v>23</v>
      </c>
      <c r="L3" s="12">
        <v>977.93</v>
      </c>
    </row>
    <row r="4" spans="2:13" x14ac:dyDescent="0.3">
      <c r="B4" s="1" t="s">
        <v>61</v>
      </c>
      <c r="C4" s="1">
        <v>1</v>
      </c>
      <c r="D4" s="6">
        <f>49874*C4</f>
        <v>49874</v>
      </c>
      <c r="E4" s="6">
        <f>D4*12</f>
        <v>598488</v>
      </c>
      <c r="F4" s="6">
        <f t="shared" ref="F4:I7" si="0">E4*(1+$L$4)</f>
        <v>626616.93599999999</v>
      </c>
      <c r="G4" s="6">
        <f t="shared" si="0"/>
        <v>656067.93199199997</v>
      </c>
      <c r="H4" s="6">
        <f t="shared" si="0"/>
        <v>686903.12479562394</v>
      </c>
      <c r="I4" s="6">
        <f t="shared" si="0"/>
        <v>719187.57166101818</v>
      </c>
      <c r="K4" s="9" t="s">
        <v>73</v>
      </c>
      <c r="L4" s="31">
        <v>4.7E-2</v>
      </c>
    </row>
    <row r="5" spans="2:13" x14ac:dyDescent="0.3">
      <c r="B5" s="1" t="s">
        <v>52</v>
      </c>
      <c r="C5" s="1">
        <v>1</v>
      </c>
      <c r="D5" s="6">
        <f>10757*C5</f>
        <v>10757</v>
      </c>
      <c r="E5" s="6">
        <f>D5*12</f>
        <v>129084</v>
      </c>
      <c r="F5" s="6">
        <f t="shared" si="0"/>
        <v>135150.948</v>
      </c>
      <c r="G5" s="6">
        <f t="shared" si="0"/>
        <v>141503.042556</v>
      </c>
      <c r="H5" s="6">
        <f t="shared" si="0"/>
        <v>148153.685556132</v>
      </c>
      <c r="I5" s="6">
        <f t="shared" si="0"/>
        <v>155116.9087772702</v>
      </c>
    </row>
    <row r="6" spans="2:13" x14ac:dyDescent="0.3">
      <c r="B6" s="1" t="s">
        <v>51</v>
      </c>
      <c r="C6" s="1">
        <v>1</v>
      </c>
      <c r="D6" s="6">
        <f>49874*C6</f>
        <v>49874</v>
      </c>
      <c r="E6" s="6">
        <f>D6</f>
        <v>49874</v>
      </c>
      <c r="F6" s="6">
        <f t="shared" si="0"/>
        <v>52218.077999999994</v>
      </c>
      <c r="G6" s="6">
        <f t="shared" si="0"/>
        <v>54672.32766599999</v>
      </c>
      <c r="H6" s="6">
        <f t="shared" si="0"/>
        <v>57241.927066301985</v>
      </c>
      <c r="I6" s="6">
        <f t="shared" si="0"/>
        <v>59932.297638418175</v>
      </c>
    </row>
    <row r="7" spans="2:13" x14ac:dyDescent="0.3">
      <c r="B7" s="1" t="s">
        <v>71</v>
      </c>
      <c r="C7" s="1">
        <v>1</v>
      </c>
      <c r="D7" s="6">
        <v>250000</v>
      </c>
      <c r="E7" s="6">
        <f>D7*12</f>
        <v>3000000</v>
      </c>
      <c r="F7" s="6">
        <f t="shared" si="0"/>
        <v>3141000</v>
      </c>
      <c r="G7" s="6">
        <f t="shared" si="0"/>
        <v>3288627</v>
      </c>
      <c r="H7" s="6">
        <f t="shared" si="0"/>
        <v>3443192.4689999996</v>
      </c>
      <c r="I7" s="6">
        <f t="shared" si="0"/>
        <v>3605022.5150429993</v>
      </c>
    </row>
    <row r="8" spans="2:13" x14ac:dyDescent="0.3">
      <c r="B8" s="1" t="s">
        <v>72</v>
      </c>
      <c r="C8" s="1">
        <v>1</v>
      </c>
      <c r="D8" s="6">
        <f>((2.5*65)*3)*$L$2</f>
        <v>18608850</v>
      </c>
      <c r="E8" s="6">
        <f>D8</f>
        <v>18608850</v>
      </c>
      <c r="F8" s="6"/>
      <c r="G8" s="6"/>
      <c r="H8" s="6"/>
      <c r="I8" s="6"/>
    </row>
    <row r="9" spans="2:13" x14ac:dyDescent="0.3">
      <c r="B9" s="1"/>
      <c r="C9" s="1"/>
      <c r="D9" s="6"/>
      <c r="E9" s="6"/>
      <c r="F9" s="6"/>
      <c r="G9" s="6"/>
      <c r="H9" s="6"/>
      <c r="I9" s="6"/>
    </row>
    <row r="10" spans="2:13" x14ac:dyDescent="0.3">
      <c r="B10" s="1"/>
      <c r="C10" s="1"/>
      <c r="D10" s="6"/>
      <c r="E10" s="6"/>
      <c r="F10" s="6"/>
      <c r="G10" s="6"/>
      <c r="H10" s="6"/>
      <c r="I10" s="6"/>
    </row>
    <row r="11" spans="2:13" x14ac:dyDescent="0.3">
      <c r="B11" s="1"/>
      <c r="C11" s="1"/>
      <c r="D11" s="6"/>
      <c r="E11" s="6"/>
      <c r="F11" s="6"/>
      <c r="G11" s="6"/>
      <c r="H11" s="6"/>
      <c r="I11" s="6"/>
    </row>
    <row r="12" spans="2:13" x14ac:dyDescent="0.3">
      <c r="B12" s="1"/>
      <c r="C12" s="1"/>
      <c r="D12" s="6"/>
      <c r="E12" s="6"/>
      <c r="F12" s="6"/>
      <c r="G12" s="6"/>
      <c r="H12" s="6"/>
      <c r="I12" s="6"/>
    </row>
    <row r="13" spans="2:13" x14ac:dyDescent="0.3">
      <c r="B13" s="13" t="s">
        <v>24</v>
      </c>
      <c r="C13" s="13"/>
      <c r="D13" s="14">
        <f>SUM(D4:D12)</f>
        <v>18969355</v>
      </c>
      <c r="E13" s="14">
        <f>SUM(E4:E12)</f>
        <v>22386296</v>
      </c>
      <c r="F13" s="14">
        <f>(F4+F5+F6)</f>
        <v>813985.96199999994</v>
      </c>
      <c r="G13" s="14">
        <f>F13*(1+$L$4)</f>
        <v>852243.30221399991</v>
      </c>
      <c r="H13" s="14">
        <f>G13*(1+$L$4)</f>
        <v>892298.73741805786</v>
      </c>
      <c r="I13" s="14">
        <f>H13*(1+$L$4)</f>
        <v>934236.77807670657</v>
      </c>
    </row>
    <row r="15" spans="2:13" x14ac:dyDescent="0.3">
      <c r="L15" t="s">
        <v>23</v>
      </c>
      <c r="M15" t="s">
        <v>50</v>
      </c>
    </row>
    <row r="16" spans="2:13" x14ac:dyDescent="0.3">
      <c r="L16">
        <v>51</v>
      </c>
      <c r="M16" s="29">
        <f>L16*$L$3</f>
        <v>49874.43</v>
      </c>
    </row>
    <row r="17" spans="12:13" x14ac:dyDescent="0.3">
      <c r="L17">
        <v>11</v>
      </c>
      <c r="M17" s="29">
        <f t="shared" ref="M17:M18" si="1">L17*$L$3</f>
        <v>10757.23</v>
      </c>
    </row>
    <row r="18" spans="12:13" x14ac:dyDescent="0.3">
      <c r="L18">
        <v>69</v>
      </c>
      <c r="M18" s="29">
        <f t="shared" si="1"/>
        <v>67477.17</v>
      </c>
    </row>
    <row r="20" spans="12:13" x14ac:dyDescent="0.3">
      <c r="L20" s="5"/>
    </row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AA-6431-4866-BA2F-D2BDE68CDC03}">
  <dimension ref="B2:P24"/>
  <sheetViews>
    <sheetView workbookViewId="0">
      <selection activeCell="C5" sqref="C5"/>
    </sheetView>
  </sheetViews>
  <sheetFormatPr baseColWidth="10" defaultRowHeight="14.4" x14ac:dyDescent="0.3"/>
  <cols>
    <col min="2" max="2" width="56.88671875" customWidth="1"/>
    <col min="3" max="3" width="17.5546875" customWidth="1"/>
    <col min="4" max="4" width="20.33203125" customWidth="1"/>
    <col min="5" max="5" width="15" bestFit="1" customWidth="1"/>
    <col min="6" max="8" width="12" bestFit="1" customWidth="1"/>
  </cols>
  <sheetData>
    <row r="2" spans="2:16" ht="18" x14ac:dyDescent="0.35">
      <c r="B2" s="36" t="s">
        <v>18</v>
      </c>
      <c r="C2" s="37"/>
      <c r="D2" s="37"/>
      <c r="E2" s="37"/>
      <c r="F2" s="37"/>
      <c r="G2" s="37"/>
      <c r="H2" s="38"/>
    </row>
    <row r="3" spans="2:16" x14ac:dyDescent="0.3">
      <c r="B3" s="13" t="s">
        <v>9</v>
      </c>
      <c r="C3" s="13" t="s">
        <v>42</v>
      </c>
      <c r="D3" s="13" t="s">
        <v>19</v>
      </c>
      <c r="E3" s="13" t="s">
        <v>20</v>
      </c>
      <c r="F3" s="13" t="s">
        <v>1</v>
      </c>
      <c r="G3" s="13" t="s">
        <v>21</v>
      </c>
      <c r="H3" s="13" t="s">
        <v>3</v>
      </c>
      <c r="I3" s="13" t="s">
        <v>53</v>
      </c>
      <c r="J3" s="13" t="s">
        <v>54</v>
      </c>
      <c r="K3" s="13" t="s">
        <v>55</v>
      </c>
      <c r="L3" s="13" t="s">
        <v>56</v>
      </c>
      <c r="M3" s="13" t="s">
        <v>57</v>
      </c>
      <c r="N3" s="13" t="s">
        <v>58</v>
      </c>
      <c r="O3" s="13" t="s">
        <v>59</v>
      </c>
      <c r="P3" s="13" t="s">
        <v>60</v>
      </c>
    </row>
    <row r="4" spans="2:16" x14ac:dyDescent="0.3">
      <c r="B4" s="1"/>
      <c r="C4" s="6"/>
      <c r="D4" s="8"/>
      <c r="E4" s="24"/>
      <c r="F4" s="24"/>
      <c r="G4" s="24"/>
      <c r="H4" s="23"/>
      <c r="I4" s="23"/>
      <c r="J4" s="23"/>
      <c r="K4" s="23"/>
      <c r="L4" s="23"/>
      <c r="M4" s="23"/>
      <c r="N4" s="23"/>
      <c r="O4" s="23"/>
      <c r="P4" s="23"/>
    </row>
    <row r="5" spans="2:16" x14ac:dyDescent="0.3">
      <c r="B5" s="1"/>
      <c r="C5" s="6"/>
      <c r="D5" s="8"/>
      <c r="E5" s="24"/>
      <c r="F5" s="24"/>
      <c r="G5" s="24"/>
      <c r="H5" s="23"/>
      <c r="I5" s="23"/>
      <c r="J5" s="23"/>
      <c r="K5" s="23"/>
      <c r="L5" s="23"/>
      <c r="M5" s="23"/>
      <c r="N5" s="23"/>
      <c r="O5" s="23"/>
      <c r="P5" s="23"/>
    </row>
    <row r="6" spans="2:16" x14ac:dyDescent="0.3">
      <c r="B6" s="1"/>
      <c r="C6" s="6"/>
      <c r="D6" s="8"/>
      <c r="E6" s="24"/>
      <c r="F6" s="24"/>
      <c r="G6" s="24"/>
      <c r="H6" s="23"/>
      <c r="I6" s="23"/>
      <c r="J6" s="23"/>
      <c r="K6" s="23"/>
      <c r="L6" s="23"/>
      <c r="M6" s="23"/>
      <c r="N6" s="23"/>
      <c r="O6" s="23"/>
      <c r="P6" s="23"/>
    </row>
    <row r="7" spans="2:16" x14ac:dyDescent="0.3">
      <c r="B7" s="1"/>
      <c r="C7" s="6"/>
      <c r="D7" s="8"/>
      <c r="E7" s="24"/>
      <c r="F7" s="24"/>
      <c r="G7" s="24"/>
      <c r="H7" s="23"/>
      <c r="I7" s="23"/>
      <c r="J7" s="23"/>
      <c r="K7" s="23"/>
      <c r="L7" s="23"/>
      <c r="M7" s="23"/>
      <c r="N7" s="23"/>
      <c r="O7" s="23"/>
      <c r="P7" s="23"/>
    </row>
    <row r="8" spans="2:16" x14ac:dyDescent="0.3">
      <c r="B8" s="1"/>
      <c r="C8" s="6"/>
      <c r="D8" s="8"/>
      <c r="E8" s="24"/>
      <c r="F8" s="24"/>
      <c r="G8" s="24"/>
      <c r="H8" s="23"/>
      <c r="I8" s="23"/>
      <c r="J8" s="23"/>
      <c r="K8" s="23"/>
      <c r="L8" s="23"/>
      <c r="M8" s="23"/>
      <c r="N8" s="23"/>
      <c r="O8" s="23"/>
      <c r="P8" s="23"/>
    </row>
    <row r="9" spans="2:16" x14ac:dyDescent="0.3">
      <c r="B9" s="1"/>
      <c r="C9" s="6"/>
      <c r="D9" s="8"/>
      <c r="E9" s="24"/>
      <c r="F9" s="24"/>
      <c r="G9" s="24"/>
      <c r="H9" s="23"/>
      <c r="I9" s="23"/>
      <c r="J9" s="23"/>
      <c r="K9" s="23"/>
      <c r="L9" s="23"/>
      <c r="M9" s="23"/>
      <c r="N9" s="23"/>
      <c r="O9" s="23"/>
      <c r="P9" s="23"/>
    </row>
    <row r="10" spans="2:16" x14ac:dyDescent="0.3">
      <c r="B10" s="1"/>
      <c r="C10" s="6"/>
      <c r="D10" s="8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3"/>
    </row>
    <row r="11" spans="2:16" x14ac:dyDescent="0.3">
      <c r="B11" s="1"/>
      <c r="C11" s="6"/>
      <c r="D11" s="8"/>
      <c r="E11" s="24"/>
      <c r="F11" s="24"/>
      <c r="G11" s="24"/>
      <c r="H11" s="23"/>
      <c r="I11" s="23"/>
      <c r="J11" s="23"/>
      <c r="K11" s="23"/>
      <c r="L11" s="23"/>
      <c r="M11" s="23"/>
      <c r="N11" s="23"/>
      <c r="O11" s="23"/>
      <c r="P11" s="23"/>
    </row>
    <row r="12" spans="2:16" x14ac:dyDescent="0.3">
      <c r="B12" s="1"/>
      <c r="C12" s="6"/>
      <c r="D12" s="8"/>
      <c r="E12" s="24"/>
      <c r="F12" s="24"/>
      <c r="G12" s="24"/>
      <c r="H12" s="23"/>
      <c r="I12" s="23"/>
      <c r="J12" s="23"/>
      <c r="K12" s="23"/>
      <c r="L12" s="23"/>
      <c r="M12" s="23"/>
      <c r="N12" s="23"/>
      <c r="O12" s="23"/>
      <c r="P12" s="23"/>
    </row>
    <row r="13" spans="2:16" x14ac:dyDescent="0.3">
      <c r="B13" s="1"/>
      <c r="C13" s="6"/>
      <c r="D13" s="8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x14ac:dyDescent="0.3">
      <c r="B14" s="1"/>
      <c r="C14" s="6"/>
      <c r="D14" s="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2:16" x14ac:dyDescent="0.3">
      <c r="B15" s="1"/>
      <c r="C15" s="6"/>
      <c r="D15" s="8"/>
      <c r="E15" s="24"/>
      <c r="F15" s="24"/>
      <c r="G15" s="24"/>
      <c r="H15" s="23"/>
      <c r="I15" s="23"/>
      <c r="J15" s="23"/>
      <c r="K15" s="23"/>
      <c r="L15" s="23"/>
      <c r="M15" s="23"/>
      <c r="N15" s="23"/>
      <c r="O15" s="23"/>
      <c r="P15" s="23"/>
    </row>
    <row r="16" spans="2:16" x14ac:dyDescent="0.3">
      <c r="B16" s="1"/>
      <c r="C16" s="6"/>
      <c r="D16" s="8"/>
      <c r="E16" s="2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2:16" x14ac:dyDescent="0.3">
      <c r="B17" s="1"/>
      <c r="C17" s="6"/>
      <c r="D17" s="8"/>
      <c r="E17" s="24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2:16" x14ac:dyDescent="0.3">
      <c r="B18" s="1"/>
      <c r="C18" s="6"/>
      <c r="D18" s="8"/>
      <c r="E18" s="2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2:16" x14ac:dyDescent="0.3">
      <c r="B19" s="1"/>
      <c r="C19" s="6"/>
      <c r="D19" s="8"/>
      <c r="E19" s="2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2:16" x14ac:dyDescent="0.3">
      <c r="B20" s="13" t="s">
        <v>25</v>
      </c>
      <c r="C20" s="13"/>
      <c r="D20" s="13"/>
      <c r="E20" s="14">
        <f>SUM(E4:E19)</f>
        <v>0</v>
      </c>
      <c r="F20" s="14">
        <f>SUM(F4:F19)</f>
        <v>0</v>
      </c>
      <c r="G20" s="14">
        <f>SUM(G4:G19)</f>
        <v>0</v>
      </c>
      <c r="H20" s="14">
        <f>SUM(H4:H19)</f>
        <v>0</v>
      </c>
      <c r="I20" s="14">
        <f t="shared" ref="I20:P20" si="0">SUM(I4:I19)</f>
        <v>0</v>
      </c>
      <c r="J20" s="14">
        <f t="shared" si="0"/>
        <v>0</v>
      </c>
      <c r="K20" s="14">
        <f t="shared" si="0"/>
        <v>0</v>
      </c>
      <c r="L20" s="14">
        <f t="shared" si="0"/>
        <v>0</v>
      </c>
      <c r="M20" s="14">
        <f t="shared" si="0"/>
        <v>0</v>
      </c>
      <c r="N20" s="14">
        <f t="shared" si="0"/>
        <v>0</v>
      </c>
      <c r="O20" s="14">
        <f t="shared" si="0"/>
        <v>0</v>
      </c>
      <c r="P20" s="14">
        <f t="shared" si="0"/>
        <v>0</v>
      </c>
    </row>
    <row r="22" spans="2:16" ht="0.75" customHeight="1" x14ac:dyDescent="0.3"/>
    <row r="23" spans="2:16" x14ac:dyDescent="0.3">
      <c r="B23" t="s">
        <v>43</v>
      </c>
    </row>
    <row r="24" spans="2:16" x14ac:dyDescent="0.3">
      <c r="B24" t="s">
        <v>44</v>
      </c>
    </row>
  </sheetData>
  <mergeCells count="1">
    <mergeCell ref="B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9884-A9F9-4B15-A6C6-A43A2FEDB9EC}">
  <dimension ref="B2:I40"/>
  <sheetViews>
    <sheetView showGridLines="0" workbookViewId="0">
      <selection activeCell="G28" sqref="G28"/>
    </sheetView>
  </sheetViews>
  <sheetFormatPr baseColWidth="10" defaultRowHeight="14.4" x14ac:dyDescent="0.3"/>
  <cols>
    <col min="1" max="1" width="12.5546875" customWidth="1"/>
    <col min="2" max="2" width="4.44140625" customWidth="1"/>
    <col min="3" max="3" width="31.33203125" customWidth="1"/>
    <col min="4" max="4" width="13.44140625" bestFit="1" customWidth="1"/>
    <col min="5" max="5" width="12.6640625" bestFit="1" customWidth="1"/>
    <col min="6" max="9" width="12" bestFit="1" customWidth="1"/>
  </cols>
  <sheetData>
    <row r="2" spans="2:9" ht="15.6" x14ac:dyDescent="0.3">
      <c r="C2" s="39" t="s">
        <v>45</v>
      </c>
      <c r="D2" s="39"/>
      <c r="E2" s="39"/>
      <c r="F2" s="39"/>
      <c r="G2" s="39"/>
      <c r="H2" s="39"/>
      <c r="I2" s="39"/>
    </row>
    <row r="3" spans="2:9" x14ac:dyDescent="0.3">
      <c r="C3" s="1"/>
      <c r="D3" s="17" t="s">
        <v>37</v>
      </c>
      <c r="E3" s="17" t="s">
        <v>1</v>
      </c>
      <c r="F3" s="17" t="s">
        <v>2</v>
      </c>
      <c r="G3" s="17" t="s">
        <v>3</v>
      </c>
      <c r="H3" s="17" t="s">
        <v>53</v>
      </c>
      <c r="I3" s="17" t="s">
        <v>54</v>
      </c>
    </row>
    <row r="4" spans="2:9" x14ac:dyDescent="0.3">
      <c r="C4" s="1"/>
      <c r="D4" s="6"/>
      <c r="E4" s="6"/>
      <c r="F4" s="6"/>
      <c r="G4" s="6"/>
      <c r="H4" s="6"/>
      <c r="I4" s="6"/>
    </row>
    <row r="5" spans="2:9" x14ac:dyDescent="0.3">
      <c r="C5" s="1" t="s">
        <v>26</v>
      </c>
      <c r="D5" s="6"/>
      <c r="E5" s="6">
        <f>Ingresos!C7</f>
        <v>21600000</v>
      </c>
      <c r="F5" s="6">
        <f>Ingresos!D7</f>
        <v>22615199.999999996</v>
      </c>
      <c r="G5" s="6">
        <f>Ingresos!E7</f>
        <v>23678114.399999999</v>
      </c>
      <c r="H5" s="6">
        <f>Ingresos!F7</f>
        <v>24790985.776799992</v>
      </c>
      <c r="I5" s="6">
        <f>Ingresos!G7</f>
        <v>25956162.108309589</v>
      </c>
    </row>
    <row r="6" spans="2:9" x14ac:dyDescent="0.3">
      <c r="C6" s="1"/>
      <c r="D6" s="6"/>
      <c r="E6" s="6"/>
      <c r="F6" s="6"/>
      <c r="G6" s="6"/>
      <c r="H6" s="6"/>
      <c r="I6" s="6"/>
    </row>
    <row r="7" spans="2:9" x14ac:dyDescent="0.3">
      <c r="C7" s="1" t="s">
        <v>27</v>
      </c>
      <c r="D7" s="6"/>
      <c r="E7" s="6">
        <f>Costos!E13</f>
        <v>22386296</v>
      </c>
      <c r="F7" s="6">
        <f>Costos!F13</f>
        <v>813985.96199999994</v>
      </c>
      <c r="G7" s="6">
        <f>Costos!G13</f>
        <v>852243.30221399991</v>
      </c>
      <c r="H7" s="6">
        <f>Costos!H13</f>
        <v>892298.73741805786</v>
      </c>
      <c r="I7" s="6">
        <f>Costos!I13</f>
        <v>934236.77807670657</v>
      </c>
    </row>
    <row r="8" spans="2:9" x14ac:dyDescent="0.3">
      <c r="C8" s="1" t="s">
        <v>28</v>
      </c>
      <c r="D8" s="6"/>
      <c r="E8" s="6">
        <f>E5-E7</f>
        <v>-786296</v>
      </c>
      <c r="F8" s="6">
        <f t="shared" ref="F8:G8" si="0">F5-F7</f>
        <v>21801214.037999995</v>
      </c>
      <c r="G8" s="6">
        <f t="shared" si="0"/>
        <v>22825871.097785998</v>
      </c>
      <c r="H8" s="6">
        <f t="shared" ref="H8:I8" si="1">H5-H7</f>
        <v>23898687.039381932</v>
      </c>
      <c r="I8" s="6">
        <f t="shared" si="1"/>
        <v>25021925.330232881</v>
      </c>
    </row>
    <row r="9" spans="2:9" x14ac:dyDescent="0.3">
      <c r="C9" s="1" t="s">
        <v>29</v>
      </c>
      <c r="D9" s="6"/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2:9" x14ac:dyDescent="0.3">
      <c r="C10" s="1" t="s">
        <v>30</v>
      </c>
      <c r="D10" s="6"/>
      <c r="E10" s="6">
        <f>E8-E9</f>
        <v>-786296</v>
      </c>
      <c r="F10" s="6">
        <f t="shared" ref="F10:G10" si="2">F8-F9</f>
        <v>21801214.037999995</v>
      </c>
      <c r="G10" s="6">
        <f t="shared" si="2"/>
        <v>22825871.097785998</v>
      </c>
      <c r="H10" s="6">
        <f t="shared" ref="H10:I10" si="3">H8-H9</f>
        <v>23898687.039381932</v>
      </c>
      <c r="I10" s="6">
        <f t="shared" si="3"/>
        <v>25021925.330232881</v>
      </c>
    </row>
    <row r="11" spans="2:9" x14ac:dyDescent="0.3">
      <c r="B11" s="25">
        <v>0.27</v>
      </c>
      <c r="C11" s="1" t="s">
        <v>70</v>
      </c>
      <c r="D11" s="6"/>
      <c r="E11" s="6">
        <v>0</v>
      </c>
      <c r="F11" s="6">
        <f>F10*$B$11</f>
        <v>5886327.7902599992</v>
      </c>
      <c r="G11" s="6">
        <f t="shared" ref="G11" si="4">G10*$B$11</f>
        <v>6162985.1964022201</v>
      </c>
      <c r="H11" s="6">
        <f t="shared" ref="H11:I11" si="5">H10*$B$11</f>
        <v>6452645.5006331224</v>
      </c>
      <c r="I11" s="6">
        <f t="shared" si="5"/>
        <v>6755919.8391628787</v>
      </c>
    </row>
    <row r="12" spans="2:9" x14ac:dyDescent="0.3">
      <c r="C12" s="1" t="s">
        <v>31</v>
      </c>
      <c r="D12" s="6"/>
      <c r="E12" s="6">
        <f>E10-E11</f>
        <v>-786296</v>
      </c>
      <c r="F12" s="6">
        <f t="shared" ref="F12:G12" si="6">F10-F11</f>
        <v>15914886.247739997</v>
      </c>
      <c r="G12" s="6">
        <f t="shared" si="6"/>
        <v>16662885.901383778</v>
      </c>
      <c r="H12" s="6">
        <f t="shared" ref="H12:I12" si="7">H10-H11</f>
        <v>17446041.538748808</v>
      </c>
      <c r="I12" s="6">
        <f t="shared" si="7"/>
        <v>18266005.491070002</v>
      </c>
    </row>
    <row r="13" spans="2:9" x14ac:dyDescent="0.3">
      <c r="C13" s="1" t="s">
        <v>32</v>
      </c>
      <c r="D13" s="6"/>
      <c r="E13" s="6">
        <f>Depreciación!F20</f>
        <v>0</v>
      </c>
      <c r="F13" s="6">
        <f>Depreciación!G20</f>
        <v>0</v>
      </c>
      <c r="G13" s="6">
        <f>Depreciación!H20</f>
        <v>0</v>
      </c>
      <c r="H13" s="6">
        <f>Depreciación!I20</f>
        <v>0</v>
      </c>
      <c r="I13" s="6">
        <f>Depreciación!J20</f>
        <v>0</v>
      </c>
    </row>
    <row r="14" spans="2:9" x14ac:dyDescent="0.3">
      <c r="C14" s="1" t="s">
        <v>33</v>
      </c>
      <c r="D14" s="6"/>
      <c r="E14" s="6">
        <f>E12+E13</f>
        <v>-786296</v>
      </c>
      <c r="F14" s="6">
        <f t="shared" ref="F14:G14" si="8">F12+F13</f>
        <v>15914886.247739997</v>
      </c>
      <c r="G14" s="6">
        <f t="shared" si="8"/>
        <v>16662885.901383778</v>
      </c>
      <c r="H14" s="6">
        <f t="shared" ref="H14:I14" si="9">H12+H13</f>
        <v>17446041.538748808</v>
      </c>
      <c r="I14" s="6">
        <f t="shared" si="9"/>
        <v>18266005.491070002</v>
      </c>
    </row>
    <row r="15" spans="2:9" x14ac:dyDescent="0.3">
      <c r="C15" s="1" t="s">
        <v>7</v>
      </c>
      <c r="D15" s="6">
        <f>Inversiones!F8</f>
        <v>20000000</v>
      </c>
      <c r="E15" s="6"/>
      <c r="F15" s="6"/>
      <c r="G15" s="6"/>
      <c r="H15" s="6"/>
      <c r="I15" s="6"/>
    </row>
    <row r="16" spans="2:9" x14ac:dyDescent="0.3">
      <c r="C16" s="1" t="s">
        <v>34</v>
      </c>
      <c r="D16" s="6"/>
      <c r="E16" s="6"/>
      <c r="F16" s="6"/>
      <c r="G16" s="6"/>
      <c r="H16" s="6"/>
      <c r="I16" s="6"/>
    </row>
    <row r="17" spans="3:9" x14ac:dyDescent="0.3">
      <c r="C17" s="1" t="s">
        <v>35</v>
      </c>
      <c r="D17" s="6"/>
      <c r="E17" s="6"/>
      <c r="F17" s="6"/>
      <c r="G17" s="6"/>
      <c r="H17" s="6"/>
      <c r="I17" s="6"/>
    </row>
    <row r="18" spans="3:9" x14ac:dyDescent="0.3">
      <c r="C18" s="1" t="s">
        <v>36</v>
      </c>
      <c r="D18" s="6">
        <f>D15*-1</f>
        <v>-20000000</v>
      </c>
      <c r="E18" s="6">
        <f>E14+E17</f>
        <v>-786296</v>
      </c>
      <c r="F18" s="6">
        <f t="shared" ref="F18:G18" si="10">F14+F17</f>
        <v>15914886.247739997</v>
      </c>
      <c r="G18" s="6">
        <f t="shared" si="10"/>
        <v>16662885.901383778</v>
      </c>
      <c r="H18" s="6">
        <f t="shared" ref="H18:I18" si="11">H14+H17</f>
        <v>17446041.538748808</v>
      </c>
      <c r="I18" s="6">
        <f t="shared" si="11"/>
        <v>18266005.491070002</v>
      </c>
    </row>
    <row r="19" spans="3:9" x14ac:dyDescent="0.3">
      <c r="C19" s="1"/>
      <c r="D19" s="1"/>
      <c r="E19" s="1"/>
      <c r="F19" s="1"/>
      <c r="G19" s="1"/>
      <c r="H19" s="1"/>
      <c r="I19" s="1"/>
    </row>
    <row r="20" spans="3:9" x14ac:dyDescent="0.3">
      <c r="C20" s="1" t="s">
        <v>38</v>
      </c>
      <c r="D20" s="16">
        <v>0.12</v>
      </c>
      <c r="E20" s="1"/>
      <c r="F20" s="1"/>
      <c r="G20" s="1"/>
      <c r="H20" s="1"/>
      <c r="I20" s="1"/>
    </row>
    <row r="22" spans="3:9" x14ac:dyDescent="0.3">
      <c r="C22" s="13" t="s">
        <v>39</v>
      </c>
      <c r="D22" s="18">
        <f>NPV(D20,E18:I18)-D15</f>
        <v>25297409.791605815</v>
      </c>
    </row>
    <row r="23" spans="3:9" x14ac:dyDescent="0.3">
      <c r="C23" s="13" t="s">
        <v>40</v>
      </c>
      <c r="D23" s="32">
        <f>IRR(D18:I18)</f>
        <v>0.43354307451837304</v>
      </c>
    </row>
    <row r="25" spans="3:9" ht="24.75" customHeight="1" x14ac:dyDescent="0.3">
      <c r="D25" s="26" t="s">
        <v>41</v>
      </c>
      <c r="E25" s="27">
        <f>((E5-$D$15)/$D$15)</f>
        <v>0.08</v>
      </c>
      <c r="F25" s="27">
        <f>(F5-$D$15)/$D$15</f>
        <v>0.13075999999999982</v>
      </c>
      <c r="G25" s="28">
        <f>(G5-$D$15)/$D$15</f>
        <v>0.18390571999999994</v>
      </c>
      <c r="H25" s="28">
        <f t="shared" ref="H25:I25" si="12">(H5-$D$15)/$D$15</f>
        <v>0.2395492888399996</v>
      </c>
      <c r="I25" s="28">
        <f t="shared" si="12"/>
        <v>0.29780810541547947</v>
      </c>
    </row>
    <row r="36" spans="4:7" x14ac:dyDescent="0.3">
      <c r="D36" s="20"/>
    </row>
    <row r="37" spans="4:7" x14ac:dyDescent="0.3">
      <c r="D37" s="5"/>
    </row>
    <row r="38" spans="4:7" x14ac:dyDescent="0.3">
      <c r="D38" s="5"/>
      <c r="E38" s="5"/>
      <c r="F38" s="5"/>
      <c r="G38" s="5"/>
    </row>
    <row r="40" spans="4:7" x14ac:dyDescent="0.3">
      <c r="E40" s="21"/>
      <c r="F40" s="21"/>
      <c r="G40" s="21"/>
    </row>
  </sheetData>
  <mergeCells count="1">
    <mergeCell ref="C2:I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</vt:lpstr>
      <vt:lpstr>Inversiones</vt:lpstr>
      <vt:lpstr>Costos</vt:lpstr>
      <vt:lpstr>Depreciación</vt:lpstr>
      <vt:lpstr>Flujo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Hidalgo</dc:creator>
  <cp:lastModifiedBy>Jonatan David Sandoval Riquelme</cp:lastModifiedBy>
  <dcterms:created xsi:type="dcterms:W3CDTF">2023-05-25T22:54:10Z</dcterms:created>
  <dcterms:modified xsi:type="dcterms:W3CDTF">2024-12-05T19:45:48Z</dcterms:modified>
</cp:coreProperties>
</file>