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9AB43C4A-9DC4-48D8-AF9F-15798BA89A51}" xr6:coauthVersionLast="47" xr6:coauthVersionMax="47" xr10:uidLastSave="{00000000-0000-0000-0000-000000000000}"/>
  <bookViews>
    <workbookView xWindow="-120" yWindow="-120" windowWidth="29040" windowHeight="15720" tabRatio="971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(1)" sheetId="12" r:id="rId8"/>
    <sheet name="SPO 14.03 TO 31.03 (2)" sheetId="21" r:id="rId9"/>
    <sheet name="SPO 01.04 TO 15.04" sheetId="13" r:id="rId10"/>
    <sheet name="SPO 01.04 TO 15.04 (2)" sheetId="22" r:id="rId11"/>
    <sheet name="SPO 16.04 TO 30.04" sheetId="14" r:id="rId12"/>
    <sheet name="SPO 01.05 TO 05.05 " sheetId="15" r:id="rId13"/>
    <sheet name="SPO 06.05 TO 27.05" sheetId="16" r:id="rId14"/>
    <sheet name="SPO 28.05 TO 15.06" sheetId="17" r:id="rId15"/>
    <sheet name="SPO 16.06 TO 05.07" sheetId="18" r:id="rId16"/>
    <sheet name="SPO 06.07 TO 31.07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2" l="1"/>
  <c r="R2" i="22" s="1"/>
  <c r="G2" i="22"/>
  <c r="AA2" i="22" s="1"/>
  <c r="F2" i="22"/>
  <c r="U2" i="22" s="1"/>
  <c r="E2" i="22"/>
  <c r="Y2" i="22" s="1"/>
  <c r="D2" i="22"/>
  <c r="N2" i="22" s="1"/>
  <c r="C2" i="22"/>
  <c r="S2" i="22" s="1"/>
  <c r="H3" i="21"/>
  <c r="W3" i="21" s="1"/>
  <c r="G3" i="21"/>
  <c r="X3" i="21" s="1"/>
  <c r="F3" i="21"/>
  <c r="P3" i="21" s="1"/>
  <c r="E3" i="21"/>
  <c r="T3" i="21" s="1"/>
  <c r="D3" i="21"/>
  <c r="N3" i="21" s="1"/>
  <c r="C3" i="21"/>
  <c r="M3" i="21" s="1"/>
  <c r="H2" i="21"/>
  <c r="R2" i="21" s="1"/>
  <c r="G2" i="21"/>
  <c r="Q2" i="21" s="1"/>
  <c r="F2" i="21"/>
  <c r="U2" i="21" s="1"/>
  <c r="E2" i="21"/>
  <c r="Y2" i="21" s="1"/>
  <c r="D2" i="21"/>
  <c r="N2" i="21" s="1"/>
  <c r="C2" i="21"/>
  <c r="M2" i="21" s="1"/>
  <c r="J3" i="21" l="1"/>
  <c r="T2" i="22"/>
  <c r="P2" i="21"/>
  <c r="R3" i="21"/>
  <c r="M2" i="22"/>
  <c r="V2" i="22"/>
  <c r="L2" i="22"/>
  <c r="I2" i="22"/>
  <c r="Q2" i="22"/>
  <c r="P2" i="22"/>
  <c r="X2" i="22"/>
  <c r="K2" i="22"/>
  <c r="O2" i="22"/>
  <c r="W2" i="22"/>
  <c r="J2" i="22"/>
  <c r="Z2" i="22"/>
  <c r="K2" i="21"/>
  <c r="T2" i="21"/>
  <c r="O3" i="21"/>
  <c r="O2" i="21"/>
  <c r="L2" i="21"/>
  <c r="X2" i="21"/>
  <c r="K3" i="21"/>
  <c r="S3" i="21"/>
  <c r="J2" i="21"/>
  <c r="Y3" i="21"/>
  <c r="AA3" i="21"/>
  <c r="S2" i="21"/>
  <c r="W2" i="21"/>
  <c r="AA2" i="21"/>
  <c r="V3" i="21"/>
  <c r="Z3" i="21"/>
  <c r="V2" i="21"/>
  <c r="Z2" i="21"/>
  <c r="I3" i="21"/>
  <c r="Q3" i="21"/>
  <c r="U3" i="21"/>
  <c r="I2" i="21"/>
  <c r="L3" i="21"/>
  <c r="M21" i="6"/>
  <c r="L21" i="6" s="1"/>
  <c r="M22" i="6"/>
  <c r="L22" i="6" s="1"/>
  <c r="M23" i="6"/>
  <c r="M24" i="6"/>
  <c r="L24" i="6" s="1"/>
  <c r="M25" i="6"/>
  <c r="L25" i="6" s="1"/>
  <c r="M26" i="6"/>
  <c r="M27" i="6"/>
  <c r="M9" i="19"/>
  <c r="L23" i="6"/>
  <c r="L26" i="6"/>
  <c r="L27" i="6"/>
  <c r="L28" i="6"/>
  <c r="L29" i="6"/>
  <c r="L30" i="6"/>
  <c r="L31" i="6"/>
  <c r="L32" i="6"/>
  <c r="L33" i="6"/>
  <c r="L34" i="6"/>
  <c r="L35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P2" i="20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R7" i="18" l="1"/>
  <c r="J3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AA7" i="16" s="1"/>
  <c r="F7" i="16"/>
  <c r="E7" i="16"/>
  <c r="K7" i="16" s="1"/>
  <c r="D7" i="16"/>
  <c r="J7" i="16" s="1"/>
  <c r="C7" i="16"/>
  <c r="H4" i="16"/>
  <c r="R4" i="16" s="1"/>
  <c r="G4" i="16"/>
  <c r="AA4" i="16" s="1"/>
  <c r="F4" i="16"/>
  <c r="Z4" i="16" s="1"/>
  <c r="E4" i="16"/>
  <c r="K4" i="16" s="1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J6" i="16"/>
  <c r="N6" i="16"/>
  <c r="S6" i="16"/>
  <c r="T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U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C2" i="15"/>
  <c r="M2" i="15" s="1"/>
  <c r="T7" i="15"/>
  <c r="J7" i="15"/>
  <c r="H7" i="15"/>
  <c r="R7" i="15" s="1"/>
  <c r="G7" i="15"/>
  <c r="AA7" i="15" s="1"/>
  <c r="F7" i="15"/>
  <c r="Z7" i="15" s="1"/>
  <c r="E7" i="15"/>
  <c r="Y7" i="15" s="1"/>
  <c r="D7" i="15"/>
  <c r="N7" i="15" s="1"/>
  <c r="C7" i="15"/>
  <c r="S7" i="15" s="1"/>
  <c r="W6" i="15"/>
  <c r="O6" i="15"/>
  <c r="R6" i="15"/>
  <c r="T6" i="15"/>
  <c r="Q5" i="15"/>
  <c r="P5" i="15"/>
  <c r="L5" i="15"/>
  <c r="I5" i="15"/>
  <c r="H5" i="15"/>
  <c r="R5" i="15" s="1"/>
  <c r="G5" i="15"/>
  <c r="F5" i="15"/>
  <c r="U5" i="15" s="1"/>
  <c r="E5" i="15"/>
  <c r="K5" i="15" s="1"/>
  <c r="D5" i="15"/>
  <c r="J5" i="15" s="1"/>
  <c r="C5" i="15"/>
  <c r="S5" i="15" s="1"/>
  <c r="Z4" i="15"/>
  <c r="Q4" i="15"/>
  <c r="M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X3" i="15"/>
  <c r="R3" i="15"/>
  <c r="O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Y2" i="15"/>
  <c r="U2" i="15"/>
  <c r="T2" i="15"/>
  <c r="P2" i="15"/>
  <c r="O2" i="15"/>
  <c r="X2" i="15"/>
  <c r="N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X3" i="14" s="1"/>
  <c r="F3" i="14"/>
  <c r="P3" i="14" s="1"/>
  <c r="E3" i="14"/>
  <c r="K3" i="14" s="1"/>
  <c r="D3" i="14"/>
  <c r="J3" i="14" s="1"/>
  <c r="C3" i="14"/>
  <c r="M3" i="14" s="1"/>
  <c r="N7" i="14"/>
  <c r="M7" i="14"/>
  <c r="R7" i="14"/>
  <c r="U6" i="14"/>
  <c r="R6" i="14"/>
  <c r="AA6" i="14"/>
  <c r="X5" i="14"/>
  <c r="V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Y4" i="14"/>
  <c r="P4" i="14"/>
  <c r="O4" i="14"/>
  <c r="K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Q3" i="14"/>
  <c r="W3" i="14"/>
  <c r="O3" i="14"/>
  <c r="N3" i="14"/>
  <c r="W2" i="14"/>
  <c r="R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5" i="13"/>
  <c r="R5" i="13" s="1"/>
  <c r="H4" i="13"/>
  <c r="R4" i="13" s="1"/>
  <c r="H3" i="13"/>
  <c r="W3" i="13" s="1"/>
  <c r="H2" i="13"/>
  <c r="R2" i="13" s="1"/>
  <c r="G4" i="13"/>
  <c r="V4" i="13" s="1"/>
  <c r="G3" i="13"/>
  <c r="X3" i="13" s="1"/>
  <c r="G2" i="13"/>
  <c r="X2" i="13" s="1"/>
  <c r="F4" i="13"/>
  <c r="L4" i="13" s="1"/>
  <c r="F3" i="13"/>
  <c r="U3" i="13" s="1"/>
  <c r="F2" i="13"/>
  <c r="L2" i="13" s="1"/>
  <c r="E4" i="13"/>
  <c r="T4" i="13" s="1"/>
  <c r="E3" i="13"/>
  <c r="T3" i="13" s="1"/>
  <c r="E2" i="13"/>
  <c r="Y2" i="13" s="1"/>
  <c r="D4" i="13"/>
  <c r="N4" i="13" s="1"/>
  <c r="D3" i="13"/>
  <c r="N3" i="13" s="1"/>
  <c r="D2" i="13"/>
  <c r="N2" i="13" s="1"/>
  <c r="W5" i="13"/>
  <c r="G5" i="13"/>
  <c r="AA5" i="13" s="1"/>
  <c r="F5" i="13"/>
  <c r="L5" i="13" s="1"/>
  <c r="E5" i="13"/>
  <c r="T5" i="13" s="1"/>
  <c r="D5" i="13"/>
  <c r="J5" i="13" s="1"/>
  <c r="C5" i="13"/>
  <c r="M5" i="13" s="1"/>
  <c r="C4" i="13"/>
  <c r="M4" i="13" s="1"/>
  <c r="C3" i="13"/>
  <c r="M3" i="13" s="1"/>
  <c r="C2" i="13"/>
  <c r="I2" i="13" s="1"/>
  <c r="Q5" i="13"/>
  <c r="J4" i="13"/>
  <c r="O3" i="13"/>
  <c r="K3" i="13"/>
  <c r="J3" i="13"/>
  <c r="W2" i="13"/>
  <c r="O2" i="13"/>
  <c r="M2" i="13"/>
  <c r="K2" i="13"/>
  <c r="S2" i="13"/>
  <c r="C3" i="12"/>
  <c r="M3" i="12" s="1"/>
  <c r="E3" i="12"/>
  <c r="H3" i="12"/>
  <c r="W3" i="12" s="1"/>
  <c r="H2" i="12"/>
  <c r="W2" i="12" s="1"/>
  <c r="G3" i="12"/>
  <c r="V3" i="12" s="1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S2" i="12" s="1"/>
  <c r="T3" i="12"/>
  <c r="O3" i="12"/>
  <c r="K3" i="12"/>
  <c r="J3" i="12"/>
  <c r="Y3" i="12"/>
  <c r="T2" i="12"/>
  <c r="N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X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M7" i="11"/>
  <c r="Z6" i="11"/>
  <c r="X6" i="11"/>
  <c r="T6" i="11"/>
  <c r="K6" i="11"/>
  <c r="J6" i="11"/>
  <c r="W6" i="11"/>
  <c r="O5" i="11"/>
  <c r="X4" i="11"/>
  <c r="V4" i="11"/>
  <c r="R3" i="11"/>
  <c r="W2" i="11"/>
  <c r="L2" i="11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Z2" i="10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L2" i="14" l="1"/>
  <c r="I5" i="14"/>
  <c r="K3" i="15"/>
  <c r="I4" i="15"/>
  <c r="AA5" i="11"/>
  <c r="I4" i="14"/>
  <c r="M2" i="11"/>
  <c r="Z4" i="11"/>
  <c r="M6" i="11"/>
  <c r="Y6" i="11"/>
  <c r="Q2" i="14"/>
  <c r="AA3" i="14"/>
  <c r="J4" i="14"/>
  <c r="Z4" i="14"/>
  <c r="J5" i="14"/>
  <c r="Y5" i="14"/>
  <c r="R2" i="15"/>
  <c r="N3" i="15"/>
  <c r="J4" i="15"/>
  <c r="M5" i="15"/>
  <c r="V7" i="15"/>
  <c r="U6" i="16"/>
  <c r="I6" i="16"/>
  <c r="W7" i="15"/>
  <c r="V5" i="11"/>
  <c r="J7" i="11"/>
  <c r="O5" i="14"/>
  <c r="N6" i="14"/>
  <c r="T3" i="15"/>
  <c r="T5" i="15"/>
  <c r="K7" i="15"/>
  <c r="Q6" i="16"/>
  <c r="J3" i="10"/>
  <c r="V3" i="11"/>
  <c r="Q5" i="11"/>
  <c r="Y2" i="14"/>
  <c r="V3" i="14"/>
  <c r="R4" i="14"/>
  <c r="Q5" i="14"/>
  <c r="V3" i="15"/>
  <c r="R4" i="15"/>
  <c r="AA5" i="15"/>
  <c r="V5" i="15"/>
  <c r="X5" i="15"/>
  <c r="P6" i="16"/>
  <c r="T7" i="14"/>
  <c r="J5" i="11"/>
  <c r="V3" i="10"/>
  <c r="L4" i="11"/>
  <c r="U5" i="11"/>
  <c r="Q6" i="11"/>
  <c r="Y7" i="11"/>
  <c r="Y5" i="13"/>
  <c r="I2" i="14"/>
  <c r="Z2" i="14"/>
  <c r="U4" i="14"/>
  <c r="T5" i="14"/>
  <c r="AA7" i="14"/>
  <c r="U4" i="15"/>
  <c r="Y5" i="15"/>
  <c r="O7" i="15"/>
  <c r="L5" i="16"/>
  <c r="O6" i="16"/>
  <c r="M5" i="14"/>
  <c r="O7" i="14"/>
  <c r="L3" i="11"/>
  <c r="U2" i="14"/>
  <c r="W3" i="10"/>
  <c r="K2" i="14"/>
  <c r="AA2" i="14"/>
  <c r="O5" i="16"/>
  <c r="S5" i="13"/>
  <c r="X5" i="13"/>
  <c r="W4" i="13"/>
  <c r="I5" i="13"/>
  <c r="V5" i="13"/>
  <c r="P2" i="13"/>
  <c r="Y3" i="13"/>
  <c r="S4" i="13"/>
  <c r="K5" i="13"/>
  <c r="Y2" i="12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U4" i="13"/>
  <c r="Z4" i="13"/>
  <c r="Z2" i="13"/>
  <c r="U2" i="13"/>
  <c r="T2" i="13"/>
  <c r="U5" i="13"/>
  <c r="Q2" i="13"/>
  <c r="O4" i="13"/>
  <c r="N5" i="13"/>
  <c r="J2" i="13"/>
  <c r="I3" i="13"/>
  <c r="P4" i="13"/>
  <c r="X4" i="13"/>
  <c r="O5" i="13"/>
  <c r="P3" i="13"/>
  <c r="AA2" i="13"/>
  <c r="R3" i="13"/>
  <c r="Z3" i="13"/>
  <c r="I4" i="13"/>
  <c r="Q4" i="13"/>
  <c r="Y4" i="13"/>
  <c r="P5" i="13"/>
  <c r="K4" i="13"/>
  <c r="AA4" i="13"/>
  <c r="S3" i="13"/>
  <c r="L3" i="13"/>
  <c r="Z5" i="13"/>
  <c r="V2" i="13"/>
  <c r="U2" i="12"/>
  <c r="Z2" i="12"/>
  <c r="L2" i="12"/>
  <c r="R3" i="12"/>
  <c r="V2" i="12"/>
  <c r="K2" i="12"/>
  <c r="I2" i="12"/>
  <c r="Q2" i="12"/>
  <c r="P3" i="12"/>
  <c r="X3" i="12"/>
  <c r="J2" i="12"/>
  <c r="R2" i="12"/>
  <c r="I3" i="12"/>
  <c r="Q3" i="12"/>
  <c r="AA2" i="12"/>
  <c r="Z3" i="12"/>
  <c r="AA3" i="12"/>
  <c r="M2" i="12"/>
  <c r="L3" i="12"/>
  <c r="S3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E2" i="9"/>
  <c r="D3" i="9"/>
  <c r="N3" i="9" s="1"/>
  <c r="D2" i="9"/>
  <c r="N2" i="9" s="1"/>
  <c r="C3" i="9"/>
  <c r="M3" i="9" s="1"/>
  <c r="C2" i="9"/>
  <c r="U3" i="9"/>
  <c r="T3" i="9"/>
  <c r="Y2" i="9"/>
  <c r="M2" i="9"/>
  <c r="H7" i="8"/>
  <c r="R7" i="8" s="1"/>
  <c r="G7" i="8"/>
  <c r="AA7" i="8" s="1"/>
  <c r="F7" i="8"/>
  <c r="P7" i="8" s="1"/>
  <c r="E7" i="8"/>
  <c r="Y7" i="8" s="1"/>
  <c r="D7" i="8"/>
  <c r="N7" i="8" s="1"/>
  <c r="C7" i="8"/>
  <c r="S7" i="8" s="1"/>
  <c r="H5" i="8"/>
  <c r="G5" i="8"/>
  <c r="V5" i="8" s="1"/>
  <c r="F5" i="8"/>
  <c r="U5" i="8" s="1"/>
  <c r="E5" i="8"/>
  <c r="T5" i="8" s="1"/>
  <c r="D5" i="8"/>
  <c r="C5" i="8"/>
  <c r="M5" i="8" s="1"/>
  <c r="H3" i="8"/>
  <c r="W3" i="8" s="1"/>
  <c r="G3" i="8"/>
  <c r="Q3" i="8" s="1"/>
  <c r="F3" i="8"/>
  <c r="Z3" i="8" s="1"/>
  <c r="E3" i="8"/>
  <c r="Y3" i="8" s="1"/>
  <c r="D3" i="8"/>
  <c r="C3" i="8"/>
  <c r="M3" i="8" s="1"/>
  <c r="H6" i="8"/>
  <c r="W6" i="8" s="1"/>
  <c r="G6" i="8"/>
  <c r="X6" i="8" s="1"/>
  <c r="F6" i="8"/>
  <c r="P6" i="8" s="1"/>
  <c r="E6" i="8"/>
  <c r="Y6" i="8" s="1"/>
  <c r="D6" i="8"/>
  <c r="N6" i="8" s="1"/>
  <c r="C6" i="8"/>
  <c r="I6" i="8" s="1"/>
  <c r="H4" i="8"/>
  <c r="R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Z7" i="8"/>
  <c r="W7" i="8"/>
  <c r="U7" i="8"/>
  <c r="T7" i="8"/>
  <c r="M7" i="8"/>
  <c r="L7" i="8"/>
  <c r="AA6" i="8"/>
  <c r="U6" i="8"/>
  <c r="T6" i="8"/>
  <c r="R6" i="8"/>
  <c r="Q6" i="8"/>
  <c r="O6" i="8"/>
  <c r="K6" i="8"/>
  <c r="J6" i="8"/>
  <c r="AA5" i="8"/>
  <c r="X5" i="8"/>
  <c r="W5" i="8"/>
  <c r="R5" i="8"/>
  <c r="Q5" i="8"/>
  <c r="N5" i="8"/>
  <c r="J5" i="8"/>
  <c r="X4" i="8"/>
  <c r="U4" i="8"/>
  <c r="S4" i="8"/>
  <c r="P4" i="8"/>
  <c r="N4" i="8"/>
  <c r="M4" i="8"/>
  <c r="K4" i="8"/>
  <c r="J4" i="8"/>
  <c r="X3" i="8"/>
  <c r="T3" i="8"/>
  <c r="R3" i="8"/>
  <c r="P3" i="8"/>
  <c r="O3" i="8"/>
  <c r="N3" i="8"/>
  <c r="L3" i="8"/>
  <c r="K3" i="8"/>
  <c r="J3" i="8"/>
  <c r="I3" i="8"/>
  <c r="S2" i="8"/>
  <c r="Q2" i="8"/>
  <c r="M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V4" i="8" l="1"/>
  <c r="Z5" i="8"/>
  <c r="O5" i="8"/>
  <c r="J7" i="8"/>
  <c r="T2" i="8"/>
  <c r="W4" i="8"/>
  <c r="P5" i="8"/>
  <c r="Y5" i="8"/>
  <c r="K7" i="8"/>
  <c r="V7" i="8"/>
  <c r="X7" i="8"/>
  <c r="K2" i="8"/>
  <c r="K5" i="8"/>
  <c r="V6" i="8"/>
  <c r="O7" i="8"/>
  <c r="L5" i="8"/>
  <c r="Q7" i="8"/>
  <c r="S3" i="8"/>
  <c r="O2" i="8"/>
  <c r="T4" i="8"/>
  <c r="L6" i="8"/>
  <c r="Z6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</calcChain>
</file>

<file path=xl/sharedStrings.xml><?xml version="1.0" encoding="utf-8"?>
<sst xmlns="http://schemas.openxmlformats.org/spreadsheetml/2006/main" count="457" uniqueCount="45">
  <si>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</si>
  <si>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</si>
  <si>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</si>
  <si>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</si>
  <si>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</si>
  <si>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</si>
  <si>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</si>
  <si>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</si>
  <si>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</si>
  <si>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</si>
  <si>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</si>
  <si>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</si>
  <si>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</si>
  <si>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</si>
  <si>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</si>
  <si>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</si>
  <si>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</si>
  <si>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</si>
  <si>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</si>
  <si>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</si>
  <si>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</si>
  <si>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</si>
  <si>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</si>
  <si>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</si>
  <si>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</si>
  <si>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</si>
  <si>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</si>
  <si>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</si>
  <si>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</si>
  <si>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</si>
  <si>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</si>
  <si>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</si>
  <si>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</si>
  <si>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</si>
  <si>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</si>
  <si>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</si>
  <si>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</si>
  <si>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</si>
  <si>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</si>
  <si>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</si>
  <si>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Pax</t>
  </si>
  <si>
    <t>Extra (min. 7 days+25Euro)</t>
  </si>
  <si>
    <t>Reduction 1 (cruise -10%)</t>
  </si>
  <si>
    <t xml:space="preserve"> Senior. Pax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</si>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</sst>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2" x14ac:knownFonts="1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165" fontId="3" fillId="2" borderId="2" xfId="0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3" fontId="8" fillId="0" borderId="2" xfId="1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14" fontId="9" fillId="0" borderId="2" xfId="0" applyNumberFormat="1" applyFont="1" applyBorder="1"/>
    <xf numFmtId="0" fontId="10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11" fillId="12" borderId="1" xfId="0" applyNumberFormat="1" applyFont="1" applyFill="1" applyBorder="1" applyAlignment="1">
      <alignment vertical="center"/>
    </xf>
    <xf numFmtId="2" fontId="9" fillId="5" borderId="3" xfId="0" applyNumberFormat="1" applyFont="1" applyFill="1" applyBorder="1" applyAlignment="1">
      <alignment horizontal="center"/>
    </xf>
    <xf numFmtId="2" fontId="9" fillId="6" borderId="3" xfId="0" applyNumberFormat="1" applyFont="1" applyFill="1" applyBorder="1" applyAlignment="1">
      <alignment horizontal="center"/>
    </xf>
    <xf numFmtId="2" fontId="9" fillId="8" borderId="3" xfId="0" applyNumberFormat="1" applyFont="1" applyFill="1" applyBorder="1" applyAlignment="1">
      <alignment horizontal="center"/>
    </xf>
    <xf numFmtId="2" fontId="9" fillId="7" borderId="3" xfId="0" applyNumberFormat="1" applyFont="1" applyFill="1" applyBorder="1" applyAlignment="1">
      <alignment horizontal="center"/>
    </xf>
    <xf numFmtId="2" fontId="9" fillId="9" borderId="3" xfId="0" applyNumberFormat="1" applyFont="1" applyFill="1" applyBorder="1" applyAlignment="1">
      <alignment horizontal="center"/>
    </xf>
    <xf numFmtId="2" fontId="9" fillId="11" borderId="3" xfId="0" applyNumberFormat="1" applyFont="1" applyFill="1" applyBorder="1" applyAlignment="1">
      <alignment horizontal="center"/>
    </xf>
    <xf numFmtId="2" fontId="9" fillId="12" borderId="3" xfId="0" applyNumberFormat="1" applyFont="1" applyFill="1" applyBorder="1" applyAlignment="1">
      <alignment horizontal="center"/>
    </xf>
    <xf numFmtId="2" fontId="9" fillId="12" borderId="2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/>
    <xf numFmtId="164" fontId="8" fillId="3" borderId="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2" xfId="0" applyFill="1" applyBorder="1"/>
    <xf numFmtId="165" fontId="3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14" fontId="8" fillId="0" borderId="3" xfId="0" applyNumberFormat="1" applyFont="1" applyFill="1" applyBorder="1" applyAlignment="1">
      <alignment horizontal="center"/>
    </xf>
    <xf numFmtId="0" fontId="0" fillId="0" borderId="8" xfId="0" applyBorder="1"/>
    <xf numFmtId="0" fontId="8" fillId="0" borderId="2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H28" sqref="H28"/>
    </sheetView>
  </sheetViews>
  <sheetFormatPr defaultRowHeight="12.75" x14ac:dyDescent="0.2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 x14ac:dyDescent="0.25">
      <c r="A1" s="1"/>
      <c r="B1" s="26" t="s">
        <v>8</v>
      </c>
      <c r="C1" s="26" t="s">
        <v>38</v>
      </c>
      <c r="D1" s="26" t="s">
        <v>37</v>
      </c>
      <c r="E1" s="27" t="s">
        <v>34</v>
      </c>
      <c r="F1" s="27" t="s">
        <v>4</v>
      </c>
      <c r="G1" s="27" t="s">
        <v>5</v>
      </c>
      <c r="H1" s="27" t="s">
        <v>35</v>
      </c>
      <c r="I1" s="36" t="s">
        <v>40</v>
      </c>
      <c r="J1" s="27" t="s">
        <v>43</v>
      </c>
      <c r="K1" s="27" t="s">
        <v>42</v>
      </c>
      <c r="L1" s="36" t="s">
        <v>41</v>
      </c>
      <c r="M1" s="26" t="s">
        <v>0</v>
      </c>
      <c r="N1" s="26" t="s">
        <v>1</v>
      </c>
      <c r="O1" s="28" t="s">
        <v>36</v>
      </c>
      <c r="P1" s="28" t="s">
        <v>2</v>
      </c>
      <c r="Q1" s="28" t="s">
        <v>3</v>
      </c>
    </row>
    <row r="2" spans="1:17" ht="16.5" thickTop="1" x14ac:dyDescent="0.25">
      <c r="B2" s="47">
        <v>6</v>
      </c>
      <c r="C2" s="47">
        <v>500704</v>
      </c>
      <c r="D2" s="47">
        <v>215664</v>
      </c>
      <c r="E2" s="2">
        <v>44869</v>
      </c>
      <c r="F2" s="2">
        <v>45151</v>
      </c>
      <c r="G2" s="2">
        <v>45156</v>
      </c>
      <c r="H2" s="48" t="s">
        <v>12</v>
      </c>
      <c r="I2" s="29">
        <v>2</v>
      </c>
      <c r="J2" s="29">
        <v>0</v>
      </c>
      <c r="K2" s="30" t="s">
        <v>39</v>
      </c>
      <c r="L2" s="34" t="s">
        <v>44</v>
      </c>
      <c r="M2" s="4">
        <v>5</v>
      </c>
      <c r="N2" s="29"/>
      <c r="O2" s="46">
        <v>628.42499999999995</v>
      </c>
      <c r="P2" s="29"/>
      <c r="Q2" s="29"/>
    </row>
    <row r="3" spans="1:17" ht="15.75" x14ac:dyDescent="0.25">
      <c r="B3" s="47">
        <v>11</v>
      </c>
      <c r="C3" s="47">
        <v>501631</v>
      </c>
      <c r="D3" s="47">
        <v>247665</v>
      </c>
      <c r="E3" s="2">
        <v>44938</v>
      </c>
      <c r="F3" s="2">
        <v>45155</v>
      </c>
      <c r="G3" s="2">
        <v>45162</v>
      </c>
      <c r="H3" s="49" t="s">
        <v>12</v>
      </c>
      <c r="I3" s="29">
        <v>2</v>
      </c>
      <c r="J3" s="29">
        <v>2</v>
      </c>
      <c r="K3" s="30" t="s">
        <v>39</v>
      </c>
      <c r="L3" s="34" t="s">
        <v>39</v>
      </c>
      <c r="M3" s="4">
        <v>7</v>
      </c>
      <c r="N3" s="29"/>
      <c r="O3" s="46">
        <v>860.25</v>
      </c>
      <c r="P3" s="50"/>
      <c r="Q3" s="29"/>
    </row>
    <row r="4" spans="1:17" ht="15.75" x14ac:dyDescent="0.25">
      <c r="B4" s="47">
        <v>12</v>
      </c>
      <c r="C4" s="47">
        <v>501632</v>
      </c>
      <c r="D4" s="47">
        <v>244376</v>
      </c>
      <c r="E4" s="2">
        <v>44933</v>
      </c>
      <c r="F4" s="2">
        <v>45152</v>
      </c>
      <c r="G4" s="2">
        <v>45162</v>
      </c>
      <c r="H4" s="49" t="s">
        <v>17</v>
      </c>
      <c r="I4" s="29">
        <v>2</v>
      </c>
      <c r="J4" s="29">
        <v>0</v>
      </c>
      <c r="K4" s="30" t="s">
        <v>44</v>
      </c>
      <c r="L4" s="34" t="s">
        <v>39</v>
      </c>
      <c r="M4" s="4">
        <v>10</v>
      </c>
      <c r="N4" s="29"/>
      <c r="O4" s="46">
        <v>1256</v>
      </c>
      <c r="P4" s="50"/>
      <c r="Q4" s="29"/>
    </row>
    <row r="5" spans="1:17" ht="15.75" x14ac:dyDescent="0.25">
      <c r="B5" s="5"/>
      <c r="C5" s="5"/>
      <c r="D5" s="5"/>
      <c r="E5" s="2"/>
      <c r="F5" s="2"/>
      <c r="G5" s="2"/>
      <c r="H5" s="3"/>
      <c r="I5" s="29"/>
      <c r="J5" s="29"/>
      <c r="K5" s="30"/>
      <c r="L5" s="34"/>
      <c r="M5" s="4"/>
      <c r="N5" s="29"/>
      <c r="O5" s="46"/>
      <c r="P5" s="29"/>
      <c r="Q5" s="29"/>
    </row>
    <row r="6" spans="1:17" ht="15.75" x14ac:dyDescent="0.25">
      <c r="B6" s="5"/>
      <c r="C6" s="5"/>
      <c r="D6" s="5"/>
      <c r="E6" s="2"/>
      <c r="F6" s="2"/>
      <c r="G6" s="2"/>
      <c r="H6" s="45"/>
      <c r="I6" s="29"/>
      <c r="J6" s="29"/>
      <c r="K6" s="30"/>
      <c r="L6" s="34"/>
      <c r="M6" s="4"/>
      <c r="N6" s="29"/>
      <c r="O6" s="46"/>
      <c r="P6" s="29"/>
      <c r="Q6" s="29"/>
    </row>
    <row r="7" spans="1:17" ht="15.75" x14ac:dyDescent="0.25">
      <c r="B7" s="5"/>
      <c r="C7" s="5"/>
      <c r="D7" s="5"/>
      <c r="E7" s="2"/>
      <c r="F7" s="2"/>
      <c r="G7" s="2"/>
      <c r="H7" s="45"/>
      <c r="I7" s="29"/>
      <c r="J7" s="29"/>
      <c r="K7" s="30"/>
      <c r="L7" s="34"/>
      <c r="M7" s="4"/>
      <c r="N7" s="29"/>
      <c r="O7" s="46"/>
      <c r="P7" s="29"/>
      <c r="Q7" s="29"/>
    </row>
    <row r="8" spans="1:17" ht="15.75" x14ac:dyDescent="0.25">
      <c r="B8" s="5"/>
      <c r="C8" s="5"/>
      <c r="D8" s="5"/>
      <c r="E8" s="2"/>
      <c r="F8" s="2"/>
      <c r="G8" s="2"/>
      <c r="H8" s="3"/>
      <c r="I8" s="29"/>
      <c r="J8" s="29"/>
      <c r="K8" s="30"/>
      <c r="L8" s="34"/>
      <c r="M8" s="4"/>
      <c r="N8" s="29"/>
      <c r="O8" s="46"/>
      <c r="P8" s="29"/>
      <c r="Q8" s="29"/>
    </row>
    <row r="9" spans="1:17" ht="15.75" x14ac:dyDescent="0.25">
      <c r="B9" s="5"/>
      <c r="C9" s="5"/>
      <c r="D9" s="5"/>
      <c r="E9" s="2"/>
      <c r="F9" s="2"/>
      <c r="G9" s="2"/>
      <c r="H9" s="3"/>
      <c r="I9" s="29"/>
      <c r="J9" s="29"/>
      <c r="K9" s="30"/>
      <c r="L9" s="34"/>
      <c r="M9" s="4"/>
      <c r="N9" s="29"/>
      <c r="O9" s="46"/>
      <c r="P9" s="6"/>
      <c r="Q9" s="29"/>
    </row>
    <row r="10" spans="1:17" ht="15.75" x14ac:dyDescent="0.25">
      <c r="B10" s="5"/>
      <c r="C10" s="5"/>
      <c r="D10" s="5"/>
      <c r="E10" s="2"/>
      <c r="F10" s="2"/>
      <c r="G10" s="2"/>
      <c r="H10" s="3"/>
      <c r="I10" s="29"/>
      <c r="J10" s="29"/>
      <c r="K10" s="30"/>
      <c r="L10" s="34"/>
      <c r="M10" s="4"/>
      <c r="N10" s="29"/>
      <c r="O10" s="46"/>
      <c r="P10" s="6"/>
      <c r="Q10" s="29"/>
    </row>
    <row r="11" spans="1:17" ht="15.75" x14ac:dyDescent="0.25">
      <c r="B11" s="5"/>
      <c r="C11" s="5"/>
      <c r="D11" s="5"/>
      <c r="E11" s="2"/>
      <c r="F11" s="2"/>
      <c r="G11" s="2"/>
      <c r="H11" s="3"/>
      <c r="I11" s="29"/>
      <c r="J11" s="29"/>
      <c r="K11" s="30"/>
      <c r="L11" s="34"/>
      <c r="M11" s="4"/>
      <c r="N11" s="29"/>
      <c r="O11" s="46"/>
      <c r="P11" s="6"/>
      <c r="Q11" s="29"/>
    </row>
    <row r="12" spans="1:17" ht="15.75" x14ac:dyDescent="0.25">
      <c r="B12" s="5"/>
      <c r="C12" s="5"/>
      <c r="D12" s="5"/>
      <c r="E12" s="2"/>
      <c r="F12" s="2"/>
      <c r="G12" s="2"/>
      <c r="H12" s="3"/>
      <c r="I12" s="29"/>
      <c r="J12" s="29"/>
      <c r="K12" s="30"/>
      <c r="L12" s="34"/>
      <c r="M12" s="4"/>
      <c r="N12" s="29"/>
      <c r="O12" s="46"/>
      <c r="P12" s="6"/>
      <c r="Q12" s="29"/>
    </row>
    <row r="13" spans="1:17" ht="15.75" x14ac:dyDescent="0.25">
      <c r="B13" s="5"/>
      <c r="C13" s="5"/>
      <c r="D13" s="5"/>
      <c r="E13" s="2"/>
      <c r="F13" s="2"/>
      <c r="G13" s="2"/>
      <c r="H13" s="3"/>
      <c r="I13" s="29"/>
      <c r="J13" s="29"/>
      <c r="K13" s="30"/>
      <c r="L13" s="34"/>
      <c r="M13" s="4"/>
      <c r="N13" s="29"/>
      <c r="O13" s="46"/>
      <c r="P13" s="6"/>
      <c r="Q13" s="29"/>
    </row>
    <row r="14" spans="1:17" ht="15.75" x14ac:dyDescent="0.25">
      <c r="B14" s="5"/>
      <c r="C14" s="5"/>
      <c r="D14" s="5"/>
      <c r="E14" s="2"/>
      <c r="F14" s="2"/>
      <c r="G14" s="2"/>
      <c r="H14" s="3"/>
      <c r="I14" s="29"/>
      <c r="J14" s="29"/>
      <c r="K14" s="30"/>
      <c r="L14" s="34"/>
      <c r="M14" s="4"/>
      <c r="N14" s="29"/>
      <c r="O14" s="46"/>
      <c r="P14" s="6"/>
      <c r="Q14" s="29"/>
    </row>
    <row r="15" spans="1:17" ht="15.75" x14ac:dyDescent="0.25">
      <c r="B15" s="5"/>
      <c r="C15" s="5"/>
      <c r="D15" s="5"/>
      <c r="E15" s="2"/>
      <c r="F15" s="2"/>
      <c r="G15" s="2"/>
      <c r="H15" s="3"/>
      <c r="I15" s="29"/>
      <c r="J15" s="29"/>
      <c r="K15" s="30"/>
      <c r="L15" s="34"/>
      <c r="M15" s="4"/>
      <c r="N15" s="29"/>
      <c r="O15" s="46"/>
      <c r="P15" s="6"/>
      <c r="Q15" s="29"/>
    </row>
    <row r="16" spans="1:17" ht="15.75" x14ac:dyDescent="0.25">
      <c r="B16" s="5"/>
      <c r="C16" s="5"/>
      <c r="D16" s="5"/>
      <c r="E16" s="2"/>
      <c r="F16" s="2"/>
      <c r="G16" s="2"/>
      <c r="H16" s="3"/>
      <c r="I16" s="29"/>
      <c r="J16" s="29"/>
      <c r="K16" s="30"/>
      <c r="L16" s="34"/>
      <c r="M16" s="4"/>
      <c r="N16" s="29"/>
      <c r="O16" s="46"/>
      <c r="P16" s="29"/>
      <c r="Q16" s="29"/>
    </row>
    <row r="17" spans="2:17" ht="15.75" x14ac:dyDescent="0.25">
      <c r="B17" s="5"/>
      <c r="C17" s="5"/>
      <c r="D17" s="5"/>
      <c r="E17" s="2"/>
      <c r="F17" s="2"/>
      <c r="G17" s="2"/>
      <c r="H17" s="3"/>
      <c r="I17" s="29"/>
      <c r="J17" s="29"/>
      <c r="K17" s="30"/>
      <c r="L17" s="34"/>
      <c r="M17" s="4"/>
      <c r="N17" s="29"/>
      <c r="O17" s="46"/>
      <c r="P17" s="29"/>
      <c r="Q17" s="29"/>
    </row>
    <row r="18" spans="2:17" ht="15.75" x14ac:dyDescent="0.25">
      <c r="B18" s="5"/>
      <c r="C18" s="5"/>
      <c r="D18" s="5"/>
      <c r="E18" s="2"/>
      <c r="F18" s="2"/>
      <c r="G18" s="2"/>
      <c r="H18" s="3"/>
      <c r="I18" s="29"/>
      <c r="J18" s="29"/>
      <c r="K18" s="39"/>
      <c r="L18" s="34"/>
      <c r="M18" s="4"/>
      <c r="O18" s="46"/>
      <c r="P18" s="29"/>
      <c r="Q18" s="29"/>
    </row>
    <row r="19" spans="2:17" ht="15.75" x14ac:dyDescent="0.25">
      <c r="B19" s="5"/>
      <c r="C19" s="5"/>
      <c r="D19" s="5"/>
      <c r="E19" s="2"/>
      <c r="F19" s="2"/>
      <c r="G19" s="2"/>
      <c r="H19" s="3"/>
      <c r="I19" s="29"/>
      <c r="J19" s="29"/>
      <c r="K19" s="30"/>
      <c r="L19" s="34"/>
      <c r="M19" s="4"/>
      <c r="N19" s="29"/>
      <c r="O19" s="46"/>
      <c r="P19" s="6"/>
      <c r="Q19" s="29"/>
    </row>
    <row r="20" spans="2:17" ht="15.75" x14ac:dyDescent="0.25">
      <c r="B20" s="5"/>
      <c r="C20" s="5"/>
      <c r="D20" s="5"/>
      <c r="E20" s="2"/>
      <c r="F20" s="2"/>
      <c r="G20" s="2"/>
      <c r="H20" s="3"/>
      <c r="I20" s="29"/>
      <c r="J20" s="29"/>
      <c r="K20" s="30"/>
      <c r="L20" s="34"/>
      <c r="M20" s="4"/>
      <c r="N20" s="29"/>
      <c r="O20" s="46"/>
      <c r="P20" s="6"/>
      <c r="Q20" s="29"/>
    </row>
    <row r="21" spans="2:17" ht="15.75" x14ac:dyDescent="0.25">
      <c r="B21" s="5"/>
      <c r="C21" s="5"/>
      <c r="D21" s="5"/>
      <c r="E21" s="2"/>
      <c r="F21" s="2"/>
      <c r="G21" s="2"/>
      <c r="H21" s="3"/>
      <c r="I21" s="29"/>
      <c r="J21" s="29">
        <v>0</v>
      </c>
      <c r="K21" s="30"/>
      <c r="L21" s="34" t="str">
        <f t="shared" ref="L21:L35" si="0">IF(M21&gt;6,"Yes","No")</f>
        <v>No</v>
      </c>
      <c r="M21" s="4">
        <f t="shared" ref="M2:M27" si="1">+G21-F21</f>
        <v>0</v>
      </c>
      <c r="N21" s="29"/>
      <c r="O21" s="38"/>
      <c r="P21" s="40"/>
      <c r="Q21" s="29"/>
    </row>
    <row r="22" spans="2:17" ht="15.75" x14ac:dyDescent="0.25">
      <c r="B22" s="5"/>
      <c r="C22" s="5"/>
      <c r="D22" s="5"/>
      <c r="E22" s="2"/>
      <c r="F22" s="2"/>
      <c r="G22" s="2"/>
      <c r="H22" s="3"/>
      <c r="J22" s="29">
        <v>0</v>
      </c>
      <c r="K22" s="30"/>
      <c r="L22" s="34" t="str">
        <f t="shared" si="0"/>
        <v>No</v>
      </c>
      <c r="M22" s="4">
        <f t="shared" si="1"/>
        <v>0</v>
      </c>
      <c r="N22" s="29"/>
      <c r="O22" s="38"/>
      <c r="P22" s="40"/>
      <c r="Q22" s="29"/>
    </row>
    <row r="23" spans="2:17" ht="15.75" x14ac:dyDescent="0.25">
      <c r="B23" s="5"/>
      <c r="C23" s="5"/>
      <c r="D23" s="5"/>
      <c r="E23" s="2"/>
      <c r="F23" s="2"/>
      <c r="G23" s="2"/>
      <c r="H23" s="3"/>
      <c r="I23" s="29"/>
      <c r="J23" s="29">
        <v>0</v>
      </c>
      <c r="K23" s="30"/>
      <c r="L23" s="34" t="str">
        <f t="shared" si="0"/>
        <v>No</v>
      </c>
      <c r="M23" s="4">
        <f t="shared" si="1"/>
        <v>0</v>
      </c>
      <c r="N23" s="29"/>
      <c r="O23" s="38"/>
      <c r="P23" s="40"/>
      <c r="Q23" s="29"/>
    </row>
    <row r="24" spans="2:17" s="44" customFormat="1" ht="15.75" x14ac:dyDescent="0.25">
      <c r="B24" s="5"/>
      <c r="C24" s="5"/>
      <c r="D24" s="5"/>
      <c r="E24" s="41"/>
      <c r="F24" s="41"/>
      <c r="G24" s="41"/>
      <c r="H24" s="3"/>
      <c r="I24" s="40"/>
      <c r="J24" s="40">
        <v>1</v>
      </c>
      <c r="K24" s="42"/>
      <c r="L24" s="43" t="str">
        <f t="shared" si="0"/>
        <v>No</v>
      </c>
      <c r="M24" s="4">
        <f t="shared" si="1"/>
        <v>0</v>
      </c>
      <c r="N24" s="40"/>
      <c r="O24" s="6"/>
      <c r="P24" s="40"/>
      <c r="Q24" s="40"/>
    </row>
    <row r="25" spans="2:17" ht="15.75" x14ac:dyDescent="0.25">
      <c r="B25" s="5"/>
      <c r="C25" s="5"/>
      <c r="D25" s="5"/>
      <c r="E25" s="2"/>
      <c r="F25" s="2"/>
      <c r="G25" s="2"/>
      <c r="H25" s="3"/>
      <c r="I25" s="29"/>
      <c r="J25" s="29">
        <v>0</v>
      </c>
      <c r="K25" s="30"/>
      <c r="L25" s="34" t="str">
        <f t="shared" si="0"/>
        <v>No</v>
      </c>
      <c r="M25" s="4">
        <f t="shared" si="1"/>
        <v>0</v>
      </c>
      <c r="N25" s="29"/>
      <c r="O25" s="38"/>
      <c r="P25" s="29"/>
      <c r="Q25" s="29"/>
    </row>
    <row r="26" spans="2:17" ht="15.75" x14ac:dyDescent="0.25">
      <c r="B26" s="5"/>
      <c r="C26" s="5"/>
      <c r="D26" s="5"/>
      <c r="E26" s="2"/>
      <c r="F26" s="2"/>
      <c r="G26" s="2"/>
      <c r="H26" s="3"/>
      <c r="I26" s="29"/>
      <c r="J26" s="29">
        <v>0</v>
      </c>
      <c r="K26" s="30"/>
      <c r="L26" s="34" t="str">
        <f t="shared" si="0"/>
        <v>No</v>
      </c>
      <c r="M26" s="4">
        <f t="shared" si="1"/>
        <v>0</v>
      </c>
      <c r="N26" s="29"/>
      <c r="O26" s="38"/>
      <c r="P26" s="29"/>
      <c r="Q26" s="29"/>
    </row>
    <row r="27" spans="2:17" ht="15.75" x14ac:dyDescent="0.25">
      <c r="B27" s="5"/>
      <c r="C27" s="5"/>
      <c r="D27" s="5"/>
      <c r="E27" s="2"/>
      <c r="F27" s="2"/>
      <c r="G27" s="2"/>
      <c r="H27" s="3"/>
      <c r="I27" s="29"/>
      <c r="J27" s="29">
        <v>1</v>
      </c>
      <c r="K27" s="30"/>
      <c r="L27" s="34" t="str">
        <f t="shared" si="0"/>
        <v>No</v>
      </c>
      <c r="M27" s="4">
        <f t="shared" si="1"/>
        <v>0</v>
      </c>
      <c r="N27" s="29"/>
      <c r="O27" s="38"/>
      <c r="P27" s="29"/>
      <c r="Q27" s="29"/>
    </row>
    <row r="28" spans="2:17" ht="15.75" x14ac:dyDescent="0.25">
      <c r="B28" s="5"/>
      <c r="C28" s="5"/>
      <c r="D28" s="5"/>
      <c r="E28" s="2"/>
      <c r="F28" s="2"/>
      <c r="G28" s="2"/>
      <c r="H28" s="3"/>
      <c r="I28" s="29"/>
      <c r="J28" s="29">
        <v>0</v>
      </c>
      <c r="K28" s="30"/>
      <c r="L28" s="34" t="str">
        <f t="shared" si="0"/>
        <v>No</v>
      </c>
      <c r="M28" s="29"/>
      <c r="N28" s="29"/>
      <c r="O28" s="29"/>
      <c r="P28" s="29"/>
      <c r="Q28" s="29"/>
    </row>
    <row r="29" spans="2:17" ht="15.75" x14ac:dyDescent="0.25">
      <c r="B29" s="5"/>
      <c r="C29" s="5"/>
      <c r="D29" s="5"/>
      <c r="E29" s="2"/>
      <c r="F29" s="2"/>
      <c r="G29" s="2"/>
      <c r="H29" s="3"/>
      <c r="I29" s="29"/>
      <c r="J29" s="29">
        <v>0</v>
      </c>
      <c r="K29" s="30"/>
      <c r="L29" s="34" t="str">
        <f t="shared" si="0"/>
        <v>No</v>
      </c>
      <c r="M29" s="29"/>
      <c r="N29" s="29"/>
      <c r="O29" s="29"/>
      <c r="P29" s="29"/>
      <c r="Q29" s="29"/>
    </row>
    <row r="30" spans="2:17" ht="15.75" x14ac:dyDescent="0.25">
      <c r="B30" s="5"/>
      <c r="C30" s="5"/>
      <c r="D30" s="5"/>
      <c r="E30" s="2"/>
      <c r="F30" s="2"/>
      <c r="G30" s="2"/>
      <c r="H30" s="3"/>
      <c r="I30" s="29"/>
      <c r="J30" s="29">
        <v>0</v>
      </c>
      <c r="K30" s="30"/>
      <c r="L30" s="34" t="str">
        <f t="shared" si="0"/>
        <v>No</v>
      </c>
      <c r="M30" s="29"/>
      <c r="N30" s="29"/>
      <c r="O30" s="29"/>
      <c r="P30" s="29"/>
      <c r="Q30" s="29"/>
    </row>
    <row r="31" spans="2:17" ht="15.75" x14ac:dyDescent="0.25">
      <c r="B31" s="29"/>
      <c r="C31" s="29"/>
      <c r="D31" s="29"/>
      <c r="E31" s="29"/>
      <c r="F31" s="29"/>
      <c r="G31" s="29"/>
      <c r="H31" s="3"/>
      <c r="I31" s="29"/>
      <c r="J31" s="29">
        <v>0</v>
      </c>
      <c r="K31" s="30"/>
      <c r="L31" s="34" t="str">
        <f t="shared" si="0"/>
        <v>No</v>
      </c>
      <c r="M31" s="29"/>
      <c r="N31" s="29"/>
      <c r="O31" s="29"/>
      <c r="P31" s="29"/>
      <c r="Q31" s="29"/>
    </row>
    <row r="32" spans="2:17" ht="15.75" x14ac:dyDescent="0.25">
      <c r="B32" s="29"/>
      <c r="C32" s="29"/>
      <c r="D32" s="29"/>
      <c r="E32" s="29"/>
      <c r="F32" s="29"/>
      <c r="G32" s="29"/>
      <c r="H32" s="3"/>
      <c r="I32" s="29"/>
      <c r="J32" s="29">
        <v>0</v>
      </c>
      <c r="K32" s="30"/>
      <c r="L32" s="34" t="str">
        <f t="shared" si="0"/>
        <v>No</v>
      </c>
      <c r="M32" s="29"/>
      <c r="N32" s="29"/>
      <c r="O32" s="29"/>
      <c r="P32" s="29"/>
      <c r="Q32" s="29"/>
    </row>
    <row r="33" spans="2:17" ht="15.75" x14ac:dyDescent="0.25">
      <c r="B33" s="29"/>
      <c r="C33" s="29"/>
      <c r="D33" s="29"/>
      <c r="E33" s="29"/>
      <c r="F33" s="29"/>
      <c r="G33" s="29"/>
      <c r="H33" s="3"/>
      <c r="I33" s="3"/>
      <c r="J33" s="29">
        <v>0</v>
      </c>
      <c r="K33" s="30"/>
      <c r="L33" s="34" t="str">
        <f t="shared" si="0"/>
        <v>No</v>
      </c>
      <c r="M33" s="29"/>
      <c r="N33" s="29"/>
      <c r="O33" s="29"/>
      <c r="P33" s="29"/>
      <c r="Q33" s="29"/>
    </row>
    <row r="34" spans="2:17" ht="15.75" x14ac:dyDescent="0.25">
      <c r="B34" s="29"/>
      <c r="C34" s="29"/>
      <c r="D34" s="29"/>
      <c r="E34" s="29"/>
      <c r="F34" s="29"/>
      <c r="G34" s="29"/>
      <c r="H34" s="3"/>
      <c r="I34" s="3"/>
      <c r="J34" s="29">
        <v>0</v>
      </c>
      <c r="K34" s="30"/>
      <c r="L34" s="34" t="str">
        <f t="shared" si="0"/>
        <v>No</v>
      </c>
      <c r="M34" s="29"/>
      <c r="N34" s="29"/>
      <c r="O34" s="29"/>
      <c r="P34" s="29"/>
      <c r="Q34" s="29"/>
    </row>
    <row r="35" spans="2:17" ht="16.5" thickBot="1" x14ac:dyDescent="0.3">
      <c r="B35" s="31"/>
      <c r="C35" s="31"/>
      <c r="D35" s="31"/>
      <c r="E35" s="31"/>
      <c r="F35" s="31"/>
      <c r="G35" s="31"/>
      <c r="H35" s="3"/>
      <c r="I35" s="35"/>
      <c r="J35" s="31">
        <v>0</v>
      </c>
      <c r="K35" s="32"/>
      <c r="L35" s="34" t="str">
        <f t="shared" si="0"/>
        <v>No</v>
      </c>
      <c r="M35" s="31"/>
      <c r="N35" s="31"/>
      <c r="O35" s="31"/>
      <c r="P35" s="31"/>
      <c r="Q35" s="31"/>
    </row>
    <row r="36" spans="2:17" ht="13.5" thickTop="1" x14ac:dyDescent="0.2"/>
    <row r="38" spans="2:17" x14ac:dyDescent="0.2">
      <c r="H38" s="33"/>
      <c r="I38" s="33"/>
    </row>
  </sheetData>
  <dataValidations count="1">
    <dataValidation type="list" allowBlank="1" showInputMessage="1" showErrorMessage="1" sqref="K19:K35 K2:K17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I23:I35 I5:I9 I18:I20 I11:I16 H5:H35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F5:F18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N5" sqref="N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5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5">
        <f>90*0.95*0.75</f>
        <v>64.125</v>
      </c>
      <c r="D3" s="25">
        <f>95*0.95*0.75</f>
        <v>67.6875</v>
      </c>
      <c r="E3" s="25">
        <f>100*0.95*0.75</f>
        <v>71.25</v>
      </c>
      <c r="F3" s="25">
        <f>115*0.95*0.75</f>
        <v>81.9375</v>
      </c>
      <c r="G3" s="25">
        <f>143*0.95*0.75</f>
        <v>101.88749999999999</v>
      </c>
      <c r="H3" s="25">
        <f>81*0.95*0.75</f>
        <v>57.712500000000006</v>
      </c>
      <c r="I3" s="18">
        <f t="shared" ref="I3:L5" si="1">+C3*1.75</f>
        <v>112.21875</v>
      </c>
      <c r="J3" s="18">
        <f t="shared" si="1"/>
        <v>118.453125</v>
      </c>
      <c r="K3" s="18">
        <f t="shared" si="1"/>
        <v>124.6875</v>
      </c>
      <c r="L3" s="18">
        <f t="shared" si="1"/>
        <v>143.390625</v>
      </c>
      <c r="M3" s="19">
        <f t="shared" si="0"/>
        <v>128.25</v>
      </c>
      <c r="N3" s="19">
        <f t="shared" si="0"/>
        <v>135.375</v>
      </c>
      <c r="O3" s="19">
        <f t="shared" si="0"/>
        <v>142.5</v>
      </c>
      <c r="P3" s="19">
        <f t="shared" si="0"/>
        <v>163.875</v>
      </c>
      <c r="Q3" s="19">
        <f t="shared" si="0"/>
        <v>203.77499999999998</v>
      </c>
      <c r="R3" s="19">
        <f t="shared" si="0"/>
        <v>115.42500000000001</v>
      </c>
      <c r="S3" s="20">
        <f t="shared" ref="S3:S5" si="2">+C3*2.8</f>
        <v>179.54999999999998</v>
      </c>
      <c r="T3" s="21">
        <f t="shared" ref="T3:W5" si="3">+E3*2.8</f>
        <v>199.5</v>
      </c>
      <c r="U3" s="21">
        <f t="shared" si="3"/>
        <v>229.42499999999998</v>
      </c>
      <c r="V3" s="21">
        <f t="shared" si="3"/>
        <v>285.28499999999997</v>
      </c>
      <c r="W3" s="21">
        <f t="shared" si="3"/>
        <v>161.595</v>
      </c>
      <c r="X3" s="22">
        <f t="shared" ref="X3:X5" si="4">+G3*3.6</f>
        <v>366.79499999999996</v>
      </c>
      <c r="Y3" s="23">
        <f t="shared" ref="Y3:AA5" si="5">+E3*2.5</f>
        <v>178.125</v>
      </c>
      <c r="Z3" s="23">
        <f t="shared" si="5"/>
        <v>204.84375</v>
      </c>
      <c r="AA3" s="23">
        <f t="shared" si="5"/>
        <v>254.71874999999997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35" sqref="C3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45200</v>
      </c>
      <c r="B2" s="8">
        <v>45230</v>
      </c>
      <c r="C2" s="25">
        <f>100*0.95*0.75</f>
        <v>71.25</v>
      </c>
      <c r="D2" s="25">
        <f>105*0.95*0.75</f>
        <v>74.8125</v>
      </c>
      <c r="E2" s="25">
        <f>110*0.95*0.75</f>
        <v>78.375</v>
      </c>
      <c r="F2" s="25">
        <f>125*0.95*0.75</f>
        <v>89.0625</v>
      </c>
      <c r="G2" s="25">
        <f>158*0.95*0.75</f>
        <v>112.57499999999999</v>
      </c>
      <c r="H2" s="25">
        <f>90*0.95*0.75</f>
        <v>64.125</v>
      </c>
      <c r="I2" s="18">
        <f t="shared" ref="I2:L2" si="0">+C2*1.75</f>
        <v>124.6875</v>
      </c>
      <c r="J2" s="18">
        <f t="shared" si="0"/>
        <v>130.921875</v>
      </c>
      <c r="K2" s="18">
        <f t="shared" si="0"/>
        <v>137.15625</v>
      </c>
      <c r="L2" s="18">
        <f t="shared" si="0"/>
        <v>155.859375</v>
      </c>
      <c r="M2" s="19">
        <f t="shared" ref="M2:R2" si="1">+C2*2</f>
        <v>142.5</v>
      </c>
      <c r="N2" s="19">
        <f t="shared" si="1"/>
        <v>149.625</v>
      </c>
      <c r="O2" s="19">
        <f t="shared" si="1"/>
        <v>156.75</v>
      </c>
      <c r="P2" s="19">
        <f t="shared" si="1"/>
        <v>178.125</v>
      </c>
      <c r="Q2" s="19">
        <f t="shared" si="1"/>
        <v>225.14999999999998</v>
      </c>
      <c r="R2" s="19">
        <f t="shared" si="1"/>
        <v>128.25</v>
      </c>
      <c r="S2" s="20">
        <f t="shared" ref="S2" si="2">+C2*2.8</f>
        <v>199.5</v>
      </c>
      <c r="T2" s="21">
        <f t="shared" ref="T2:W2" si="3">+E2*2.8</f>
        <v>219.45</v>
      </c>
      <c r="U2" s="21">
        <f t="shared" si="3"/>
        <v>249.37499999999997</v>
      </c>
      <c r="V2" s="21">
        <f t="shared" si="3"/>
        <v>315.20999999999992</v>
      </c>
      <c r="W2" s="21">
        <f t="shared" si="3"/>
        <v>179.54999999999998</v>
      </c>
      <c r="X2" s="22">
        <f t="shared" ref="X2" si="4">+G2*3.6</f>
        <v>405.27</v>
      </c>
      <c r="Y2" s="23">
        <f t="shared" ref="Y2:AA2" si="5">+E2*2.5</f>
        <v>195.9375</v>
      </c>
      <c r="Z2" s="23">
        <f t="shared" si="5"/>
        <v>222.65625</v>
      </c>
      <c r="AA2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36" sqref="V36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7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7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7" si="2">+C3*2.8</f>
        <v>191.52</v>
      </c>
      <c r="T3" s="21">
        <f t="shared" ref="T3:W7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7" si="4">+G3*3.6</f>
        <v>391.24800000000005</v>
      </c>
      <c r="Y3" s="23">
        <f t="shared" ref="Y3:AA7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6" spans="1:27" ht="15.75" x14ac:dyDescent="0.25">
      <c r="A6" s="8">
        <v>45154</v>
      </c>
      <c r="B6" s="8">
        <v>45199</v>
      </c>
      <c r="C6" s="24">
        <f>95*0.95*0.8</f>
        <v>72.2</v>
      </c>
      <c r="D6" s="24">
        <f>100*0.95*0.8</f>
        <v>76</v>
      </c>
      <c r="E6" s="24">
        <f>105*0.95*0.8</f>
        <v>79.800000000000011</v>
      </c>
      <c r="F6" s="24">
        <f>120*0.95*0.8</f>
        <v>91.2</v>
      </c>
      <c r="G6" s="24">
        <f>150*0.95*0.8</f>
        <v>114</v>
      </c>
      <c r="H6" s="24">
        <f>86*0.95*0.8</f>
        <v>65.36</v>
      </c>
      <c r="I6" s="18">
        <f t="shared" si="1"/>
        <v>126.35000000000001</v>
      </c>
      <c r="J6" s="18">
        <f t="shared" si="1"/>
        <v>133</v>
      </c>
      <c r="K6" s="18">
        <f t="shared" si="1"/>
        <v>139.65000000000003</v>
      </c>
      <c r="L6" s="18">
        <f t="shared" si="1"/>
        <v>159.6</v>
      </c>
      <c r="M6" s="19">
        <f t="shared" si="0"/>
        <v>144.4</v>
      </c>
      <c r="N6" s="19">
        <f t="shared" si="0"/>
        <v>152</v>
      </c>
      <c r="O6" s="19">
        <f t="shared" si="0"/>
        <v>159.60000000000002</v>
      </c>
      <c r="P6" s="19">
        <f t="shared" si="0"/>
        <v>182.4</v>
      </c>
      <c r="Q6" s="19">
        <f t="shared" si="0"/>
        <v>228</v>
      </c>
      <c r="R6" s="19">
        <f t="shared" si="0"/>
        <v>130.72</v>
      </c>
      <c r="S6" s="20">
        <f t="shared" si="2"/>
        <v>202.16</v>
      </c>
      <c r="T6" s="21">
        <f t="shared" si="3"/>
        <v>223.44000000000003</v>
      </c>
      <c r="U6" s="21">
        <f t="shared" si="3"/>
        <v>255.35999999999999</v>
      </c>
      <c r="V6" s="21">
        <f t="shared" si="3"/>
        <v>319.2</v>
      </c>
      <c r="W6" s="21">
        <f t="shared" si="3"/>
        <v>183.00799999999998</v>
      </c>
      <c r="X6" s="22">
        <f t="shared" si="4"/>
        <v>410.40000000000003</v>
      </c>
      <c r="Y6" s="23">
        <f t="shared" si="5"/>
        <v>199.50000000000003</v>
      </c>
      <c r="Z6" s="23">
        <f t="shared" si="5"/>
        <v>228</v>
      </c>
      <c r="AA6" s="23">
        <f t="shared" si="5"/>
        <v>285</v>
      </c>
    </row>
    <row r="7" spans="1:27" ht="15.75" x14ac:dyDescent="0.25">
      <c r="A7" s="8">
        <v>45200</v>
      </c>
      <c r="B7" s="8">
        <v>45230</v>
      </c>
      <c r="C7" s="25">
        <f>100*0.95*0.8</f>
        <v>76</v>
      </c>
      <c r="D7" s="25">
        <f>105*0.95*0.8</f>
        <v>79.800000000000011</v>
      </c>
      <c r="E7" s="25">
        <f>110*0.95*0.8</f>
        <v>83.600000000000009</v>
      </c>
      <c r="F7" s="25">
        <f>125*0.95*0.8</f>
        <v>95</v>
      </c>
      <c r="G7" s="25">
        <f>158*0.95*0.8</f>
        <v>120.08</v>
      </c>
      <c r="H7" s="25">
        <f>90*0.95*0.8</f>
        <v>68.400000000000006</v>
      </c>
      <c r="I7" s="18">
        <f t="shared" si="1"/>
        <v>133</v>
      </c>
      <c r="J7" s="18">
        <f t="shared" si="1"/>
        <v>139.65000000000003</v>
      </c>
      <c r="K7" s="18">
        <f t="shared" si="1"/>
        <v>146.30000000000001</v>
      </c>
      <c r="L7" s="18">
        <f t="shared" si="1"/>
        <v>166.25</v>
      </c>
      <c r="M7" s="19">
        <f t="shared" si="0"/>
        <v>152</v>
      </c>
      <c r="N7" s="19">
        <f t="shared" si="0"/>
        <v>159.60000000000002</v>
      </c>
      <c r="O7" s="19">
        <f t="shared" si="0"/>
        <v>167.20000000000002</v>
      </c>
      <c r="P7" s="19">
        <f t="shared" si="0"/>
        <v>190</v>
      </c>
      <c r="Q7" s="19">
        <f t="shared" si="0"/>
        <v>240.16</v>
      </c>
      <c r="R7" s="19">
        <f t="shared" si="0"/>
        <v>136.80000000000001</v>
      </c>
      <c r="S7" s="20">
        <f t="shared" si="2"/>
        <v>212.79999999999998</v>
      </c>
      <c r="T7" s="21">
        <f t="shared" si="3"/>
        <v>234.08</v>
      </c>
      <c r="U7" s="21">
        <f t="shared" si="3"/>
        <v>266</v>
      </c>
      <c r="V7" s="21">
        <f t="shared" si="3"/>
        <v>336.22399999999999</v>
      </c>
      <c r="W7" s="21">
        <f t="shared" si="3"/>
        <v>191.52</v>
      </c>
      <c r="X7" s="22">
        <f t="shared" si="4"/>
        <v>432.28800000000001</v>
      </c>
      <c r="Y7" s="23">
        <f t="shared" si="5"/>
        <v>209.00000000000003</v>
      </c>
      <c r="Z7" s="23">
        <f t="shared" si="5"/>
        <v>237.5</v>
      </c>
      <c r="AA7" s="23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S29" sqref="S29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</f>
        <v>63.174999999999997</v>
      </c>
      <c r="D2" s="24">
        <f>100*0.95*0.7</f>
        <v>66.5</v>
      </c>
      <c r="E2" s="24">
        <f>105*0.95*0.7</f>
        <v>69.824999999999989</v>
      </c>
      <c r="F2" s="24">
        <f>120*0.95*0.7</f>
        <v>79.8</v>
      </c>
      <c r="G2" s="24">
        <f>150*0.95*0.7</f>
        <v>99.75</v>
      </c>
      <c r="H2" s="24">
        <f>86*0.95*0.7</f>
        <v>57.19</v>
      </c>
      <c r="I2" s="18">
        <f>+C2*1.75</f>
        <v>110.55624999999999</v>
      </c>
      <c r="J2" s="18">
        <f>+D2*1.75</f>
        <v>116.375</v>
      </c>
      <c r="K2" s="18">
        <f>+E2*1.75</f>
        <v>122.19374999999998</v>
      </c>
      <c r="L2" s="18">
        <f>+F2*1.75</f>
        <v>139.65</v>
      </c>
      <c r="M2" s="19">
        <f t="shared" ref="M2:R7" si="0">+C2*2</f>
        <v>126.35</v>
      </c>
      <c r="N2" s="19">
        <f t="shared" si="0"/>
        <v>133</v>
      </c>
      <c r="O2" s="19">
        <f t="shared" si="0"/>
        <v>139.64999999999998</v>
      </c>
      <c r="P2" s="19">
        <f t="shared" si="0"/>
        <v>159.6</v>
      </c>
      <c r="Q2" s="19">
        <f t="shared" si="0"/>
        <v>199.5</v>
      </c>
      <c r="R2" s="19">
        <f t="shared" si="0"/>
        <v>114.38</v>
      </c>
      <c r="S2" s="20">
        <f>+C2*2.8</f>
        <v>176.89</v>
      </c>
      <c r="T2" s="21">
        <f>+E2*2.8</f>
        <v>195.50999999999996</v>
      </c>
      <c r="U2" s="21">
        <f>+F2*2.8</f>
        <v>223.43999999999997</v>
      </c>
      <c r="V2" s="21">
        <f>+G2*2.8</f>
        <v>279.29999999999995</v>
      </c>
      <c r="W2" s="21">
        <f>+H2*2.8</f>
        <v>160.13199999999998</v>
      </c>
      <c r="X2" s="22">
        <f>+G2*3.6</f>
        <v>359.1</v>
      </c>
      <c r="Y2" s="23">
        <f>+E2*2.5</f>
        <v>174.56249999999997</v>
      </c>
      <c r="Z2" s="23">
        <f>+F2*2.5</f>
        <v>199.5</v>
      </c>
      <c r="AA2" s="23">
        <f>+G2*2.5</f>
        <v>249.375</v>
      </c>
    </row>
    <row r="3" spans="1:27" ht="15.75" x14ac:dyDescent="0.25">
      <c r="A3" s="8">
        <v>45062</v>
      </c>
      <c r="B3" s="8">
        <v>45107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7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7" si="2">+C3*2.8</f>
        <v>191.52</v>
      </c>
      <c r="T3" s="21">
        <f t="shared" ref="T3:W7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7" si="4">+G3*3.6</f>
        <v>391.24800000000005</v>
      </c>
      <c r="Y3" s="23">
        <f t="shared" ref="Y3:AA7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>+G5*2.8</f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6" spans="1:27" ht="15.75" x14ac:dyDescent="0.25">
      <c r="A6" s="8">
        <v>45154</v>
      </c>
      <c r="B6" s="8">
        <v>45199</v>
      </c>
      <c r="C6" s="24">
        <f>95*0.95*0.85</f>
        <v>76.712499999999991</v>
      </c>
      <c r="D6" s="24">
        <f>100*0.95*0.85</f>
        <v>80.75</v>
      </c>
      <c r="E6" s="24">
        <f>105*0.95*0.85</f>
        <v>84.787499999999994</v>
      </c>
      <c r="F6" s="24">
        <f>120*0.95*0.85</f>
        <v>96.899999999999991</v>
      </c>
      <c r="G6" s="24">
        <f>150*0.95*0.85</f>
        <v>121.125</v>
      </c>
      <c r="H6" s="24">
        <f>86*0.95*0.85</f>
        <v>69.445000000000007</v>
      </c>
      <c r="I6" s="18">
        <f t="shared" si="1"/>
        <v>134.24687499999999</v>
      </c>
      <c r="J6" s="18">
        <f t="shared" si="1"/>
        <v>141.3125</v>
      </c>
      <c r="K6" s="18">
        <f t="shared" si="1"/>
        <v>148.37812499999998</v>
      </c>
      <c r="L6" s="18">
        <f t="shared" si="1"/>
        <v>169.57499999999999</v>
      </c>
      <c r="M6" s="19">
        <f t="shared" si="0"/>
        <v>153.42499999999998</v>
      </c>
      <c r="N6" s="19">
        <f t="shared" si="0"/>
        <v>161.5</v>
      </c>
      <c r="O6" s="19">
        <f t="shared" si="0"/>
        <v>169.57499999999999</v>
      </c>
      <c r="P6" s="19">
        <f t="shared" si="0"/>
        <v>193.79999999999998</v>
      </c>
      <c r="Q6" s="19">
        <f t="shared" si="0"/>
        <v>242.25</v>
      </c>
      <c r="R6" s="19">
        <f t="shared" si="0"/>
        <v>138.89000000000001</v>
      </c>
      <c r="S6" s="20">
        <f t="shared" si="2"/>
        <v>214.79499999999996</v>
      </c>
      <c r="T6" s="21">
        <f t="shared" si="3"/>
        <v>237.40499999999997</v>
      </c>
      <c r="U6" s="21">
        <f t="shared" si="3"/>
        <v>271.31999999999994</v>
      </c>
      <c r="V6" s="21">
        <f t="shared" si="3"/>
        <v>339.15</v>
      </c>
      <c r="W6" s="21">
        <f t="shared" si="3"/>
        <v>194.446</v>
      </c>
      <c r="X6" s="22">
        <f t="shared" si="4"/>
        <v>436.05</v>
      </c>
      <c r="Y6" s="23">
        <f t="shared" si="5"/>
        <v>211.96875</v>
      </c>
      <c r="Z6" s="23">
        <f t="shared" si="5"/>
        <v>242.24999999999997</v>
      </c>
      <c r="AA6" s="23">
        <f t="shared" si="5"/>
        <v>302.8125</v>
      </c>
    </row>
    <row r="7" spans="1:27" ht="15.75" x14ac:dyDescent="0.25">
      <c r="A7" s="8">
        <v>45200</v>
      </c>
      <c r="B7" s="8">
        <v>45230</v>
      </c>
      <c r="C7" s="25">
        <f>100*0.95*0.8</f>
        <v>76</v>
      </c>
      <c r="D7" s="25">
        <f>105*0.95*0.8</f>
        <v>79.800000000000011</v>
      </c>
      <c r="E7" s="25">
        <f>110*0.95*0.8</f>
        <v>83.600000000000009</v>
      </c>
      <c r="F7" s="25">
        <f>125*0.95*0.8</f>
        <v>95</v>
      </c>
      <c r="G7" s="25">
        <f>158*0.95*0.8</f>
        <v>120.08</v>
      </c>
      <c r="H7" s="25">
        <f>90*0.95*0.8</f>
        <v>68.400000000000006</v>
      </c>
      <c r="I7" s="18">
        <f t="shared" si="1"/>
        <v>133</v>
      </c>
      <c r="J7" s="18">
        <f t="shared" si="1"/>
        <v>139.65000000000003</v>
      </c>
      <c r="K7" s="18">
        <f t="shared" si="1"/>
        <v>146.30000000000001</v>
      </c>
      <c r="L7" s="18">
        <f t="shared" si="1"/>
        <v>166.25</v>
      </c>
      <c r="M7" s="19">
        <f t="shared" si="0"/>
        <v>152</v>
      </c>
      <c r="N7" s="19">
        <f t="shared" si="0"/>
        <v>159.60000000000002</v>
      </c>
      <c r="O7" s="19">
        <f t="shared" si="0"/>
        <v>167.20000000000002</v>
      </c>
      <c r="P7" s="19">
        <f t="shared" si="0"/>
        <v>190</v>
      </c>
      <c r="Q7" s="19">
        <f t="shared" si="0"/>
        <v>240.16</v>
      </c>
      <c r="R7" s="19">
        <f t="shared" si="0"/>
        <v>136.80000000000001</v>
      </c>
      <c r="S7" s="20">
        <f t="shared" si="2"/>
        <v>212.79999999999998</v>
      </c>
      <c r="T7" s="21">
        <f t="shared" si="3"/>
        <v>234.08</v>
      </c>
      <c r="U7" s="21">
        <f t="shared" si="3"/>
        <v>266</v>
      </c>
      <c r="V7" s="21">
        <f t="shared" si="3"/>
        <v>336.22399999999999</v>
      </c>
      <c r="W7" s="21">
        <f t="shared" si="3"/>
        <v>191.52</v>
      </c>
      <c r="X7" s="22">
        <f t="shared" si="4"/>
        <v>432.28800000000001</v>
      </c>
      <c r="Y7" s="23">
        <f t="shared" si="5"/>
        <v>209.00000000000003</v>
      </c>
      <c r="Z7" s="23">
        <f t="shared" si="5"/>
        <v>237.5</v>
      </c>
      <c r="AA7" s="23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45052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9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45069</v>
      </c>
      <c r="C3" s="25">
        <f>90*0.95*0.85</f>
        <v>72.674999999999997</v>
      </c>
      <c r="D3" s="25">
        <f>95*0.95*0.85</f>
        <v>76.712499999999991</v>
      </c>
      <c r="E3" s="25">
        <f>100*0.95*0.85</f>
        <v>80.75</v>
      </c>
      <c r="F3" s="25">
        <f>115*0.95*0.85</f>
        <v>92.862499999999997</v>
      </c>
      <c r="G3" s="25">
        <f>143*0.95*0.85</f>
        <v>115.4725</v>
      </c>
      <c r="H3" s="25">
        <f>81*0.95*0.85</f>
        <v>65.407499999999999</v>
      </c>
      <c r="I3" s="18">
        <f t="shared" ref="I3:L9" si="1">+C3*1.75</f>
        <v>127.18124999999999</v>
      </c>
      <c r="J3" s="18">
        <f t="shared" si="1"/>
        <v>134.24687499999999</v>
      </c>
      <c r="K3" s="18">
        <f t="shared" si="1"/>
        <v>141.3125</v>
      </c>
      <c r="L3" s="18">
        <f t="shared" si="1"/>
        <v>162.50937500000001</v>
      </c>
      <c r="M3" s="19">
        <f t="shared" si="0"/>
        <v>145.35</v>
      </c>
      <c r="N3" s="19">
        <f t="shared" si="0"/>
        <v>153.42499999999998</v>
      </c>
      <c r="O3" s="19">
        <f t="shared" si="0"/>
        <v>161.5</v>
      </c>
      <c r="P3" s="19">
        <f t="shared" si="0"/>
        <v>185.72499999999999</v>
      </c>
      <c r="Q3" s="19">
        <f t="shared" si="0"/>
        <v>230.94499999999999</v>
      </c>
      <c r="R3" s="19">
        <f t="shared" si="0"/>
        <v>130.815</v>
      </c>
      <c r="S3" s="20">
        <f t="shared" ref="S3:S9" si="2">+C3*2.8</f>
        <v>203.48999999999998</v>
      </c>
      <c r="T3" s="21">
        <f t="shared" ref="T3:W9" si="3">+E3*2.8</f>
        <v>226.1</v>
      </c>
      <c r="U3" s="21">
        <f t="shared" si="3"/>
        <v>260.01499999999999</v>
      </c>
      <c r="V3" s="21">
        <f t="shared" si="3"/>
        <v>323.32299999999998</v>
      </c>
      <c r="W3" s="21">
        <f t="shared" si="3"/>
        <v>183.14099999999999</v>
      </c>
      <c r="X3" s="22">
        <f t="shared" ref="X3:X9" si="4">+G3*3.6</f>
        <v>415.70100000000002</v>
      </c>
      <c r="Y3" s="23">
        <f t="shared" ref="Y3:AA9" si="5">+E3*2.5</f>
        <v>201.875</v>
      </c>
      <c r="Z3" s="23">
        <f t="shared" si="5"/>
        <v>232.15625</v>
      </c>
      <c r="AA3" s="23">
        <f t="shared" si="5"/>
        <v>288.68124999999998</v>
      </c>
    </row>
    <row r="4" spans="1:27" ht="15.75" x14ac:dyDescent="0.25">
      <c r="A4" s="8">
        <v>45070</v>
      </c>
      <c r="B4" s="8">
        <v>45103</v>
      </c>
      <c r="C4" s="25">
        <f>90*0.95*0.75</f>
        <v>64.125</v>
      </c>
      <c r="D4" s="25">
        <f>95*0.95*0.75</f>
        <v>67.6875</v>
      </c>
      <c r="E4" s="25">
        <f>100*0.95*0.75</f>
        <v>71.25</v>
      </c>
      <c r="F4" s="25">
        <f>115*0.95*0.75</f>
        <v>81.9375</v>
      </c>
      <c r="G4" s="25">
        <f>143*0.95*0.75</f>
        <v>101.88749999999999</v>
      </c>
      <c r="H4" s="25">
        <f>81*0.95*0.75</f>
        <v>57.712500000000006</v>
      </c>
      <c r="I4" s="18">
        <f t="shared" ref="I4" si="6">+C4*1.75</f>
        <v>112.21875</v>
      </c>
      <c r="J4" s="18">
        <f t="shared" ref="J4" si="7">+D4*1.75</f>
        <v>118.453125</v>
      </c>
      <c r="K4" s="18">
        <f t="shared" ref="K4" si="8">+E4*1.75</f>
        <v>124.6875</v>
      </c>
      <c r="L4" s="18">
        <f t="shared" ref="L4" si="9">+F4*1.75</f>
        <v>143.390625</v>
      </c>
      <c r="M4" s="19">
        <f t="shared" ref="M4" si="10">+C4*2</f>
        <v>128.25</v>
      </c>
      <c r="N4" s="19">
        <f t="shared" ref="N4" si="11">+D4*2</f>
        <v>135.375</v>
      </c>
      <c r="O4" s="19">
        <f t="shared" ref="O4" si="12">+E4*2</f>
        <v>142.5</v>
      </c>
      <c r="P4" s="19">
        <f t="shared" ref="P4" si="13">+F4*2</f>
        <v>163.875</v>
      </c>
      <c r="Q4" s="19">
        <f t="shared" ref="Q4" si="14">+G4*2</f>
        <v>203.77499999999998</v>
      </c>
      <c r="R4" s="19">
        <f t="shared" ref="R4" si="15">+H4*2</f>
        <v>115.42500000000001</v>
      </c>
      <c r="S4" s="20">
        <f t="shared" ref="S4" si="16">+C4*2.8</f>
        <v>179.54999999999998</v>
      </c>
      <c r="T4" s="21">
        <f t="shared" ref="T4" si="17">+E4*2.8</f>
        <v>199.5</v>
      </c>
      <c r="U4" s="21">
        <f t="shared" ref="U4" si="18">+F4*2.8</f>
        <v>229.42499999999998</v>
      </c>
      <c r="V4" s="21">
        <f t="shared" ref="V4" si="19">+G4*2.8</f>
        <v>285.28499999999997</v>
      </c>
      <c r="W4" s="21">
        <f t="shared" ref="W4" si="20">+H4*2.8</f>
        <v>161.595</v>
      </c>
      <c r="X4" s="22">
        <f t="shared" ref="X4" si="21">+G4*3.6</f>
        <v>366.79499999999996</v>
      </c>
      <c r="Y4" s="23">
        <f t="shared" ref="Y4" si="22">+E4*2.5</f>
        <v>178.125</v>
      </c>
      <c r="Z4" s="23">
        <f t="shared" ref="Z4" si="23">+F4*2.5</f>
        <v>204.84375</v>
      </c>
      <c r="AA4" s="23">
        <f t="shared" ref="AA4" si="24">+G4*2.5</f>
        <v>254.71874999999997</v>
      </c>
    </row>
    <row r="5" spans="1:27" ht="15.75" x14ac:dyDescent="0.25">
      <c r="A5" s="8">
        <v>45104</v>
      </c>
      <c r="B5" s="8">
        <v>45107</v>
      </c>
      <c r="C5" s="25">
        <f>90*0.95*0.8</f>
        <v>68.400000000000006</v>
      </c>
      <c r="D5" s="25">
        <f>95*0.95*0.8</f>
        <v>72.2</v>
      </c>
      <c r="E5" s="25">
        <f>100*0.95*0.8</f>
        <v>76</v>
      </c>
      <c r="F5" s="25">
        <f>115*0.95*0.8</f>
        <v>87.4</v>
      </c>
      <c r="G5" s="25">
        <f>143*0.95*0.8</f>
        <v>108.68</v>
      </c>
      <c r="H5" s="25">
        <f>81*0.95*0.8</f>
        <v>61.56</v>
      </c>
      <c r="I5" s="18">
        <f t="shared" ref="I5" si="25">+C5*1.75</f>
        <v>119.70000000000002</v>
      </c>
      <c r="J5" s="18">
        <f t="shared" ref="J5" si="26">+D5*1.75</f>
        <v>126.35000000000001</v>
      </c>
      <c r="K5" s="18">
        <f t="shared" ref="K5" si="27">+E5*1.75</f>
        <v>133</v>
      </c>
      <c r="L5" s="18">
        <f t="shared" ref="L5" si="28">+F5*1.75</f>
        <v>152.95000000000002</v>
      </c>
      <c r="M5" s="19">
        <f t="shared" ref="M5" si="29">+C5*2</f>
        <v>136.80000000000001</v>
      </c>
      <c r="N5" s="19">
        <f t="shared" ref="N5" si="30">+D5*2</f>
        <v>144.4</v>
      </c>
      <c r="O5" s="19">
        <f t="shared" ref="O5" si="31">+E5*2</f>
        <v>152</v>
      </c>
      <c r="P5" s="19">
        <f t="shared" ref="P5" si="32">+F5*2</f>
        <v>174.8</v>
      </c>
      <c r="Q5" s="19">
        <f t="shared" ref="Q5" si="33">+G5*2</f>
        <v>217.36</v>
      </c>
      <c r="R5" s="19">
        <f t="shared" ref="R5" si="34">+H5*2</f>
        <v>123.12</v>
      </c>
      <c r="S5" s="20">
        <f t="shared" ref="S5" si="35">+C5*2.8</f>
        <v>191.52</v>
      </c>
      <c r="T5" s="21">
        <f t="shared" ref="T5" si="36">+E5*2.8</f>
        <v>212.79999999999998</v>
      </c>
      <c r="U5" s="21">
        <f t="shared" ref="U5" si="37">+F5*2.8</f>
        <v>244.72</v>
      </c>
      <c r="V5" s="21">
        <f t="shared" ref="V5" si="38">+G5*2.8</f>
        <v>304.30399999999997</v>
      </c>
      <c r="W5" s="21">
        <f t="shared" ref="W5" si="39">+H5*2.8</f>
        <v>172.36799999999999</v>
      </c>
      <c r="X5" s="22">
        <f t="shared" ref="X5" si="40">+G5*3.6</f>
        <v>391.24800000000005</v>
      </c>
      <c r="Y5" s="23">
        <f t="shared" ref="Y5" si="41">+E5*2.5</f>
        <v>190</v>
      </c>
      <c r="Z5" s="23">
        <f t="shared" ref="Z5" si="42">+F5*2.5</f>
        <v>218.5</v>
      </c>
      <c r="AA5" s="23">
        <f t="shared" ref="AA5" si="43">+G5*2.5</f>
        <v>271.70000000000005</v>
      </c>
    </row>
    <row r="6" spans="1:27" ht="15.75" x14ac:dyDescent="0.25">
      <c r="A6" s="8">
        <v>45108</v>
      </c>
      <c r="B6" s="8">
        <v>45121</v>
      </c>
      <c r="C6" s="24">
        <f>95*0.95*0.75</f>
        <v>67.6875</v>
      </c>
      <c r="D6" s="24">
        <f>100*0.95*0.75</f>
        <v>71.25</v>
      </c>
      <c r="E6" s="24">
        <f>105*0.95*0.75</f>
        <v>74.8125</v>
      </c>
      <c r="F6" s="24">
        <f>120*0.95*0.75</f>
        <v>85.5</v>
      </c>
      <c r="G6" s="24">
        <f>150*0.95*0.75</f>
        <v>106.875</v>
      </c>
      <c r="H6" s="24">
        <f>86*0.95*0.75</f>
        <v>61.275000000000006</v>
      </c>
      <c r="I6" s="18">
        <f t="shared" si="1"/>
        <v>118.453125</v>
      </c>
      <c r="J6" s="18">
        <f t="shared" si="1"/>
        <v>124.6875</v>
      </c>
      <c r="K6" s="18">
        <f t="shared" si="1"/>
        <v>130.921875</v>
      </c>
      <c r="L6" s="18">
        <f t="shared" si="1"/>
        <v>149.625</v>
      </c>
      <c r="M6" s="19">
        <f t="shared" si="0"/>
        <v>135.375</v>
      </c>
      <c r="N6" s="19">
        <f t="shared" si="0"/>
        <v>142.5</v>
      </c>
      <c r="O6" s="19">
        <f t="shared" si="0"/>
        <v>149.625</v>
      </c>
      <c r="P6" s="19">
        <f t="shared" si="0"/>
        <v>171</v>
      </c>
      <c r="Q6" s="19">
        <f t="shared" si="0"/>
        <v>213.75</v>
      </c>
      <c r="R6" s="19">
        <f t="shared" si="0"/>
        <v>122.55000000000001</v>
      </c>
      <c r="S6" s="20">
        <f t="shared" si="2"/>
        <v>189.52499999999998</v>
      </c>
      <c r="T6" s="21">
        <f t="shared" si="3"/>
        <v>209.47499999999999</v>
      </c>
      <c r="U6" s="21">
        <f t="shared" si="3"/>
        <v>239.39999999999998</v>
      </c>
      <c r="V6" s="21">
        <f t="shared" si="3"/>
        <v>299.25</v>
      </c>
      <c r="W6" s="21">
        <f t="shared" si="3"/>
        <v>171.57</v>
      </c>
      <c r="X6" s="22">
        <f t="shared" si="4"/>
        <v>384.75</v>
      </c>
      <c r="Y6" s="23">
        <f t="shared" si="5"/>
        <v>187.03125</v>
      </c>
      <c r="Z6" s="23">
        <f t="shared" si="5"/>
        <v>213.75</v>
      </c>
      <c r="AA6" s="23">
        <f t="shared" si="5"/>
        <v>267.1875</v>
      </c>
    </row>
    <row r="7" spans="1:27" ht="15.75" x14ac:dyDescent="0.25">
      <c r="A7" s="8">
        <v>45122</v>
      </c>
      <c r="B7" s="8">
        <v>45153</v>
      </c>
      <c r="C7" s="25">
        <f>100*0.95*0.75</f>
        <v>71.25</v>
      </c>
      <c r="D7" s="25">
        <f>105*0.95*0.75</f>
        <v>74.8125</v>
      </c>
      <c r="E7" s="25">
        <f>110*0.95*0.75</f>
        <v>78.375</v>
      </c>
      <c r="F7" s="25">
        <f>125*0.95*0.75</f>
        <v>89.0625</v>
      </c>
      <c r="G7" s="25">
        <f>158*0.95*0.75</f>
        <v>112.57499999999999</v>
      </c>
      <c r="H7" s="25">
        <f>90*0.95*0.75</f>
        <v>64.125</v>
      </c>
      <c r="I7" s="18">
        <f t="shared" si="1"/>
        <v>124.6875</v>
      </c>
      <c r="J7" s="18">
        <f t="shared" si="1"/>
        <v>130.921875</v>
      </c>
      <c r="K7" s="18">
        <f t="shared" si="1"/>
        <v>137.15625</v>
      </c>
      <c r="L7" s="18">
        <f t="shared" si="1"/>
        <v>155.859375</v>
      </c>
      <c r="M7" s="19">
        <f t="shared" si="0"/>
        <v>142.5</v>
      </c>
      <c r="N7" s="19">
        <f t="shared" si="0"/>
        <v>149.625</v>
      </c>
      <c r="O7" s="19">
        <f t="shared" si="0"/>
        <v>156.75</v>
      </c>
      <c r="P7" s="19">
        <f t="shared" si="0"/>
        <v>178.125</v>
      </c>
      <c r="Q7" s="19">
        <f t="shared" si="0"/>
        <v>225.14999999999998</v>
      </c>
      <c r="R7" s="19">
        <f t="shared" si="0"/>
        <v>128.25</v>
      </c>
      <c r="S7" s="20">
        <f t="shared" si="2"/>
        <v>199.5</v>
      </c>
      <c r="T7" s="21">
        <f t="shared" si="3"/>
        <v>219.45</v>
      </c>
      <c r="U7" s="21">
        <f t="shared" si="3"/>
        <v>249.37499999999997</v>
      </c>
      <c r="V7" s="21">
        <f t="shared" si="3"/>
        <v>315.20999999999992</v>
      </c>
      <c r="W7" s="21">
        <f t="shared" si="3"/>
        <v>179.54999999999998</v>
      </c>
      <c r="X7" s="22">
        <f t="shared" si="4"/>
        <v>405.27</v>
      </c>
      <c r="Y7" s="23">
        <f t="shared" si="5"/>
        <v>195.9375</v>
      </c>
      <c r="Z7" s="23">
        <f t="shared" si="5"/>
        <v>222.65625</v>
      </c>
      <c r="AA7" s="23">
        <f t="shared" si="5"/>
        <v>281.4375</v>
      </c>
    </row>
    <row r="8" spans="1:27" ht="15.75" x14ac:dyDescent="0.25">
      <c r="A8" s="8">
        <v>45154</v>
      </c>
      <c r="B8" s="8">
        <v>45199</v>
      </c>
      <c r="C8" s="24">
        <f>95*0.95*0.85</f>
        <v>76.712499999999991</v>
      </c>
      <c r="D8" s="24">
        <f>100*0.95*0.85</f>
        <v>80.75</v>
      </c>
      <c r="E8" s="24">
        <f>105*0.95*0.85</f>
        <v>84.787499999999994</v>
      </c>
      <c r="F8" s="24">
        <f>120*0.95*0.85</f>
        <v>96.899999999999991</v>
      </c>
      <c r="G8" s="24">
        <f>150*0.95*0.85</f>
        <v>121.125</v>
      </c>
      <c r="H8" s="24">
        <f>86*0.95*0.85</f>
        <v>69.445000000000007</v>
      </c>
      <c r="I8" s="18">
        <f t="shared" si="1"/>
        <v>134.24687499999999</v>
      </c>
      <c r="J8" s="18">
        <f t="shared" si="1"/>
        <v>141.3125</v>
      </c>
      <c r="K8" s="18">
        <f t="shared" si="1"/>
        <v>148.37812499999998</v>
      </c>
      <c r="L8" s="18">
        <f t="shared" si="1"/>
        <v>169.57499999999999</v>
      </c>
      <c r="M8" s="19">
        <f t="shared" si="0"/>
        <v>153.42499999999998</v>
      </c>
      <c r="N8" s="19">
        <f t="shared" si="0"/>
        <v>161.5</v>
      </c>
      <c r="O8" s="19">
        <f t="shared" si="0"/>
        <v>169.57499999999999</v>
      </c>
      <c r="P8" s="19">
        <f t="shared" si="0"/>
        <v>193.79999999999998</v>
      </c>
      <c r="Q8" s="19">
        <f t="shared" si="0"/>
        <v>242.25</v>
      </c>
      <c r="R8" s="19">
        <f t="shared" si="0"/>
        <v>138.89000000000001</v>
      </c>
      <c r="S8" s="20">
        <f t="shared" si="2"/>
        <v>214.79499999999996</v>
      </c>
      <c r="T8" s="21">
        <f t="shared" si="3"/>
        <v>237.40499999999997</v>
      </c>
      <c r="U8" s="21">
        <f t="shared" si="3"/>
        <v>271.31999999999994</v>
      </c>
      <c r="V8" s="21">
        <f t="shared" si="3"/>
        <v>339.15</v>
      </c>
      <c r="W8" s="21">
        <f t="shared" si="3"/>
        <v>194.446</v>
      </c>
      <c r="X8" s="22">
        <f t="shared" si="4"/>
        <v>436.05</v>
      </c>
      <c r="Y8" s="23">
        <f t="shared" si="5"/>
        <v>211.96875</v>
      </c>
      <c r="Z8" s="23">
        <f t="shared" si="5"/>
        <v>242.24999999999997</v>
      </c>
      <c r="AA8" s="23">
        <f t="shared" si="5"/>
        <v>302.8125</v>
      </c>
    </row>
    <row r="9" spans="1:27" ht="15.75" x14ac:dyDescent="0.25">
      <c r="A9" s="8">
        <v>45200</v>
      </c>
      <c r="B9" s="8">
        <v>45230</v>
      </c>
      <c r="C9" s="25">
        <f>100*0.95*0.8</f>
        <v>76</v>
      </c>
      <c r="D9" s="25">
        <f>105*0.95*0.8</f>
        <v>79.800000000000011</v>
      </c>
      <c r="E9" s="25">
        <f>110*0.95*0.8</f>
        <v>83.600000000000009</v>
      </c>
      <c r="F9" s="25">
        <f>125*0.95*0.8</f>
        <v>95</v>
      </c>
      <c r="G9" s="25">
        <f>158*0.95*0.8</f>
        <v>120.08</v>
      </c>
      <c r="H9" s="25">
        <f>90*0.95*0.8</f>
        <v>68.400000000000006</v>
      </c>
      <c r="I9" s="18">
        <f t="shared" si="1"/>
        <v>133</v>
      </c>
      <c r="J9" s="18">
        <f t="shared" si="1"/>
        <v>139.65000000000003</v>
      </c>
      <c r="K9" s="18">
        <f t="shared" si="1"/>
        <v>146.30000000000001</v>
      </c>
      <c r="L9" s="18">
        <f t="shared" si="1"/>
        <v>166.25</v>
      </c>
      <c r="M9" s="19">
        <f t="shared" si="0"/>
        <v>152</v>
      </c>
      <c r="N9" s="19">
        <f t="shared" si="0"/>
        <v>159.60000000000002</v>
      </c>
      <c r="O9" s="19">
        <f t="shared" si="0"/>
        <v>167.20000000000002</v>
      </c>
      <c r="P9" s="19">
        <f t="shared" si="0"/>
        <v>190</v>
      </c>
      <c r="Q9" s="19">
        <f t="shared" si="0"/>
        <v>240.16</v>
      </c>
      <c r="R9" s="19">
        <f t="shared" si="0"/>
        <v>136.80000000000001</v>
      </c>
      <c r="S9" s="20">
        <f t="shared" si="2"/>
        <v>212.79999999999998</v>
      </c>
      <c r="T9" s="21">
        <f t="shared" si="3"/>
        <v>234.08</v>
      </c>
      <c r="U9" s="21">
        <f t="shared" si="3"/>
        <v>266</v>
      </c>
      <c r="V9" s="21">
        <f t="shared" si="3"/>
        <v>336.22399999999999</v>
      </c>
      <c r="W9" s="21">
        <f t="shared" si="3"/>
        <v>191.52</v>
      </c>
      <c r="X9" s="22">
        <f t="shared" si="4"/>
        <v>432.28800000000001</v>
      </c>
      <c r="Y9" s="23">
        <f t="shared" si="5"/>
        <v>209.00000000000003</v>
      </c>
      <c r="Z9" s="23">
        <f t="shared" si="5"/>
        <v>237.5</v>
      </c>
      <c r="AA9" s="23">
        <f t="shared" si="5"/>
        <v>300.2</v>
      </c>
    </row>
    <row r="13" spans="1:27" x14ac:dyDescent="0.2">
      <c r="J13" s="37"/>
    </row>
    <row r="14" spans="1:27" x14ac:dyDescent="0.2">
      <c r="N14" s="37"/>
      <c r="O14" s="37"/>
    </row>
    <row r="16" spans="1:27" x14ac:dyDescent="0.2">
      <c r="J16" s="3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95*0.95*0.8</f>
        <v>72.2</v>
      </c>
      <c r="D2" s="24">
        <f>100*0.95*0.8</f>
        <v>76</v>
      </c>
      <c r="E2" s="24">
        <f>105*0.95*0.8</f>
        <v>79.800000000000011</v>
      </c>
      <c r="F2" s="24">
        <f>120*0.95*0.8</f>
        <v>91.2</v>
      </c>
      <c r="G2" s="24">
        <f>150*0.95*0.8</f>
        <v>114</v>
      </c>
      <c r="H2" s="24">
        <f>86*0.95*0.8</f>
        <v>65.36</v>
      </c>
      <c r="I2" s="18">
        <f>+C2*1.75</f>
        <v>126.35000000000001</v>
      </c>
      <c r="J2" s="18">
        <f>+D2*1.75</f>
        <v>133</v>
      </c>
      <c r="K2" s="18">
        <f>+E2*1.75</f>
        <v>139.65000000000003</v>
      </c>
      <c r="L2" s="18">
        <f>+F2*1.75</f>
        <v>159.6</v>
      </c>
      <c r="M2" s="19">
        <f t="shared" ref="M2:R9" si="0">+C2*2</f>
        <v>144.4</v>
      </c>
      <c r="N2" s="19">
        <f t="shared" si="0"/>
        <v>152</v>
      </c>
      <c r="O2" s="19">
        <f t="shared" si="0"/>
        <v>159.60000000000002</v>
      </c>
      <c r="P2" s="19">
        <f t="shared" si="0"/>
        <v>182.4</v>
      </c>
      <c r="Q2" s="19">
        <f t="shared" si="0"/>
        <v>228</v>
      </c>
      <c r="R2" s="19">
        <f t="shared" si="0"/>
        <v>130.72</v>
      </c>
      <c r="S2" s="20">
        <f>+C2*2.8</f>
        <v>202.16</v>
      </c>
      <c r="T2" s="21">
        <f>+E2*2.8</f>
        <v>223.44000000000003</v>
      </c>
      <c r="U2" s="21">
        <f>+F2*2.8</f>
        <v>255.35999999999999</v>
      </c>
      <c r="V2" s="21">
        <f>+G2*2.8</f>
        <v>319.2</v>
      </c>
      <c r="W2" s="21">
        <f>+H2*2.8</f>
        <v>183.00799999999998</v>
      </c>
      <c r="X2" s="22">
        <f>+G2*3.6</f>
        <v>410.40000000000003</v>
      </c>
      <c r="Y2" s="23">
        <f>+E2*2.5</f>
        <v>199.50000000000003</v>
      </c>
      <c r="Z2" s="23">
        <f>+F2*2.5</f>
        <v>228</v>
      </c>
      <c r="AA2" s="23">
        <f>+G2*2.5</f>
        <v>285</v>
      </c>
    </row>
    <row r="3" spans="1:27" ht="15.75" x14ac:dyDescent="0.25">
      <c r="A3" s="8">
        <v>45062</v>
      </c>
      <c r="B3" s="8">
        <v>45077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9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9" si="2">+C3*2.8</f>
        <v>191.52</v>
      </c>
      <c r="T3" s="21">
        <f t="shared" ref="T3:W9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9" si="4">+G3*3.6</f>
        <v>391.24800000000005</v>
      </c>
      <c r="Y3" s="23">
        <f t="shared" ref="Y3:AA9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45078</v>
      </c>
      <c r="B4" s="8">
        <v>45107</v>
      </c>
      <c r="C4" s="25">
        <f>90*0.95*0.75</f>
        <v>64.125</v>
      </c>
      <c r="D4" s="25">
        <f>95*0.95*0.75</f>
        <v>67.6875</v>
      </c>
      <c r="E4" s="25">
        <f>100*0.95*0.75</f>
        <v>71.25</v>
      </c>
      <c r="F4" s="25">
        <f>115*0.95*0.75</f>
        <v>81.9375</v>
      </c>
      <c r="G4" s="25">
        <f>143*0.95*0.75</f>
        <v>101.88749999999999</v>
      </c>
      <c r="H4" s="25">
        <f>81*0.95*0.75</f>
        <v>57.712500000000006</v>
      </c>
      <c r="I4" s="18">
        <f t="shared" ref="I4" si="6">+C4*1.75</f>
        <v>112.21875</v>
      </c>
      <c r="J4" s="18">
        <f t="shared" ref="J4" si="7">+D4*1.75</f>
        <v>118.453125</v>
      </c>
      <c r="K4" s="18">
        <f t="shared" ref="K4" si="8">+E4*1.75</f>
        <v>124.6875</v>
      </c>
      <c r="L4" s="18">
        <f t="shared" ref="L4" si="9">+F4*1.75</f>
        <v>143.390625</v>
      </c>
      <c r="M4" s="19">
        <f t="shared" ref="M4" si="10">+C4*2</f>
        <v>128.25</v>
      </c>
      <c r="N4" s="19">
        <f t="shared" ref="N4" si="11">+D4*2</f>
        <v>135.375</v>
      </c>
      <c r="O4" s="19">
        <f t="shared" ref="O4" si="12">+E4*2</f>
        <v>142.5</v>
      </c>
      <c r="P4" s="19">
        <f t="shared" ref="P4" si="13">+F4*2</f>
        <v>163.875</v>
      </c>
      <c r="Q4" s="19">
        <f t="shared" ref="Q4" si="14">+G4*2</f>
        <v>203.77499999999998</v>
      </c>
      <c r="R4" s="19">
        <f t="shared" ref="R4" si="15">+H4*2</f>
        <v>115.42500000000001</v>
      </c>
      <c r="S4" s="20">
        <f t="shared" ref="S4" si="16">+C4*2.8</f>
        <v>179.54999999999998</v>
      </c>
      <c r="T4" s="21">
        <f t="shared" ref="T4" si="17">+E4*2.8</f>
        <v>199.5</v>
      </c>
      <c r="U4" s="21">
        <f t="shared" ref="U4" si="18">+F4*2.8</f>
        <v>229.42499999999998</v>
      </c>
      <c r="V4" s="21">
        <f t="shared" ref="V4" si="19">+G4*2.8</f>
        <v>285.28499999999997</v>
      </c>
      <c r="W4" s="21">
        <f t="shared" ref="W4" si="20">+H4*2.8</f>
        <v>161.595</v>
      </c>
      <c r="X4" s="22">
        <f t="shared" ref="X4" si="21">+G4*3.6</f>
        <v>366.79499999999996</v>
      </c>
      <c r="Y4" s="23">
        <f t="shared" ref="Y4" si="22">+E4*2.5</f>
        <v>178.125</v>
      </c>
      <c r="Z4" s="23">
        <f t="shared" ref="Z4" si="23">+F4*2.5</f>
        <v>204.84375</v>
      </c>
      <c r="AA4" s="23">
        <f t="shared" ref="AA4" si="24">+G4*2.5</f>
        <v>254.71874999999997</v>
      </c>
    </row>
    <row r="5" spans="1:27" ht="15.75" x14ac:dyDescent="0.25">
      <c r="A5" s="8">
        <v>45108</v>
      </c>
      <c r="B5" s="8">
        <v>45121</v>
      </c>
      <c r="C5" s="24">
        <f>95*0.95*0.7</f>
        <v>63.174999999999997</v>
      </c>
      <c r="D5" s="24">
        <f>100*0.95*0.7</f>
        <v>66.5</v>
      </c>
      <c r="E5" s="24">
        <f>105*0.95*0.7</f>
        <v>69.824999999999989</v>
      </c>
      <c r="F5" s="24">
        <f>120*0.95*0.7</f>
        <v>79.8</v>
      </c>
      <c r="G5" s="24">
        <f>150*0.95*0.7</f>
        <v>99.75</v>
      </c>
      <c r="H5" s="24">
        <f>86*0.95*0.7</f>
        <v>57.19</v>
      </c>
      <c r="I5" s="18">
        <f t="shared" si="1"/>
        <v>110.55624999999999</v>
      </c>
      <c r="J5" s="18">
        <f t="shared" si="1"/>
        <v>116.375</v>
      </c>
      <c r="K5" s="18">
        <f t="shared" si="1"/>
        <v>122.19374999999998</v>
      </c>
      <c r="L5" s="18">
        <f t="shared" si="1"/>
        <v>139.65</v>
      </c>
      <c r="M5" s="19">
        <f t="shared" si="0"/>
        <v>126.35</v>
      </c>
      <c r="N5" s="19">
        <f t="shared" si="0"/>
        <v>133</v>
      </c>
      <c r="O5" s="19">
        <f t="shared" si="0"/>
        <v>139.64999999999998</v>
      </c>
      <c r="P5" s="19">
        <f t="shared" si="0"/>
        <v>159.6</v>
      </c>
      <c r="Q5" s="19">
        <f t="shared" si="0"/>
        <v>199.5</v>
      </c>
      <c r="R5" s="19">
        <f t="shared" si="0"/>
        <v>114.38</v>
      </c>
      <c r="S5" s="20">
        <f t="shared" si="2"/>
        <v>176.89</v>
      </c>
      <c r="T5" s="21">
        <f t="shared" si="3"/>
        <v>195.50999999999996</v>
      </c>
      <c r="U5" s="21">
        <f t="shared" si="3"/>
        <v>223.43999999999997</v>
      </c>
      <c r="V5" s="21">
        <f t="shared" si="3"/>
        <v>279.29999999999995</v>
      </c>
      <c r="W5" s="21">
        <f t="shared" si="3"/>
        <v>160.13199999999998</v>
      </c>
      <c r="X5" s="22">
        <f t="shared" si="4"/>
        <v>359.1</v>
      </c>
      <c r="Y5" s="23">
        <f t="shared" si="5"/>
        <v>174.56249999999997</v>
      </c>
      <c r="Z5" s="23">
        <f t="shared" si="5"/>
        <v>199.5</v>
      </c>
      <c r="AA5" s="23">
        <f t="shared" si="5"/>
        <v>249.375</v>
      </c>
    </row>
    <row r="6" spans="1:27" ht="15.75" x14ac:dyDescent="0.25">
      <c r="A6" s="8">
        <v>45122</v>
      </c>
      <c r="B6" s="8">
        <v>45153</v>
      </c>
      <c r="C6" s="25">
        <f>100*0.95*0.7</f>
        <v>66.5</v>
      </c>
      <c r="D6" s="25">
        <f>105*0.95*0.7</f>
        <v>69.824999999999989</v>
      </c>
      <c r="E6" s="25">
        <f>110*0.95*0.7</f>
        <v>73.149999999999991</v>
      </c>
      <c r="F6" s="25">
        <f>125*0.95*0.7</f>
        <v>83.125</v>
      </c>
      <c r="G6" s="25">
        <f>158*0.95*0.7</f>
        <v>105.07</v>
      </c>
      <c r="H6" s="25">
        <f>90*0.95*0.7</f>
        <v>59.849999999999994</v>
      </c>
      <c r="I6" s="18">
        <f t="shared" si="1"/>
        <v>116.375</v>
      </c>
      <c r="J6" s="18">
        <f t="shared" si="1"/>
        <v>122.19374999999998</v>
      </c>
      <c r="K6" s="18">
        <f t="shared" si="1"/>
        <v>128.01249999999999</v>
      </c>
      <c r="L6" s="18">
        <f t="shared" si="1"/>
        <v>145.46875</v>
      </c>
      <c r="M6" s="19">
        <f t="shared" si="0"/>
        <v>133</v>
      </c>
      <c r="N6" s="19">
        <f t="shared" si="0"/>
        <v>139.64999999999998</v>
      </c>
      <c r="O6" s="19">
        <f t="shared" si="0"/>
        <v>146.29999999999998</v>
      </c>
      <c r="P6" s="19">
        <f t="shared" si="0"/>
        <v>166.25</v>
      </c>
      <c r="Q6" s="19">
        <f t="shared" si="0"/>
        <v>210.14</v>
      </c>
      <c r="R6" s="19">
        <f t="shared" si="0"/>
        <v>119.69999999999999</v>
      </c>
      <c r="S6" s="20">
        <f t="shared" si="2"/>
        <v>186.2</v>
      </c>
      <c r="T6" s="21">
        <f t="shared" si="3"/>
        <v>204.81999999999996</v>
      </c>
      <c r="U6" s="21">
        <f t="shared" si="3"/>
        <v>232.74999999999997</v>
      </c>
      <c r="V6" s="21">
        <f t="shared" si="3"/>
        <v>294.19599999999997</v>
      </c>
      <c r="W6" s="21">
        <f t="shared" si="3"/>
        <v>167.57999999999998</v>
      </c>
      <c r="X6" s="22">
        <f t="shared" si="4"/>
        <v>378.25200000000001</v>
      </c>
      <c r="Y6" s="23">
        <f t="shared" si="5"/>
        <v>182.87499999999997</v>
      </c>
      <c r="Z6" s="23">
        <f t="shared" si="5"/>
        <v>207.8125</v>
      </c>
      <c r="AA6" s="23">
        <f t="shared" si="5"/>
        <v>262.67499999999995</v>
      </c>
    </row>
    <row r="7" spans="1:27" ht="15.75" x14ac:dyDescent="0.25">
      <c r="A7" s="8">
        <v>45154</v>
      </c>
      <c r="B7" s="8">
        <v>45169</v>
      </c>
      <c r="C7" s="24">
        <f>95*0.95*0.75</f>
        <v>67.6875</v>
      </c>
      <c r="D7" s="24">
        <f>100*0.95*0.75</f>
        <v>71.25</v>
      </c>
      <c r="E7" s="24">
        <f>105*0.95*0.75</f>
        <v>74.8125</v>
      </c>
      <c r="F7" s="24">
        <f>120*0.95*0.75</f>
        <v>85.5</v>
      </c>
      <c r="G7" s="24">
        <f>150*0.95*0.75</f>
        <v>106.875</v>
      </c>
      <c r="H7" s="24">
        <f>86*0.95*0.75</f>
        <v>61.275000000000006</v>
      </c>
      <c r="I7" s="18">
        <f t="shared" si="1"/>
        <v>118.453125</v>
      </c>
      <c r="J7" s="18">
        <f t="shared" si="1"/>
        <v>124.6875</v>
      </c>
      <c r="K7" s="18">
        <f t="shared" si="1"/>
        <v>130.921875</v>
      </c>
      <c r="L7" s="18">
        <f t="shared" si="1"/>
        <v>149.625</v>
      </c>
      <c r="M7" s="19">
        <f t="shared" si="0"/>
        <v>135.375</v>
      </c>
      <c r="N7" s="19">
        <f t="shared" si="0"/>
        <v>142.5</v>
      </c>
      <c r="O7" s="19">
        <f t="shared" si="0"/>
        <v>149.625</v>
      </c>
      <c r="P7" s="19">
        <f t="shared" si="0"/>
        <v>171</v>
      </c>
      <c r="Q7" s="19">
        <f t="shared" si="0"/>
        <v>213.75</v>
      </c>
      <c r="R7" s="19">
        <f t="shared" si="0"/>
        <v>122.55000000000001</v>
      </c>
      <c r="S7" s="20">
        <f t="shared" si="2"/>
        <v>189.52499999999998</v>
      </c>
      <c r="T7" s="21">
        <f t="shared" si="3"/>
        <v>209.47499999999999</v>
      </c>
      <c r="U7" s="21">
        <f t="shared" si="3"/>
        <v>239.39999999999998</v>
      </c>
      <c r="V7" s="21">
        <f t="shared" si="3"/>
        <v>299.25</v>
      </c>
      <c r="W7" s="21">
        <f t="shared" si="3"/>
        <v>171.57</v>
      </c>
      <c r="X7" s="22">
        <f t="shared" si="4"/>
        <v>384.75</v>
      </c>
      <c r="Y7" s="23">
        <f t="shared" si="5"/>
        <v>187.03125</v>
      </c>
      <c r="Z7" s="23">
        <f t="shared" si="5"/>
        <v>213.75</v>
      </c>
      <c r="AA7" s="23">
        <f t="shared" si="5"/>
        <v>267.1875</v>
      </c>
    </row>
    <row r="8" spans="1:27" ht="15.75" x14ac:dyDescent="0.25">
      <c r="A8" s="8">
        <v>45170</v>
      </c>
      <c r="B8" s="8">
        <v>45199</v>
      </c>
      <c r="C8" s="24">
        <f>95*0.95*0.8</f>
        <v>72.2</v>
      </c>
      <c r="D8" s="24">
        <f>100*0.95*0.8</f>
        <v>76</v>
      </c>
      <c r="E8" s="24">
        <f>105*0.95*0.8</f>
        <v>79.800000000000011</v>
      </c>
      <c r="F8" s="24">
        <f>120*0.95*0.8</f>
        <v>91.2</v>
      </c>
      <c r="G8" s="24">
        <f>150*0.95*0.8</f>
        <v>114</v>
      </c>
      <c r="H8" s="24">
        <f>86*0.95*0.8</f>
        <v>65.36</v>
      </c>
      <c r="I8" s="18">
        <f t="shared" ref="I8" si="25">+C8*1.75</f>
        <v>126.35000000000001</v>
      </c>
      <c r="J8" s="18">
        <f t="shared" ref="J8" si="26">+D8*1.75</f>
        <v>133</v>
      </c>
      <c r="K8" s="18">
        <f t="shared" ref="K8" si="27">+E8*1.75</f>
        <v>139.65000000000003</v>
      </c>
      <c r="L8" s="18">
        <f t="shared" ref="L8" si="28">+F8*1.75</f>
        <v>159.6</v>
      </c>
      <c r="M8" s="19">
        <f t="shared" ref="M8" si="29">+C8*2</f>
        <v>144.4</v>
      </c>
      <c r="N8" s="19">
        <f t="shared" ref="N8" si="30">+D8*2</f>
        <v>152</v>
      </c>
      <c r="O8" s="19">
        <f t="shared" ref="O8" si="31">+E8*2</f>
        <v>159.60000000000002</v>
      </c>
      <c r="P8" s="19">
        <f t="shared" ref="P8" si="32">+F8*2</f>
        <v>182.4</v>
      </c>
      <c r="Q8" s="19">
        <f t="shared" ref="Q8" si="33">+G8*2</f>
        <v>228</v>
      </c>
      <c r="R8" s="19">
        <f t="shared" ref="R8" si="34">+H8*2</f>
        <v>130.72</v>
      </c>
      <c r="S8" s="20">
        <f t="shared" ref="S8" si="35">+C8*2.8</f>
        <v>202.16</v>
      </c>
      <c r="T8" s="21">
        <f t="shared" ref="T8" si="36">+E8*2.8</f>
        <v>223.44000000000003</v>
      </c>
      <c r="U8" s="21">
        <f t="shared" ref="U8" si="37">+F8*2.8</f>
        <v>255.35999999999999</v>
      </c>
      <c r="V8" s="21">
        <f t="shared" ref="V8" si="38">+G8*2.8</f>
        <v>319.2</v>
      </c>
      <c r="W8" s="21">
        <f t="shared" ref="W8" si="39">+H8*2.8</f>
        <v>183.00799999999998</v>
      </c>
      <c r="X8" s="22">
        <f t="shared" ref="X8" si="40">+G8*3.6</f>
        <v>410.40000000000003</v>
      </c>
      <c r="Y8" s="23">
        <f t="shared" ref="Y8" si="41">+E8*2.5</f>
        <v>199.50000000000003</v>
      </c>
      <c r="Z8" s="23">
        <f t="shared" ref="Z8" si="42">+F8*2.5</f>
        <v>228</v>
      </c>
      <c r="AA8" s="23">
        <f t="shared" ref="AA8" si="43">+G8*2.5</f>
        <v>285</v>
      </c>
    </row>
    <row r="9" spans="1:27" ht="15.75" x14ac:dyDescent="0.25">
      <c r="A9" s="8">
        <v>45200</v>
      </c>
      <c r="B9" s="8">
        <v>45230</v>
      </c>
      <c r="C9" s="25">
        <f>100*0.95*0.75</f>
        <v>71.25</v>
      </c>
      <c r="D9" s="25">
        <f>105*0.95*0.75</f>
        <v>74.8125</v>
      </c>
      <c r="E9" s="25">
        <f>110*0.95*0.75</f>
        <v>78.375</v>
      </c>
      <c r="F9" s="25">
        <f>125*0.95*0.75</f>
        <v>89.0625</v>
      </c>
      <c r="G9" s="25">
        <f>158*0.95*0.75</f>
        <v>112.57499999999999</v>
      </c>
      <c r="H9" s="25">
        <f>90*0.95*0.75</f>
        <v>64.125</v>
      </c>
      <c r="I9" s="18">
        <f t="shared" si="1"/>
        <v>124.6875</v>
      </c>
      <c r="J9" s="18">
        <f t="shared" si="1"/>
        <v>130.921875</v>
      </c>
      <c r="K9" s="18">
        <f t="shared" si="1"/>
        <v>137.15625</v>
      </c>
      <c r="L9" s="18">
        <f t="shared" si="1"/>
        <v>155.859375</v>
      </c>
      <c r="M9" s="19">
        <f t="shared" si="0"/>
        <v>142.5</v>
      </c>
      <c r="N9" s="19">
        <f t="shared" si="0"/>
        <v>149.625</v>
      </c>
      <c r="O9" s="19">
        <f t="shared" si="0"/>
        <v>156.75</v>
      </c>
      <c r="P9" s="19">
        <f t="shared" si="0"/>
        <v>178.125</v>
      </c>
      <c r="Q9" s="19">
        <f t="shared" si="0"/>
        <v>225.14999999999998</v>
      </c>
      <c r="R9" s="19">
        <f t="shared" si="0"/>
        <v>128.25</v>
      </c>
      <c r="S9" s="20">
        <f t="shared" si="2"/>
        <v>199.5</v>
      </c>
      <c r="T9" s="21">
        <f t="shared" si="3"/>
        <v>219.45</v>
      </c>
      <c r="U9" s="21">
        <f t="shared" si="3"/>
        <v>249.37499999999997</v>
      </c>
      <c r="V9" s="21">
        <f t="shared" si="3"/>
        <v>315.20999999999992</v>
      </c>
      <c r="W9" s="21">
        <f t="shared" si="3"/>
        <v>179.54999999999998</v>
      </c>
      <c r="X9" s="22">
        <f t="shared" si="4"/>
        <v>405.27</v>
      </c>
      <c r="Y9" s="23">
        <f t="shared" si="5"/>
        <v>195.9375</v>
      </c>
      <c r="Z9" s="23">
        <f t="shared" si="5"/>
        <v>222.65625</v>
      </c>
      <c r="AA9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45100</v>
      </c>
      <c r="B2" s="8">
        <v>45107</v>
      </c>
      <c r="C2" s="25">
        <f>90*0.95*0.8</f>
        <v>68.400000000000006</v>
      </c>
      <c r="D2" s="25">
        <f>95*0.95*0.8</f>
        <v>72.2</v>
      </c>
      <c r="E2" s="25">
        <f>100*0.95*0.8</f>
        <v>76</v>
      </c>
      <c r="F2" s="25">
        <f>115*0.95*0.8</f>
        <v>87.4</v>
      </c>
      <c r="G2" s="25">
        <f>143*0.95*0.8</f>
        <v>108.68</v>
      </c>
      <c r="H2" s="25">
        <f>81*0.95*0.8</f>
        <v>61.56</v>
      </c>
      <c r="I2" s="18">
        <f t="shared" ref="I2:L7" si="0">+C2*1.75</f>
        <v>119.70000000000002</v>
      </c>
      <c r="J2" s="18">
        <f t="shared" si="0"/>
        <v>126.35000000000001</v>
      </c>
      <c r="K2" s="18">
        <f t="shared" si="0"/>
        <v>133</v>
      </c>
      <c r="L2" s="18">
        <f t="shared" si="0"/>
        <v>152.95000000000002</v>
      </c>
      <c r="M2" s="19">
        <f t="shared" ref="M2:R7" si="1">+C2*2</f>
        <v>136.80000000000001</v>
      </c>
      <c r="N2" s="19">
        <f t="shared" si="1"/>
        <v>144.4</v>
      </c>
      <c r="O2" s="19">
        <f t="shared" si="1"/>
        <v>152</v>
      </c>
      <c r="P2" s="19">
        <f t="shared" si="1"/>
        <v>174.8</v>
      </c>
      <c r="Q2" s="19">
        <f t="shared" si="1"/>
        <v>217.36</v>
      </c>
      <c r="R2" s="19">
        <f t="shared" si="1"/>
        <v>123.12</v>
      </c>
      <c r="S2" s="20">
        <f t="shared" ref="S2:S7" si="2">+C2*2.8</f>
        <v>191.52</v>
      </c>
      <c r="T2" s="21">
        <f t="shared" ref="T2:W7" si="3">+E2*2.8</f>
        <v>212.79999999999998</v>
      </c>
      <c r="U2" s="21">
        <f t="shared" si="3"/>
        <v>244.72</v>
      </c>
      <c r="V2" s="21">
        <f t="shared" si="3"/>
        <v>304.30399999999997</v>
      </c>
      <c r="W2" s="21">
        <f t="shared" si="3"/>
        <v>172.36799999999999</v>
      </c>
      <c r="X2" s="22">
        <f t="shared" ref="X2:X7" si="4">+G2*3.6</f>
        <v>391.24800000000005</v>
      </c>
      <c r="Y2" s="23">
        <f t="shared" ref="Y2:AA7" si="5">+E2*2.5</f>
        <v>190</v>
      </c>
      <c r="Z2" s="23">
        <f t="shared" si="5"/>
        <v>218.5</v>
      </c>
      <c r="AA2" s="23">
        <f t="shared" si="5"/>
        <v>271.70000000000005</v>
      </c>
    </row>
    <row r="3" spans="1:27" ht="15.75" x14ac:dyDescent="0.25">
      <c r="A3" s="8">
        <v>45108</v>
      </c>
      <c r="B3" s="8">
        <v>45121</v>
      </c>
      <c r="C3" s="24">
        <f>95*0.95*0.7</f>
        <v>63.174999999999997</v>
      </c>
      <c r="D3" s="24">
        <f>100*0.95*0.7</f>
        <v>66.5</v>
      </c>
      <c r="E3" s="24">
        <f>105*0.95*0.7</f>
        <v>69.824999999999989</v>
      </c>
      <c r="F3" s="24">
        <f>120*0.95*0.7</f>
        <v>79.8</v>
      </c>
      <c r="G3" s="24">
        <f>150*0.95*0.7</f>
        <v>99.75</v>
      </c>
      <c r="H3" s="24">
        <f>86*0.95*0.7</f>
        <v>57.19</v>
      </c>
      <c r="I3" s="18">
        <f t="shared" si="0"/>
        <v>110.55624999999999</v>
      </c>
      <c r="J3" s="18">
        <f t="shared" si="0"/>
        <v>116.375</v>
      </c>
      <c r="K3" s="18">
        <f t="shared" si="0"/>
        <v>122.19374999999998</v>
      </c>
      <c r="L3" s="18">
        <f t="shared" si="0"/>
        <v>139.65</v>
      </c>
      <c r="M3" s="19">
        <f t="shared" si="1"/>
        <v>126.35</v>
      </c>
      <c r="N3" s="19">
        <f t="shared" si="1"/>
        <v>133</v>
      </c>
      <c r="O3" s="19">
        <f t="shared" si="1"/>
        <v>139.64999999999998</v>
      </c>
      <c r="P3" s="19">
        <f t="shared" si="1"/>
        <v>159.6</v>
      </c>
      <c r="Q3" s="19">
        <f t="shared" si="1"/>
        <v>199.5</v>
      </c>
      <c r="R3" s="19">
        <f t="shared" si="1"/>
        <v>114.38</v>
      </c>
      <c r="S3" s="20">
        <f t="shared" si="2"/>
        <v>176.89</v>
      </c>
      <c r="T3" s="21">
        <f t="shared" si="3"/>
        <v>195.50999999999996</v>
      </c>
      <c r="U3" s="21">
        <f t="shared" si="3"/>
        <v>223.43999999999997</v>
      </c>
      <c r="V3" s="21">
        <f t="shared" si="3"/>
        <v>279.29999999999995</v>
      </c>
      <c r="W3" s="21">
        <f t="shared" si="3"/>
        <v>160.13199999999998</v>
      </c>
      <c r="X3" s="22">
        <f t="shared" si="4"/>
        <v>359.1</v>
      </c>
      <c r="Y3" s="23">
        <f t="shared" si="5"/>
        <v>174.56249999999997</v>
      </c>
      <c r="Z3" s="23">
        <f t="shared" si="5"/>
        <v>199.5</v>
      </c>
      <c r="AA3" s="23">
        <f t="shared" si="5"/>
        <v>249.375</v>
      </c>
    </row>
    <row r="4" spans="1:27" ht="15.75" x14ac:dyDescent="0.25">
      <c r="A4" s="8">
        <v>45122</v>
      </c>
      <c r="B4" s="8">
        <v>45138</v>
      </c>
      <c r="C4" s="25">
        <f>100*0.95*0.7</f>
        <v>66.5</v>
      </c>
      <c r="D4" s="25">
        <f>105*0.95*0.7</f>
        <v>69.824999999999989</v>
      </c>
      <c r="E4" s="25">
        <f>110*0.95*0.7</f>
        <v>73.149999999999991</v>
      </c>
      <c r="F4" s="25">
        <f>125*0.95*0.7</f>
        <v>83.125</v>
      </c>
      <c r="G4" s="25">
        <f>158*0.95*0.7</f>
        <v>105.07</v>
      </c>
      <c r="H4" s="25">
        <f>90*0.95*0.7</f>
        <v>59.849999999999994</v>
      </c>
      <c r="I4" s="18">
        <f t="shared" si="0"/>
        <v>116.375</v>
      </c>
      <c r="J4" s="18">
        <f t="shared" si="0"/>
        <v>122.19374999999998</v>
      </c>
      <c r="K4" s="18">
        <f t="shared" si="0"/>
        <v>128.01249999999999</v>
      </c>
      <c r="L4" s="18">
        <f t="shared" si="0"/>
        <v>145.46875</v>
      </c>
      <c r="M4" s="19">
        <f t="shared" si="1"/>
        <v>133</v>
      </c>
      <c r="N4" s="19">
        <f t="shared" si="1"/>
        <v>139.64999999999998</v>
      </c>
      <c r="O4" s="19">
        <f t="shared" si="1"/>
        <v>146.29999999999998</v>
      </c>
      <c r="P4" s="19">
        <f t="shared" si="1"/>
        <v>166.25</v>
      </c>
      <c r="Q4" s="19">
        <f t="shared" si="1"/>
        <v>210.14</v>
      </c>
      <c r="R4" s="19">
        <f t="shared" si="1"/>
        <v>119.69999999999999</v>
      </c>
      <c r="S4" s="20">
        <f t="shared" si="2"/>
        <v>186.2</v>
      </c>
      <c r="T4" s="21">
        <f t="shared" si="3"/>
        <v>204.81999999999996</v>
      </c>
      <c r="U4" s="21">
        <f t="shared" si="3"/>
        <v>232.74999999999997</v>
      </c>
      <c r="V4" s="21">
        <f t="shared" si="3"/>
        <v>294.19599999999997</v>
      </c>
      <c r="W4" s="21">
        <f t="shared" si="3"/>
        <v>167.57999999999998</v>
      </c>
      <c r="X4" s="22">
        <f t="shared" si="4"/>
        <v>378.25200000000001</v>
      </c>
      <c r="Y4" s="23">
        <f t="shared" si="5"/>
        <v>182.87499999999997</v>
      </c>
      <c r="Z4" s="23">
        <f t="shared" si="5"/>
        <v>207.8125</v>
      </c>
      <c r="AA4" s="23">
        <f t="shared" si="5"/>
        <v>262.67499999999995</v>
      </c>
    </row>
    <row r="5" spans="1:27" ht="15.75" x14ac:dyDescent="0.25">
      <c r="A5" s="8">
        <v>45139</v>
      </c>
      <c r="B5" s="8">
        <v>45153</v>
      </c>
      <c r="C5" s="25">
        <f>100*0.95*0.75</f>
        <v>71.25</v>
      </c>
      <c r="D5" s="25">
        <f>105*0.95*0.75</f>
        <v>74.8125</v>
      </c>
      <c r="E5" s="25">
        <f>110*0.95*0.75</f>
        <v>78.375</v>
      </c>
      <c r="F5" s="25">
        <f>125*0.95*0.75</f>
        <v>89.0625</v>
      </c>
      <c r="G5" s="25">
        <f>158*0.95*0.75</f>
        <v>112.57499999999999</v>
      </c>
      <c r="H5" s="25">
        <f>90*0.95*0.75</f>
        <v>64.125</v>
      </c>
      <c r="I5" s="18">
        <f t="shared" ref="I5" si="6">+C5*1.75</f>
        <v>124.6875</v>
      </c>
      <c r="J5" s="18">
        <f t="shared" ref="J5" si="7">+D5*1.75</f>
        <v>130.921875</v>
      </c>
      <c r="K5" s="18">
        <f t="shared" ref="K5" si="8">+E5*1.75</f>
        <v>137.15625</v>
      </c>
      <c r="L5" s="18">
        <f t="shared" ref="L5" si="9">+F5*1.75</f>
        <v>155.859375</v>
      </c>
      <c r="M5" s="19">
        <f t="shared" ref="M5" si="10">+C5*2</f>
        <v>142.5</v>
      </c>
      <c r="N5" s="19">
        <f t="shared" ref="N5" si="11">+D5*2</f>
        <v>149.625</v>
      </c>
      <c r="O5" s="19">
        <f t="shared" ref="O5" si="12">+E5*2</f>
        <v>156.75</v>
      </c>
      <c r="P5" s="19">
        <f t="shared" ref="P5" si="13">+F5*2</f>
        <v>178.125</v>
      </c>
      <c r="Q5" s="19">
        <f t="shared" ref="Q5" si="14">+G5*2</f>
        <v>225.14999999999998</v>
      </c>
      <c r="R5" s="19">
        <f t="shared" ref="R5" si="15">+H5*2</f>
        <v>128.25</v>
      </c>
      <c r="S5" s="20">
        <f t="shared" ref="S5" si="16">+C5*2.8</f>
        <v>199.5</v>
      </c>
      <c r="T5" s="21">
        <f t="shared" ref="T5" si="17">+E5*2.8</f>
        <v>219.45</v>
      </c>
      <c r="U5" s="21">
        <f t="shared" ref="U5" si="18">+F5*2.8</f>
        <v>249.37499999999997</v>
      </c>
      <c r="V5" s="21">
        <f t="shared" ref="V5" si="19">+G5*2.8</f>
        <v>315.20999999999992</v>
      </c>
      <c r="W5" s="21">
        <f t="shared" ref="W5" si="20">+H5*2.8</f>
        <v>179.54999999999998</v>
      </c>
      <c r="X5" s="22">
        <f t="shared" ref="X5" si="21">+G5*3.6</f>
        <v>405.27</v>
      </c>
      <c r="Y5" s="23">
        <f t="shared" ref="Y5" si="22">+E5*2.5</f>
        <v>195.9375</v>
      </c>
      <c r="Z5" s="23">
        <f t="shared" ref="Z5" si="23">+F5*2.5</f>
        <v>222.65625</v>
      </c>
      <c r="AA5" s="23">
        <f t="shared" ref="AA5" si="24">+G5*2.5</f>
        <v>281.4375</v>
      </c>
    </row>
    <row r="6" spans="1:27" ht="15.75" x14ac:dyDescent="0.25">
      <c r="A6" s="8">
        <v>45154</v>
      </c>
      <c r="B6" s="8">
        <v>45199</v>
      </c>
      <c r="C6" s="24">
        <f>95*0.95*0.8</f>
        <v>72.2</v>
      </c>
      <c r="D6" s="24">
        <f>100*0.95*0.8</f>
        <v>76</v>
      </c>
      <c r="E6" s="24">
        <f>105*0.95*0.8</f>
        <v>79.800000000000011</v>
      </c>
      <c r="F6" s="24">
        <f>120*0.95*0.8</f>
        <v>91.2</v>
      </c>
      <c r="G6" s="24">
        <f>150*0.95*0.8</f>
        <v>114</v>
      </c>
      <c r="H6" s="24">
        <f>86*0.95*0.8</f>
        <v>65.36</v>
      </c>
      <c r="I6" s="18">
        <f t="shared" si="0"/>
        <v>126.35000000000001</v>
      </c>
      <c r="J6" s="18">
        <f t="shared" si="0"/>
        <v>133</v>
      </c>
      <c r="K6" s="18">
        <f t="shared" si="0"/>
        <v>139.65000000000003</v>
      </c>
      <c r="L6" s="18">
        <f t="shared" si="0"/>
        <v>159.6</v>
      </c>
      <c r="M6" s="19">
        <f t="shared" si="1"/>
        <v>144.4</v>
      </c>
      <c r="N6" s="19">
        <f t="shared" si="1"/>
        <v>152</v>
      </c>
      <c r="O6" s="19">
        <f t="shared" si="1"/>
        <v>159.60000000000002</v>
      </c>
      <c r="P6" s="19">
        <f t="shared" si="1"/>
        <v>182.4</v>
      </c>
      <c r="Q6" s="19">
        <f t="shared" si="1"/>
        <v>228</v>
      </c>
      <c r="R6" s="19">
        <f t="shared" si="1"/>
        <v>130.72</v>
      </c>
      <c r="S6" s="20">
        <f t="shared" si="2"/>
        <v>202.16</v>
      </c>
      <c r="T6" s="21">
        <f t="shared" si="3"/>
        <v>223.44000000000003</v>
      </c>
      <c r="U6" s="21">
        <f t="shared" si="3"/>
        <v>255.35999999999999</v>
      </c>
      <c r="V6" s="21">
        <f t="shared" si="3"/>
        <v>319.2</v>
      </c>
      <c r="W6" s="21">
        <f t="shared" si="3"/>
        <v>183.00799999999998</v>
      </c>
      <c r="X6" s="22">
        <f t="shared" si="4"/>
        <v>410.40000000000003</v>
      </c>
      <c r="Y6" s="23">
        <f t="shared" si="5"/>
        <v>199.50000000000003</v>
      </c>
      <c r="Z6" s="23">
        <f t="shared" si="5"/>
        <v>228</v>
      </c>
      <c r="AA6" s="23">
        <f t="shared" si="5"/>
        <v>285</v>
      </c>
    </row>
    <row r="7" spans="1:27" ht="15.75" x14ac:dyDescent="0.25">
      <c r="A7" s="8">
        <v>45200</v>
      </c>
      <c r="B7" s="8">
        <v>45230</v>
      </c>
      <c r="C7" s="25">
        <f>100*0.95*0.75</f>
        <v>71.25</v>
      </c>
      <c r="D7" s="25">
        <f>105*0.95*0.75</f>
        <v>74.8125</v>
      </c>
      <c r="E7" s="25">
        <f>110*0.95*0.75</f>
        <v>78.375</v>
      </c>
      <c r="F7" s="25">
        <f>125*0.95*0.75</f>
        <v>89.0625</v>
      </c>
      <c r="G7" s="25">
        <f>158*0.95*0.75</f>
        <v>112.57499999999999</v>
      </c>
      <c r="H7" s="25">
        <f>90*0.95*0.75</f>
        <v>64.125</v>
      </c>
      <c r="I7" s="18">
        <f t="shared" si="0"/>
        <v>124.6875</v>
      </c>
      <c r="J7" s="18">
        <f t="shared" si="0"/>
        <v>130.921875</v>
      </c>
      <c r="K7" s="18">
        <f t="shared" si="0"/>
        <v>137.15625</v>
      </c>
      <c r="L7" s="18">
        <f t="shared" si="0"/>
        <v>155.859375</v>
      </c>
      <c r="M7" s="19">
        <f t="shared" si="1"/>
        <v>142.5</v>
      </c>
      <c r="N7" s="19">
        <f t="shared" si="1"/>
        <v>149.625</v>
      </c>
      <c r="O7" s="19">
        <f t="shared" si="1"/>
        <v>156.75</v>
      </c>
      <c r="P7" s="19">
        <f t="shared" si="1"/>
        <v>178.125</v>
      </c>
      <c r="Q7" s="19">
        <f t="shared" si="1"/>
        <v>225.14999999999998</v>
      </c>
      <c r="R7" s="19">
        <f t="shared" si="1"/>
        <v>128.25</v>
      </c>
      <c r="S7" s="20">
        <f t="shared" si="2"/>
        <v>199.5</v>
      </c>
      <c r="T7" s="21">
        <f t="shared" si="3"/>
        <v>219.45</v>
      </c>
      <c r="U7" s="21">
        <f t="shared" si="3"/>
        <v>249.37499999999997</v>
      </c>
      <c r="V7" s="21">
        <f t="shared" si="3"/>
        <v>315.20999999999992</v>
      </c>
      <c r="W7" s="21">
        <f t="shared" si="3"/>
        <v>179.54999999999998</v>
      </c>
      <c r="X7" s="22">
        <f t="shared" si="4"/>
        <v>405.27</v>
      </c>
      <c r="Y7" s="23">
        <f t="shared" si="5"/>
        <v>195.9375</v>
      </c>
      <c r="Z7" s="23">
        <f t="shared" si="5"/>
        <v>222.65625</v>
      </c>
      <c r="AA7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3" sqref="A3:XFD3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45121</v>
      </c>
      <c r="B2" s="8">
        <v>45121</v>
      </c>
      <c r="C2" s="24">
        <f>95*0.95*0.8</f>
        <v>72.2</v>
      </c>
      <c r="D2" s="24">
        <f>100*0.95*0.8</f>
        <v>76</v>
      </c>
      <c r="E2" s="24">
        <f>105*0.95*0.8</f>
        <v>79.800000000000011</v>
      </c>
      <c r="F2" s="24">
        <f>120*0.95*0.8</f>
        <v>91.2</v>
      </c>
      <c r="G2" s="24">
        <f>150*0.95*0.8</f>
        <v>114</v>
      </c>
      <c r="H2" s="24">
        <f>86*0.95*0.8</f>
        <v>65.36</v>
      </c>
      <c r="I2" s="18">
        <f t="shared" ref="I2:L5" si="0">+C2*1.75</f>
        <v>126.35000000000001</v>
      </c>
      <c r="J2" s="18">
        <f t="shared" si="0"/>
        <v>133</v>
      </c>
      <c r="K2" s="18">
        <f t="shared" si="0"/>
        <v>139.65000000000003</v>
      </c>
      <c r="L2" s="18">
        <f t="shared" si="0"/>
        <v>159.6</v>
      </c>
      <c r="M2" s="19">
        <f t="shared" ref="M2:R5" si="1">+C2*2</f>
        <v>144.4</v>
      </c>
      <c r="N2" s="19">
        <f t="shared" si="1"/>
        <v>152</v>
      </c>
      <c r="O2" s="19">
        <f t="shared" si="1"/>
        <v>159.60000000000002</v>
      </c>
      <c r="P2" s="19">
        <f t="shared" si="1"/>
        <v>182.4</v>
      </c>
      <c r="Q2" s="19">
        <f t="shared" si="1"/>
        <v>228</v>
      </c>
      <c r="R2" s="19">
        <f t="shared" si="1"/>
        <v>130.72</v>
      </c>
      <c r="S2" s="20">
        <f t="shared" ref="S2:S5" si="2">+C2*2.8</f>
        <v>202.16</v>
      </c>
      <c r="T2" s="21">
        <f t="shared" ref="T2:W5" si="3">+E2*2.8</f>
        <v>223.44000000000003</v>
      </c>
      <c r="U2" s="21">
        <f t="shared" si="3"/>
        <v>255.35999999999999</v>
      </c>
      <c r="V2" s="21">
        <f t="shared" si="3"/>
        <v>319.2</v>
      </c>
      <c r="W2" s="21">
        <f t="shared" si="3"/>
        <v>183.00799999999998</v>
      </c>
      <c r="X2" s="22">
        <f t="shared" ref="X2:X5" si="4">+G2*3.6</f>
        <v>410.40000000000003</v>
      </c>
      <c r="Y2" s="23">
        <f t="shared" ref="Y2:AA5" si="5">+E2*2.5</f>
        <v>199.50000000000003</v>
      </c>
      <c r="Z2" s="23">
        <f t="shared" si="5"/>
        <v>228</v>
      </c>
      <c r="AA2" s="23">
        <f t="shared" si="5"/>
        <v>285</v>
      </c>
    </row>
    <row r="3" spans="1:27" ht="15.75" x14ac:dyDescent="0.25">
      <c r="A3" s="8">
        <v>45122</v>
      </c>
      <c r="B3" s="8">
        <v>45153</v>
      </c>
      <c r="C3" s="25">
        <f>100*0.95*0.8</f>
        <v>76</v>
      </c>
      <c r="D3" s="25">
        <f>105*0.95*0.8</f>
        <v>79.800000000000011</v>
      </c>
      <c r="E3" s="25">
        <f>110*0.95*0.8</f>
        <v>83.600000000000009</v>
      </c>
      <c r="F3" s="25">
        <f>125*0.95*0.8</f>
        <v>95</v>
      </c>
      <c r="G3" s="25">
        <f>158*0.95*0.8</f>
        <v>120.08</v>
      </c>
      <c r="H3" s="25">
        <f>90*0.95*0.8</f>
        <v>68.400000000000006</v>
      </c>
      <c r="I3" s="18">
        <f t="shared" si="0"/>
        <v>133</v>
      </c>
      <c r="J3" s="18">
        <f t="shared" si="0"/>
        <v>139.65000000000003</v>
      </c>
      <c r="K3" s="18">
        <f t="shared" si="0"/>
        <v>146.30000000000001</v>
      </c>
      <c r="L3" s="18">
        <f t="shared" si="0"/>
        <v>166.25</v>
      </c>
      <c r="M3" s="19">
        <f t="shared" si="1"/>
        <v>152</v>
      </c>
      <c r="N3" s="19">
        <f t="shared" si="1"/>
        <v>159.60000000000002</v>
      </c>
      <c r="O3" s="19">
        <f t="shared" si="1"/>
        <v>167.20000000000002</v>
      </c>
      <c r="P3" s="19">
        <f t="shared" si="1"/>
        <v>190</v>
      </c>
      <c r="Q3" s="19">
        <f t="shared" si="1"/>
        <v>240.16</v>
      </c>
      <c r="R3" s="19">
        <f t="shared" si="1"/>
        <v>136.80000000000001</v>
      </c>
      <c r="S3" s="20">
        <f t="shared" si="2"/>
        <v>212.79999999999998</v>
      </c>
      <c r="T3" s="21">
        <f t="shared" si="3"/>
        <v>234.08</v>
      </c>
      <c r="U3" s="21">
        <f t="shared" si="3"/>
        <v>266</v>
      </c>
      <c r="V3" s="21">
        <f t="shared" si="3"/>
        <v>336.22399999999999</v>
      </c>
      <c r="W3" s="21">
        <f t="shared" si="3"/>
        <v>191.52</v>
      </c>
      <c r="X3" s="22">
        <f t="shared" si="4"/>
        <v>432.28800000000001</v>
      </c>
      <c r="Y3" s="23">
        <f t="shared" si="5"/>
        <v>209.00000000000003</v>
      </c>
      <c r="Z3" s="23">
        <f t="shared" si="5"/>
        <v>237.5</v>
      </c>
      <c r="AA3" s="23">
        <f t="shared" si="5"/>
        <v>300.2</v>
      </c>
    </row>
    <row r="4" spans="1:27" ht="15.75" x14ac:dyDescent="0.25">
      <c r="A4" s="8">
        <v>45154</v>
      </c>
      <c r="B4" s="8">
        <v>45199</v>
      </c>
      <c r="C4" s="24">
        <f>95*0.95*0.8</f>
        <v>72.2</v>
      </c>
      <c r="D4" s="24">
        <f>100*0.95*0.8</f>
        <v>76</v>
      </c>
      <c r="E4" s="24">
        <f>105*0.95*0.8</f>
        <v>79.800000000000011</v>
      </c>
      <c r="F4" s="24">
        <f>120*0.95*0.8</f>
        <v>91.2</v>
      </c>
      <c r="G4" s="24">
        <f>150*0.95*0.8</f>
        <v>114</v>
      </c>
      <c r="H4" s="24">
        <f>86*0.95*0.8</f>
        <v>65.36</v>
      </c>
      <c r="I4" s="18">
        <f t="shared" si="0"/>
        <v>126.35000000000001</v>
      </c>
      <c r="J4" s="18">
        <f t="shared" si="0"/>
        <v>133</v>
      </c>
      <c r="K4" s="18">
        <f t="shared" si="0"/>
        <v>139.65000000000003</v>
      </c>
      <c r="L4" s="18">
        <f t="shared" si="0"/>
        <v>159.6</v>
      </c>
      <c r="M4" s="19">
        <f t="shared" si="1"/>
        <v>144.4</v>
      </c>
      <c r="N4" s="19">
        <f t="shared" si="1"/>
        <v>152</v>
      </c>
      <c r="O4" s="19">
        <f t="shared" si="1"/>
        <v>159.60000000000002</v>
      </c>
      <c r="P4" s="19">
        <f t="shared" si="1"/>
        <v>182.4</v>
      </c>
      <c r="Q4" s="19">
        <f t="shared" si="1"/>
        <v>228</v>
      </c>
      <c r="R4" s="19">
        <f t="shared" si="1"/>
        <v>130.72</v>
      </c>
      <c r="S4" s="20">
        <f t="shared" si="2"/>
        <v>202.16</v>
      </c>
      <c r="T4" s="21">
        <f t="shared" si="3"/>
        <v>223.44000000000003</v>
      </c>
      <c r="U4" s="21">
        <f t="shared" si="3"/>
        <v>255.35999999999999</v>
      </c>
      <c r="V4" s="21">
        <f t="shared" si="3"/>
        <v>319.2</v>
      </c>
      <c r="W4" s="21">
        <f t="shared" si="3"/>
        <v>183.00799999999998</v>
      </c>
      <c r="X4" s="22">
        <f t="shared" si="4"/>
        <v>410.40000000000003</v>
      </c>
      <c r="Y4" s="23">
        <f t="shared" si="5"/>
        <v>199.50000000000003</v>
      </c>
      <c r="Z4" s="23">
        <f t="shared" si="5"/>
        <v>228</v>
      </c>
      <c r="AA4" s="23">
        <f t="shared" si="5"/>
        <v>285</v>
      </c>
    </row>
    <row r="5" spans="1:27" ht="15.75" x14ac:dyDescent="0.25">
      <c r="A5" s="8">
        <v>45200</v>
      </c>
      <c r="B5" s="8">
        <v>45230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0"/>
        <v>133</v>
      </c>
      <c r="J5" s="18">
        <f t="shared" si="0"/>
        <v>139.65000000000003</v>
      </c>
      <c r="K5" s="18">
        <f t="shared" si="0"/>
        <v>146.30000000000001</v>
      </c>
      <c r="L5" s="18">
        <f t="shared" si="0"/>
        <v>166.25</v>
      </c>
      <c r="M5" s="19">
        <f t="shared" si="1"/>
        <v>152</v>
      </c>
      <c r="N5" s="19">
        <f t="shared" si="1"/>
        <v>159.60000000000002</v>
      </c>
      <c r="O5" s="19">
        <f t="shared" si="1"/>
        <v>167.20000000000002</v>
      </c>
      <c r="P5" s="19">
        <f t="shared" si="1"/>
        <v>190</v>
      </c>
      <c r="Q5" s="19">
        <f t="shared" si="1"/>
        <v>240.16</v>
      </c>
      <c r="R5" s="19">
        <f t="shared" si="1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9" spans="1:27" x14ac:dyDescent="0.2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v>95</v>
      </c>
      <c r="D2" s="24">
        <v>100</v>
      </c>
      <c r="E2" s="24">
        <v>105</v>
      </c>
      <c r="F2" s="24">
        <v>120</v>
      </c>
      <c r="G2" s="24">
        <v>150</v>
      </c>
      <c r="H2" s="24">
        <v>86</v>
      </c>
      <c r="I2" s="18">
        <f>+C2*1.75</f>
        <v>166.25</v>
      </c>
      <c r="J2" s="18">
        <f>+D2*1.75</f>
        <v>175</v>
      </c>
      <c r="K2" s="18">
        <f>+E2*1.75</f>
        <v>183.75</v>
      </c>
      <c r="L2" s="18">
        <f>+F2*1.75</f>
        <v>210</v>
      </c>
      <c r="M2" s="19">
        <f t="shared" ref="M2:R2" si="0">+C2*2</f>
        <v>190</v>
      </c>
      <c r="N2" s="19">
        <f t="shared" si="0"/>
        <v>200</v>
      </c>
      <c r="O2" s="19">
        <f t="shared" si="0"/>
        <v>210</v>
      </c>
      <c r="P2" s="19">
        <f t="shared" si="0"/>
        <v>240</v>
      </c>
      <c r="Q2" s="19">
        <f t="shared" si="0"/>
        <v>300</v>
      </c>
      <c r="R2" s="19">
        <f t="shared" si="0"/>
        <v>172</v>
      </c>
      <c r="S2" s="20">
        <f>+C2*2.8</f>
        <v>266</v>
      </c>
      <c r="T2" s="21">
        <f>+E2*2.8</f>
        <v>294</v>
      </c>
      <c r="U2" s="21">
        <f>+F2*2.8</f>
        <v>336</v>
      </c>
      <c r="V2" s="21">
        <f>+G2*2.8</f>
        <v>420</v>
      </c>
      <c r="W2" s="21">
        <f>+H2*2.8</f>
        <v>240.79999999999998</v>
      </c>
      <c r="X2" s="22">
        <f>+G2*3.6</f>
        <v>540</v>
      </c>
      <c r="Y2" s="23">
        <f>+E2*2.5</f>
        <v>262.5</v>
      </c>
      <c r="Z2" s="23">
        <f>+F2*2.5</f>
        <v>300</v>
      </c>
      <c r="AA2" s="23">
        <f>+G2*2.5</f>
        <v>375</v>
      </c>
    </row>
    <row r="3" spans="1:27" ht="15.75" x14ac:dyDescent="0.25">
      <c r="A3" s="8">
        <v>45062</v>
      </c>
      <c r="B3" s="8">
        <v>45107</v>
      </c>
      <c r="C3" s="25">
        <v>90</v>
      </c>
      <c r="D3" s="25">
        <v>95</v>
      </c>
      <c r="E3" s="25">
        <v>100</v>
      </c>
      <c r="F3" s="25">
        <v>115</v>
      </c>
      <c r="G3" s="25">
        <v>143</v>
      </c>
      <c r="H3" s="25">
        <v>81</v>
      </c>
      <c r="I3" s="18">
        <f t="shared" ref="I3:I7" si="1">+C3*1.75</f>
        <v>157.5</v>
      </c>
      <c r="J3" s="18">
        <f t="shared" ref="J3:J7" si="2">+D3*1.75</f>
        <v>166.25</v>
      </c>
      <c r="K3" s="18">
        <f t="shared" ref="K3:K7" si="3">+E3*1.75</f>
        <v>175</v>
      </c>
      <c r="L3" s="18">
        <f t="shared" ref="L3:L7" si="4">+F3*1.75</f>
        <v>201.25</v>
      </c>
      <c r="M3" s="19">
        <f t="shared" ref="M3:M7" si="5">+C3*2</f>
        <v>180</v>
      </c>
      <c r="N3" s="19">
        <f t="shared" ref="N3:N7" si="6">+D3*2</f>
        <v>190</v>
      </c>
      <c r="O3" s="19">
        <f t="shared" ref="O3:O7" si="7">+E3*2</f>
        <v>200</v>
      </c>
      <c r="P3" s="19">
        <f t="shared" ref="P3:P7" si="8">+F3*2</f>
        <v>230</v>
      </c>
      <c r="Q3" s="19">
        <f t="shared" ref="Q3:Q7" si="9">+G3*2</f>
        <v>286</v>
      </c>
      <c r="R3" s="19">
        <f t="shared" ref="R3:R7" si="10">+H3*2</f>
        <v>162</v>
      </c>
      <c r="S3" s="20">
        <f t="shared" ref="S3:S7" si="11">+C3*2.8</f>
        <v>251.99999999999997</v>
      </c>
      <c r="T3" s="21">
        <f t="shared" ref="T3:T7" si="12">+E3*2.8</f>
        <v>280</v>
      </c>
      <c r="U3" s="21">
        <f t="shared" ref="U3:U7" si="13">+F3*2.8</f>
        <v>322</v>
      </c>
      <c r="V3" s="21">
        <f t="shared" ref="V3:V7" si="14">+G3*2.8</f>
        <v>400.4</v>
      </c>
      <c r="W3" s="21">
        <f t="shared" ref="W3:W7" si="15">+H3*2.8</f>
        <v>226.79999999999998</v>
      </c>
      <c r="X3" s="22">
        <f t="shared" ref="X3:X7" si="16">+G3*3.6</f>
        <v>514.80000000000007</v>
      </c>
      <c r="Y3" s="23">
        <f t="shared" ref="Y3:Y7" si="17">+E3*2.5</f>
        <v>250</v>
      </c>
      <c r="Z3" s="23">
        <f t="shared" ref="Z3:Z7" si="18">+F3*2.5</f>
        <v>287.5</v>
      </c>
      <c r="AA3" s="23">
        <f t="shared" ref="AA3:AA7" si="19">+G3*2.5</f>
        <v>357.5</v>
      </c>
    </row>
    <row r="4" spans="1:27" ht="15.75" x14ac:dyDescent="0.25">
      <c r="A4" s="8">
        <v>45108</v>
      </c>
      <c r="B4" s="8">
        <v>45121</v>
      </c>
      <c r="C4" s="24">
        <v>95</v>
      </c>
      <c r="D4" s="24">
        <v>100</v>
      </c>
      <c r="E4" s="24">
        <v>105</v>
      </c>
      <c r="F4" s="24">
        <v>120</v>
      </c>
      <c r="G4" s="24">
        <v>150</v>
      </c>
      <c r="H4" s="24">
        <v>86</v>
      </c>
      <c r="I4" s="18">
        <f t="shared" si="1"/>
        <v>166.25</v>
      </c>
      <c r="J4" s="18">
        <f t="shared" si="2"/>
        <v>175</v>
      </c>
      <c r="K4" s="18">
        <f t="shared" si="3"/>
        <v>183.75</v>
      </c>
      <c r="L4" s="18">
        <f t="shared" si="4"/>
        <v>210</v>
      </c>
      <c r="M4" s="19">
        <f t="shared" si="5"/>
        <v>190</v>
      </c>
      <c r="N4" s="19">
        <f t="shared" si="6"/>
        <v>200</v>
      </c>
      <c r="O4" s="19">
        <f t="shared" si="7"/>
        <v>210</v>
      </c>
      <c r="P4" s="19">
        <f t="shared" si="8"/>
        <v>240</v>
      </c>
      <c r="Q4" s="19">
        <f t="shared" si="9"/>
        <v>300</v>
      </c>
      <c r="R4" s="19">
        <f t="shared" si="10"/>
        <v>172</v>
      </c>
      <c r="S4" s="20">
        <f t="shared" si="11"/>
        <v>266</v>
      </c>
      <c r="T4" s="21">
        <f t="shared" si="12"/>
        <v>294</v>
      </c>
      <c r="U4" s="21">
        <f t="shared" si="13"/>
        <v>336</v>
      </c>
      <c r="V4" s="21">
        <f t="shared" si="14"/>
        <v>420</v>
      </c>
      <c r="W4" s="21">
        <f t="shared" si="15"/>
        <v>240.79999999999998</v>
      </c>
      <c r="X4" s="22">
        <f t="shared" si="16"/>
        <v>540</v>
      </c>
      <c r="Y4" s="23">
        <f t="shared" si="17"/>
        <v>262.5</v>
      </c>
      <c r="Z4" s="23">
        <f t="shared" si="18"/>
        <v>300</v>
      </c>
      <c r="AA4" s="23">
        <f t="shared" si="19"/>
        <v>375</v>
      </c>
    </row>
    <row r="5" spans="1:27" ht="15.75" x14ac:dyDescent="0.25">
      <c r="A5" s="8">
        <v>45122</v>
      </c>
      <c r="B5" s="8">
        <v>45153</v>
      </c>
      <c r="C5" s="25">
        <v>100</v>
      </c>
      <c r="D5" s="25">
        <v>105</v>
      </c>
      <c r="E5" s="25">
        <v>110</v>
      </c>
      <c r="F5" s="25">
        <v>125</v>
      </c>
      <c r="G5" s="25">
        <v>158</v>
      </c>
      <c r="H5" s="25">
        <v>90</v>
      </c>
      <c r="I5" s="18">
        <f t="shared" si="1"/>
        <v>175</v>
      </c>
      <c r="J5" s="18">
        <f t="shared" si="2"/>
        <v>183.75</v>
      </c>
      <c r="K5" s="18">
        <f t="shared" si="3"/>
        <v>192.5</v>
      </c>
      <c r="L5" s="18">
        <f t="shared" si="4"/>
        <v>218.75</v>
      </c>
      <c r="M5" s="19">
        <f t="shared" si="5"/>
        <v>200</v>
      </c>
      <c r="N5" s="19">
        <f t="shared" si="6"/>
        <v>210</v>
      </c>
      <c r="O5" s="19">
        <f t="shared" si="7"/>
        <v>220</v>
      </c>
      <c r="P5" s="19">
        <f t="shared" si="8"/>
        <v>250</v>
      </c>
      <c r="Q5" s="19">
        <f t="shared" si="9"/>
        <v>316</v>
      </c>
      <c r="R5" s="19">
        <f t="shared" si="10"/>
        <v>180</v>
      </c>
      <c r="S5" s="20">
        <f t="shared" si="11"/>
        <v>280</v>
      </c>
      <c r="T5" s="21">
        <f t="shared" si="12"/>
        <v>308</v>
      </c>
      <c r="U5" s="21">
        <f t="shared" si="13"/>
        <v>350</v>
      </c>
      <c r="V5" s="21">
        <f t="shared" si="14"/>
        <v>442.4</v>
      </c>
      <c r="W5" s="21">
        <f t="shared" si="15"/>
        <v>251.99999999999997</v>
      </c>
      <c r="X5" s="22">
        <f t="shared" si="16"/>
        <v>568.80000000000007</v>
      </c>
      <c r="Y5" s="23">
        <f t="shared" si="17"/>
        <v>275</v>
      </c>
      <c r="Z5" s="23">
        <f t="shared" si="18"/>
        <v>312.5</v>
      </c>
      <c r="AA5" s="23">
        <f t="shared" si="19"/>
        <v>395</v>
      </c>
    </row>
    <row r="6" spans="1:27" ht="15.75" x14ac:dyDescent="0.25">
      <c r="A6" s="8">
        <v>45154</v>
      </c>
      <c r="B6" s="8">
        <v>45199</v>
      </c>
      <c r="C6" s="24">
        <v>95</v>
      </c>
      <c r="D6" s="24">
        <v>100</v>
      </c>
      <c r="E6" s="24">
        <v>105</v>
      </c>
      <c r="F6" s="24">
        <v>120</v>
      </c>
      <c r="G6" s="24">
        <v>150</v>
      </c>
      <c r="H6" s="24">
        <v>86</v>
      </c>
      <c r="I6" s="18">
        <f t="shared" si="1"/>
        <v>166.25</v>
      </c>
      <c r="J6" s="18">
        <f t="shared" si="2"/>
        <v>175</v>
      </c>
      <c r="K6" s="18">
        <f t="shared" si="3"/>
        <v>183.75</v>
      </c>
      <c r="L6" s="18">
        <f t="shared" si="4"/>
        <v>210</v>
      </c>
      <c r="M6" s="19">
        <f t="shared" si="5"/>
        <v>190</v>
      </c>
      <c r="N6" s="19">
        <f t="shared" si="6"/>
        <v>200</v>
      </c>
      <c r="O6" s="19">
        <f t="shared" si="7"/>
        <v>210</v>
      </c>
      <c r="P6" s="19">
        <f t="shared" si="8"/>
        <v>240</v>
      </c>
      <c r="Q6" s="19">
        <f t="shared" si="9"/>
        <v>300</v>
      </c>
      <c r="R6" s="19">
        <f t="shared" si="10"/>
        <v>172</v>
      </c>
      <c r="S6" s="20">
        <f t="shared" si="11"/>
        <v>266</v>
      </c>
      <c r="T6" s="21">
        <f t="shared" si="12"/>
        <v>294</v>
      </c>
      <c r="U6" s="21">
        <f t="shared" si="13"/>
        <v>336</v>
      </c>
      <c r="V6" s="21">
        <f t="shared" si="14"/>
        <v>420</v>
      </c>
      <c r="W6" s="21">
        <f t="shared" si="15"/>
        <v>240.79999999999998</v>
      </c>
      <c r="X6" s="22">
        <f t="shared" si="16"/>
        <v>540</v>
      </c>
      <c r="Y6" s="23">
        <f t="shared" si="17"/>
        <v>262.5</v>
      </c>
      <c r="Z6" s="23">
        <f t="shared" si="18"/>
        <v>300</v>
      </c>
      <c r="AA6" s="23">
        <f t="shared" si="19"/>
        <v>375</v>
      </c>
    </row>
    <row r="7" spans="1:27" ht="15.75" x14ac:dyDescent="0.25">
      <c r="A7" s="8">
        <v>45200</v>
      </c>
      <c r="B7" s="8">
        <v>45230</v>
      </c>
      <c r="C7" s="25">
        <v>100</v>
      </c>
      <c r="D7" s="25">
        <v>105</v>
      </c>
      <c r="E7" s="25">
        <v>110</v>
      </c>
      <c r="F7" s="25">
        <v>125</v>
      </c>
      <c r="G7" s="25">
        <v>158</v>
      </c>
      <c r="H7" s="25">
        <v>90</v>
      </c>
      <c r="I7" s="18">
        <f t="shared" si="1"/>
        <v>175</v>
      </c>
      <c r="J7" s="18">
        <f t="shared" si="2"/>
        <v>183.75</v>
      </c>
      <c r="K7" s="18">
        <f t="shared" si="3"/>
        <v>192.5</v>
      </c>
      <c r="L7" s="18">
        <f t="shared" si="4"/>
        <v>218.75</v>
      </c>
      <c r="M7" s="19">
        <f t="shared" si="5"/>
        <v>200</v>
      </c>
      <c r="N7" s="19">
        <f t="shared" si="6"/>
        <v>210</v>
      </c>
      <c r="O7" s="19">
        <f t="shared" si="7"/>
        <v>220</v>
      </c>
      <c r="P7" s="19">
        <f t="shared" si="8"/>
        <v>250</v>
      </c>
      <c r="Q7" s="19">
        <f t="shared" si="9"/>
        <v>316</v>
      </c>
      <c r="R7" s="19">
        <f t="shared" si="10"/>
        <v>180</v>
      </c>
      <c r="S7" s="20">
        <f t="shared" si="11"/>
        <v>280</v>
      </c>
      <c r="T7" s="21">
        <f t="shared" si="12"/>
        <v>308</v>
      </c>
      <c r="U7" s="21">
        <f t="shared" si="13"/>
        <v>350</v>
      </c>
      <c r="V7" s="21">
        <f t="shared" si="14"/>
        <v>442.4</v>
      </c>
      <c r="W7" s="21">
        <f t="shared" si="15"/>
        <v>251.99999999999997</v>
      </c>
      <c r="X7" s="22">
        <f t="shared" si="16"/>
        <v>568.80000000000007</v>
      </c>
      <c r="Y7" s="23">
        <f t="shared" si="17"/>
        <v>275</v>
      </c>
      <c r="Z7" s="23">
        <f t="shared" si="18"/>
        <v>312.5</v>
      </c>
      <c r="AA7" s="23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W2" activePane="bottomRight" state="frozen"/>
      <selection pane="topRight" activeCell="I1" sqref="I1"/>
      <selection pane="bottomLeft" activeCell="A2" sqref="A2"/>
      <selection pane="bottomRight" activeCell="W6" sqref="W6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</f>
        <v>90.25</v>
      </c>
      <c r="D2" s="24">
        <f>100*0.95</f>
        <v>95</v>
      </c>
      <c r="E2" s="24">
        <f>105*0.95</f>
        <v>99.75</v>
      </c>
      <c r="F2" s="24">
        <f>120*0.95</f>
        <v>114</v>
      </c>
      <c r="G2" s="24">
        <f>150*0.95</f>
        <v>142.5</v>
      </c>
      <c r="H2" s="24">
        <f>86*0.95</f>
        <v>81.7</v>
      </c>
      <c r="I2" s="18">
        <f>+C2*1.75</f>
        <v>157.9375</v>
      </c>
      <c r="J2" s="18">
        <f>+D2*1.75</f>
        <v>166.25</v>
      </c>
      <c r="K2" s="18">
        <f>+E2*1.75</f>
        <v>174.5625</v>
      </c>
      <c r="L2" s="18">
        <f>+F2*1.75</f>
        <v>199.5</v>
      </c>
      <c r="M2" s="19">
        <f t="shared" ref="M2:R2" si="0">+C2*2</f>
        <v>180.5</v>
      </c>
      <c r="N2" s="19">
        <f t="shared" si="0"/>
        <v>190</v>
      </c>
      <c r="O2" s="19">
        <f t="shared" si="0"/>
        <v>199.5</v>
      </c>
      <c r="P2" s="19">
        <f t="shared" si="0"/>
        <v>228</v>
      </c>
      <c r="Q2" s="19">
        <f t="shared" si="0"/>
        <v>285</v>
      </c>
      <c r="R2" s="19">
        <f t="shared" si="0"/>
        <v>163.4</v>
      </c>
      <c r="S2" s="20">
        <f>+C2*2.8</f>
        <v>252.7</v>
      </c>
      <c r="T2" s="21">
        <f>+E2*2.8</f>
        <v>279.29999999999995</v>
      </c>
      <c r="U2" s="21">
        <f>+F2*2.8</f>
        <v>319.2</v>
      </c>
      <c r="V2" s="21">
        <f>+G2*2.8</f>
        <v>399</v>
      </c>
      <c r="W2" s="21">
        <f>+H2*2.8</f>
        <v>228.76</v>
      </c>
      <c r="X2" s="22">
        <f>+G2*3.6</f>
        <v>513</v>
      </c>
      <c r="Y2" s="23">
        <f>+E2*2.5</f>
        <v>249.375</v>
      </c>
      <c r="Z2" s="23">
        <f>+F2*2.5</f>
        <v>285</v>
      </c>
      <c r="AA2" s="23">
        <f>+G2*2.5</f>
        <v>356.25</v>
      </c>
    </row>
    <row r="3" spans="1:27" ht="15.75" x14ac:dyDescent="0.25">
      <c r="A3" s="8">
        <v>45062</v>
      </c>
      <c r="B3" s="8">
        <v>45107</v>
      </c>
      <c r="C3" s="25">
        <f>90*0.95</f>
        <v>85.5</v>
      </c>
      <c r="D3" s="25">
        <f>95*0.95</f>
        <v>90.25</v>
      </c>
      <c r="E3" s="25">
        <f>100*0.95</f>
        <v>95</v>
      </c>
      <c r="F3" s="25">
        <f>115*0.95</f>
        <v>109.25</v>
      </c>
      <c r="G3" s="25">
        <f>143*0.95</f>
        <v>135.85</v>
      </c>
      <c r="H3" s="25">
        <f>81*0.95</f>
        <v>76.95</v>
      </c>
      <c r="I3" s="18">
        <f t="shared" ref="I3:L7" si="1">+C3*1.75</f>
        <v>149.625</v>
      </c>
      <c r="J3" s="18">
        <f t="shared" si="1"/>
        <v>157.9375</v>
      </c>
      <c r="K3" s="18">
        <f t="shared" si="1"/>
        <v>166.25</v>
      </c>
      <c r="L3" s="18">
        <f t="shared" si="1"/>
        <v>191.1875</v>
      </c>
      <c r="M3" s="19">
        <f t="shared" ref="M3:R7" si="2">+C3*2</f>
        <v>171</v>
      </c>
      <c r="N3" s="19">
        <f t="shared" si="2"/>
        <v>180.5</v>
      </c>
      <c r="O3" s="19">
        <f t="shared" si="2"/>
        <v>190</v>
      </c>
      <c r="P3" s="19">
        <f t="shared" si="2"/>
        <v>218.5</v>
      </c>
      <c r="Q3" s="19">
        <f t="shared" si="2"/>
        <v>271.7</v>
      </c>
      <c r="R3" s="19">
        <f t="shared" si="2"/>
        <v>153.9</v>
      </c>
      <c r="S3" s="20">
        <f t="shared" ref="S3:S7" si="3">+C3*2.8</f>
        <v>239.39999999999998</v>
      </c>
      <c r="T3" s="21">
        <f t="shared" ref="T3:W7" si="4">+E3*2.8</f>
        <v>266</v>
      </c>
      <c r="U3" s="21">
        <f t="shared" si="4"/>
        <v>305.89999999999998</v>
      </c>
      <c r="V3" s="21">
        <f t="shared" si="4"/>
        <v>380.37999999999994</v>
      </c>
      <c r="W3" s="21">
        <f t="shared" si="4"/>
        <v>215.46</v>
      </c>
      <c r="X3" s="22">
        <f t="shared" ref="X3:X7" si="5">+G3*3.6</f>
        <v>489.06</v>
      </c>
      <c r="Y3" s="23">
        <f t="shared" ref="Y3:AA7" si="6">+E3*2.5</f>
        <v>237.5</v>
      </c>
      <c r="Z3" s="23">
        <f t="shared" si="6"/>
        <v>273.125</v>
      </c>
      <c r="AA3" s="23">
        <f t="shared" si="6"/>
        <v>339.625</v>
      </c>
    </row>
    <row r="4" spans="1:27" ht="15.75" x14ac:dyDescent="0.25">
      <c r="A4" s="8">
        <v>45108</v>
      </c>
      <c r="B4" s="8">
        <v>45121</v>
      </c>
      <c r="C4" s="24">
        <f>95*0.95</f>
        <v>90.25</v>
      </c>
      <c r="D4" s="24">
        <f>100*0.95</f>
        <v>95</v>
      </c>
      <c r="E4" s="24">
        <f>105*0.95</f>
        <v>99.75</v>
      </c>
      <c r="F4" s="24">
        <f>120*0.95</f>
        <v>114</v>
      </c>
      <c r="G4" s="24">
        <f>150*0.95</f>
        <v>142.5</v>
      </c>
      <c r="H4" s="24">
        <f>86*0.95</f>
        <v>81.7</v>
      </c>
      <c r="I4" s="18">
        <f t="shared" si="1"/>
        <v>157.9375</v>
      </c>
      <c r="J4" s="18">
        <f t="shared" si="1"/>
        <v>166.25</v>
      </c>
      <c r="K4" s="18">
        <f t="shared" si="1"/>
        <v>174.5625</v>
      </c>
      <c r="L4" s="18">
        <f t="shared" si="1"/>
        <v>199.5</v>
      </c>
      <c r="M4" s="19">
        <f t="shared" si="2"/>
        <v>180.5</v>
      </c>
      <c r="N4" s="19">
        <f t="shared" si="2"/>
        <v>190</v>
      </c>
      <c r="O4" s="19">
        <f t="shared" si="2"/>
        <v>199.5</v>
      </c>
      <c r="P4" s="19">
        <f t="shared" si="2"/>
        <v>228</v>
      </c>
      <c r="Q4" s="19">
        <f t="shared" si="2"/>
        <v>285</v>
      </c>
      <c r="R4" s="19">
        <f t="shared" si="2"/>
        <v>163.4</v>
      </c>
      <c r="S4" s="20">
        <f t="shared" si="3"/>
        <v>252.7</v>
      </c>
      <c r="T4" s="21">
        <f t="shared" si="4"/>
        <v>279.29999999999995</v>
      </c>
      <c r="U4" s="21">
        <f t="shared" si="4"/>
        <v>319.2</v>
      </c>
      <c r="V4" s="21">
        <f t="shared" si="4"/>
        <v>399</v>
      </c>
      <c r="W4" s="21">
        <f t="shared" si="4"/>
        <v>228.76</v>
      </c>
      <c r="X4" s="22">
        <f t="shared" si="5"/>
        <v>513</v>
      </c>
      <c r="Y4" s="23">
        <f t="shared" si="6"/>
        <v>249.375</v>
      </c>
      <c r="Z4" s="23">
        <f t="shared" si="6"/>
        <v>285</v>
      </c>
      <c r="AA4" s="23">
        <f t="shared" si="6"/>
        <v>356.25</v>
      </c>
    </row>
    <row r="5" spans="1:27" ht="15.75" x14ac:dyDescent="0.25">
      <c r="A5" s="8">
        <v>45122</v>
      </c>
      <c r="B5" s="8">
        <v>45153</v>
      </c>
      <c r="C5" s="25">
        <f>100*0.95</f>
        <v>95</v>
      </c>
      <c r="D5" s="25">
        <f>105*0.95</f>
        <v>99.75</v>
      </c>
      <c r="E5" s="25">
        <f>110*0.95</f>
        <v>104.5</v>
      </c>
      <c r="F5" s="25">
        <f>125*0.95</f>
        <v>118.75</v>
      </c>
      <c r="G5" s="25">
        <f>158*0.95</f>
        <v>150.1</v>
      </c>
      <c r="H5" s="25">
        <f>90*0.95</f>
        <v>85.5</v>
      </c>
      <c r="I5" s="18">
        <f t="shared" si="1"/>
        <v>166.25</v>
      </c>
      <c r="J5" s="18">
        <f t="shared" si="1"/>
        <v>174.5625</v>
      </c>
      <c r="K5" s="18">
        <f t="shared" si="1"/>
        <v>182.875</v>
      </c>
      <c r="L5" s="18">
        <f t="shared" si="1"/>
        <v>207.8125</v>
      </c>
      <c r="M5" s="19">
        <f t="shared" si="2"/>
        <v>190</v>
      </c>
      <c r="N5" s="19">
        <f t="shared" si="2"/>
        <v>199.5</v>
      </c>
      <c r="O5" s="19">
        <f t="shared" si="2"/>
        <v>209</v>
      </c>
      <c r="P5" s="19">
        <f t="shared" si="2"/>
        <v>237.5</v>
      </c>
      <c r="Q5" s="19">
        <f t="shared" si="2"/>
        <v>300.2</v>
      </c>
      <c r="R5" s="19">
        <f t="shared" si="2"/>
        <v>171</v>
      </c>
      <c r="S5" s="20">
        <f t="shared" si="3"/>
        <v>266</v>
      </c>
      <c r="T5" s="21">
        <f t="shared" si="4"/>
        <v>292.59999999999997</v>
      </c>
      <c r="U5" s="21">
        <f t="shared" si="4"/>
        <v>332.5</v>
      </c>
      <c r="V5" s="21">
        <f t="shared" si="4"/>
        <v>420.28</v>
      </c>
      <c r="W5" s="21">
        <f t="shared" si="4"/>
        <v>239.39999999999998</v>
      </c>
      <c r="X5" s="22">
        <f t="shared" si="5"/>
        <v>540.36</v>
      </c>
      <c r="Y5" s="23">
        <f t="shared" si="6"/>
        <v>261.25</v>
      </c>
      <c r="Z5" s="23">
        <f t="shared" si="6"/>
        <v>296.875</v>
      </c>
      <c r="AA5" s="23">
        <f t="shared" si="6"/>
        <v>375.25</v>
      </c>
    </row>
    <row r="6" spans="1:27" ht="15.75" x14ac:dyDescent="0.25">
      <c r="A6" s="8">
        <v>45154</v>
      </c>
      <c r="B6" s="8">
        <v>45199</v>
      </c>
      <c r="C6" s="24">
        <f>95*0.95</f>
        <v>90.25</v>
      </c>
      <c r="D6" s="24">
        <f>100*0.95</f>
        <v>95</v>
      </c>
      <c r="E6" s="24">
        <f>105*0.95</f>
        <v>99.75</v>
      </c>
      <c r="F6" s="24">
        <f>120*0.95</f>
        <v>114</v>
      </c>
      <c r="G6" s="24">
        <f>150*0.95</f>
        <v>142.5</v>
      </c>
      <c r="H6" s="24">
        <f>86*0.95</f>
        <v>81.7</v>
      </c>
      <c r="I6" s="18">
        <f t="shared" si="1"/>
        <v>157.9375</v>
      </c>
      <c r="J6" s="18">
        <f t="shared" si="1"/>
        <v>166.25</v>
      </c>
      <c r="K6" s="18">
        <f t="shared" si="1"/>
        <v>174.5625</v>
      </c>
      <c r="L6" s="18">
        <f t="shared" si="1"/>
        <v>199.5</v>
      </c>
      <c r="M6" s="19">
        <f t="shared" si="2"/>
        <v>180.5</v>
      </c>
      <c r="N6" s="19">
        <f t="shared" si="2"/>
        <v>190</v>
      </c>
      <c r="O6" s="19">
        <f t="shared" si="2"/>
        <v>199.5</v>
      </c>
      <c r="P6" s="19">
        <f t="shared" si="2"/>
        <v>228</v>
      </c>
      <c r="Q6" s="19">
        <f t="shared" si="2"/>
        <v>285</v>
      </c>
      <c r="R6" s="19">
        <f t="shared" si="2"/>
        <v>163.4</v>
      </c>
      <c r="S6" s="20">
        <f t="shared" si="3"/>
        <v>252.7</v>
      </c>
      <c r="T6" s="21">
        <f t="shared" si="4"/>
        <v>279.29999999999995</v>
      </c>
      <c r="U6" s="21">
        <f t="shared" si="4"/>
        <v>319.2</v>
      </c>
      <c r="V6" s="21">
        <f t="shared" si="4"/>
        <v>399</v>
      </c>
      <c r="W6" s="21">
        <f t="shared" si="4"/>
        <v>228.76</v>
      </c>
      <c r="X6" s="22">
        <f t="shared" si="5"/>
        <v>513</v>
      </c>
      <c r="Y6" s="23">
        <f t="shared" si="6"/>
        <v>249.375</v>
      </c>
      <c r="Z6" s="23">
        <f t="shared" si="6"/>
        <v>285</v>
      </c>
      <c r="AA6" s="23">
        <f t="shared" si="6"/>
        <v>356.25</v>
      </c>
    </row>
    <row r="7" spans="1:27" ht="15.75" x14ac:dyDescent="0.25">
      <c r="A7" s="8">
        <v>45200</v>
      </c>
      <c r="B7" s="8">
        <v>45230</v>
      </c>
      <c r="C7" s="25">
        <f>100*0.95</f>
        <v>95</v>
      </c>
      <c r="D7" s="25">
        <f>105*0.95</f>
        <v>99.75</v>
      </c>
      <c r="E7" s="25">
        <f>110*0.95</f>
        <v>104.5</v>
      </c>
      <c r="F7" s="25">
        <f>125*0.95</f>
        <v>118.75</v>
      </c>
      <c r="G7" s="25">
        <f>158*0.95</f>
        <v>150.1</v>
      </c>
      <c r="H7" s="25">
        <f>90*0.95</f>
        <v>85.5</v>
      </c>
      <c r="I7" s="18">
        <f t="shared" si="1"/>
        <v>166.25</v>
      </c>
      <c r="J7" s="18">
        <f t="shared" si="1"/>
        <v>174.5625</v>
      </c>
      <c r="K7" s="18">
        <f t="shared" si="1"/>
        <v>182.875</v>
      </c>
      <c r="L7" s="18">
        <f t="shared" si="1"/>
        <v>207.8125</v>
      </c>
      <c r="M7" s="19">
        <f t="shared" si="2"/>
        <v>190</v>
      </c>
      <c r="N7" s="19">
        <f t="shared" si="2"/>
        <v>199.5</v>
      </c>
      <c r="O7" s="19">
        <f t="shared" si="2"/>
        <v>209</v>
      </c>
      <c r="P7" s="19">
        <f t="shared" si="2"/>
        <v>237.5</v>
      </c>
      <c r="Q7" s="19">
        <f t="shared" si="2"/>
        <v>300.2</v>
      </c>
      <c r="R7" s="19">
        <f t="shared" si="2"/>
        <v>171</v>
      </c>
      <c r="S7" s="20">
        <f t="shared" si="3"/>
        <v>266</v>
      </c>
      <c r="T7" s="21">
        <f t="shared" si="4"/>
        <v>292.59999999999997</v>
      </c>
      <c r="U7" s="21">
        <f t="shared" si="4"/>
        <v>332.5</v>
      </c>
      <c r="V7" s="21">
        <f t="shared" si="4"/>
        <v>420.28</v>
      </c>
      <c r="W7" s="21">
        <f t="shared" si="4"/>
        <v>239.39999999999998</v>
      </c>
      <c r="X7" s="22">
        <f t="shared" si="5"/>
        <v>540.36</v>
      </c>
      <c r="Y7" s="23">
        <f t="shared" si="6"/>
        <v>261.25</v>
      </c>
      <c r="Z7" s="23">
        <f t="shared" si="6"/>
        <v>296.875</v>
      </c>
      <c r="AA7" s="23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(95*0.95)*0.95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>+C2*1.75</f>
        <v>150.04062500000001</v>
      </c>
      <c r="J2" s="18">
        <f>+D2*1.75</f>
        <v>157.9375</v>
      </c>
      <c r="K2" s="18">
        <f>+E2*1.75</f>
        <v>165.83437499999997</v>
      </c>
      <c r="L2" s="18">
        <f>+F2*1.75</f>
        <v>189.52500000000001</v>
      </c>
      <c r="M2" s="19">
        <f t="shared" ref="M2:R3" si="0">+C2*2</f>
        <v>171.47499999999999</v>
      </c>
      <c r="N2" s="19">
        <f t="shared" si="0"/>
        <v>180.5</v>
      </c>
      <c r="O2" s="19">
        <f t="shared" si="0"/>
        <v>189.52499999999998</v>
      </c>
      <c r="P2" s="19">
        <f t="shared" si="0"/>
        <v>216.6</v>
      </c>
      <c r="Q2" s="19">
        <f t="shared" si="0"/>
        <v>270.75</v>
      </c>
      <c r="R2" s="19">
        <f t="shared" si="0"/>
        <v>155.22999999999999</v>
      </c>
      <c r="S2" s="20">
        <f>+C2*2.8</f>
        <v>240.06499999999997</v>
      </c>
      <c r="T2" s="21">
        <f>+E2*2.8</f>
        <v>265.33499999999998</v>
      </c>
      <c r="U2" s="21">
        <f>+F2*2.8</f>
        <v>303.23999999999995</v>
      </c>
      <c r="V2" s="21">
        <f>+G2*2.8</f>
        <v>379.04999999999995</v>
      </c>
      <c r="W2" s="21">
        <f>+H2*2.8</f>
        <v>217.32199999999997</v>
      </c>
      <c r="X2" s="22">
        <f>+G2*3.6</f>
        <v>487.35</v>
      </c>
      <c r="Y2" s="23">
        <f>+E2*2.5</f>
        <v>236.90624999999997</v>
      </c>
      <c r="Z2" s="23">
        <f>+F2*2.5</f>
        <v>270.75</v>
      </c>
      <c r="AA2" s="23">
        <f>+G2*2.5</f>
        <v>338.4375</v>
      </c>
    </row>
    <row r="3" spans="1:27" ht="15.75" x14ac:dyDescent="0.25">
      <c r="A3" s="8">
        <v>45062</v>
      </c>
      <c r="B3" s="8">
        <v>45107</v>
      </c>
      <c r="C3" s="25">
        <f>90*0.95*0.95</f>
        <v>81.224999999999994</v>
      </c>
      <c r="D3" s="25">
        <f>95*0.95*0.95</f>
        <v>85.737499999999997</v>
      </c>
      <c r="E3" s="25">
        <f>100*0.95*0.95</f>
        <v>90.25</v>
      </c>
      <c r="F3" s="25">
        <f>115*0.95*0.95</f>
        <v>103.78749999999999</v>
      </c>
      <c r="G3" s="25">
        <f>143*0.95*0.95</f>
        <v>129.05749999999998</v>
      </c>
      <c r="H3" s="25">
        <f>81*0.95*0.95</f>
        <v>73.102500000000006</v>
      </c>
      <c r="I3" s="18">
        <f t="shared" ref="I3:L3" si="1">+C3*1.75</f>
        <v>142.14374999999998</v>
      </c>
      <c r="J3" s="18">
        <f t="shared" si="1"/>
        <v>150.04062500000001</v>
      </c>
      <c r="K3" s="18">
        <f t="shared" si="1"/>
        <v>157.9375</v>
      </c>
      <c r="L3" s="18">
        <f t="shared" si="1"/>
        <v>181.62812499999998</v>
      </c>
      <c r="M3" s="19">
        <f t="shared" si="0"/>
        <v>162.44999999999999</v>
      </c>
      <c r="N3" s="19">
        <f t="shared" si="0"/>
        <v>171.47499999999999</v>
      </c>
      <c r="O3" s="19">
        <f t="shared" si="0"/>
        <v>180.5</v>
      </c>
      <c r="P3" s="19">
        <f t="shared" si="0"/>
        <v>207.57499999999999</v>
      </c>
      <c r="Q3" s="19">
        <f t="shared" si="0"/>
        <v>258.11499999999995</v>
      </c>
      <c r="R3" s="19">
        <f t="shared" si="0"/>
        <v>146.20500000000001</v>
      </c>
      <c r="S3" s="20">
        <f t="shared" ref="S3" si="2">+C3*2.8</f>
        <v>227.42999999999998</v>
      </c>
      <c r="T3" s="21">
        <f t="shared" ref="T3:W3" si="3">+E3*2.8</f>
        <v>252.7</v>
      </c>
      <c r="U3" s="21">
        <f t="shared" si="3"/>
        <v>290.60499999999996</v>
      </c>
      <c r="V3" s="21">
        <f t="shared" si="3"/>
        <v>361.36099999999993</v>
      </c>
      <c r="W3" s="21">
        <f t="shared" si="3"/>
        <v>204.68700000000001</v>
      </c>
      <c r="X3" s="22">
        <f t="shared" ref="X3" si="4">+G3*3.6</f>
        <v>464.60699999999991</v>
      </c>
      <c r="Y3" s="23">
        <f t="shared" ref="Y3:AA3" si="5">+E3*2.5</f>
        <v>225.625</v>
      </c>
      <c r="Z3" s="23">
        <f t="shared" si="5"/>
        <v>259.46875</v>
      </c>
      <c r="AA3" s="23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45170</v>
      </c>
      <c r="B2" s="8">
        <v>45199</v>
      </c>
      <c r="C2" s="24">
        <f>95*0.95*0.95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 t="shared" ref="I2:L3" si="0">+C2*1.75</f>
        <v>150.04062500000001</v>
      </c>
      <c r="J2" s="18">
        <f t="shared" si="0"/>
        <v>157.9375</v>
      </c>
      <c r="K2" s="18">
        <f t="shared" si="0"/>
        <v>165.83437499999997</v>
      </c>
      <c r="L2" s="18">
        <f t="shared" si="0"/>
        <v>189.52500000000001</v>
      </c>
      <c r="M2" s="19">
        <f t="shared" ref="M2:R3" si="1">+C2*2</f>
        <v>171.47499999999999</v>
      </c>
      <c r="N2" s="19">
        <f t="shared" si="1"/>
        <v>180.5</v>
      </c>
      <c r="O2" s="19">
        <f t="shared" si="1"/>
        <v>189.52499999999998</v>
      </c>
      <c r="P2" s="19">
        <f t="shared" si="1"/>
        <v>216.6</v>
      </c>
      <c r="Q2" s="19">
        <f t="shared" si="1"/>
        <v>270.75</v>
      </c>
      <c r="R2" s="19">
        <f t="shared" si="1"/>
        <v>155.22999999999999</v>
      </c>
      <c r="S2" s="20">
        <f t="shared" ref="S2:S3" si="2">+C2*2.8</f>
        <v>240.06499999999997</v>
      </c>
      <c r="T2" s="21">
        <f t="shared" ref="T2:W3" si="3">+E2*2.8</f>
        <v>265.33499999999998</v>
      </c>
      <c r="U2" s="21">
        <f t="shared" si="3"/>
        <v>303.23999999999995</v>
      </c>
      <c r="V2" s="21">
        <f t="shared" si="3"/>
        <v>379.04999999999995</v>
      </c>
      <c r="W2" s="21">
        <f t="shared" si="3"/>
        <v>217.32199999999997</v>
      </c>
      <c r="X2" s="22">
        <f t="shared" ref="X2:X3" si="4">+G2*3.6</f>
        <v>487.35</v>
      </c>
      <c r="Y2" s="23">
        <f t="shared" ref="Y2:AA3" si="5">+E2*2.5</f>
        <v>236.90624999999997</v>
      </c>
      <c r="Z2" s="23">
        <f t="shared" si="5"/>
        <v>270.75</v>
      </c>
      <c r="AA2" s="23">
        <f t="shared" si="5"/>
        <v>338.4375</v>
      </c>
    </row>
    <row r="3" spans="1:27" ht="15.75" x14ac:dyDescent="0.25">
      <c r="A3" s="8">
        <v>45200</v>
      </c>
      <c r="B3" s="8">
        <v>45230</v>
      </c>
      <c r="C3" s="25">
        <f>100*0.95*0.95</f>
        <v>90.25</v>
      </c>
      <c r="D3" s="25">
        <f>105*0.95*0.95</f>
        <v>94.762499999999989</v>
      </c>
      <c r="E3" s="25">
        <f>110*0.95*0.95</f>
        <v>99.274999999999991</v>
      </c>
      <c r="F3" s="25">
        <f>125*0.95*0.95</f>
        <v>112.8125</v>
      </c>
      <c r="G3" s="25">
        <f>158*0.95*0.95</f>
        <v>142.595</v>
      </c>
      <c r="H3" s="25">
        <f>90*0.95*0.95</f>
        <v>81.224999999999994</v>
      </c>
      <c r="I3" s="18">
        <f t="shared" si="0"/>
        <v>157.9375</v>
      </c>
      <c r="J3" s="18">
        <f t="shared" si="0"/>
        <v>165.83437499999997</v>
      </c>
      <c r="K3" s="18">
        <f t="shared" si="0"/>
        <v>173.73124999999999</v>
      </c>
      <c r="L3" s="18">
        <f t="shared" si="0"/>
        <v>197.421875</v>
      </c>
      <c r="M3" s="19">
        <f t="shared" si="1"/>
        <v>180.5</v>
      </c>
      <c r="N3" s="19">
        <f t="shared" si="1"/>
        <v>189.52499999999998</v>
      </c>
      <c r="O3" s="19">
        <f t="shared" si="1"/>
        <v>198.54999999999998</v>
      </c>
      <c r="P3" s="19">
        <f t="shared" si="1"/>
        <v>225.625</v>
      </c>
      <c r="Q3" s="19">
        <f t="shared" si="1"/>
        <v>285.19</v>
      </c>
      <c r="R3" s="19">
        <f t="shared" si="1"/>
        <v>162.44999999999999</v>
      </c>
      <c r="S3" s="20">
        <f t="shared" si="2"/>
        <v>252.7</v>
      </c>
      <c r="T3" s="21">
        <f t="shared" si="3"/>
        <v>277.96999999999997</v>
      </c>
      <c r="U3" s="21">
        <f t="shared" si="3"/>
        <v>315.875</v>
      </c>
      <c r="V3" s="21">
        <f t="shared" si="3"/>
        <v>399.26599999999996</v>
      </c>
      <c r="W3" s="21">
        <f t="shared" si="3"/>
        <v>227.42999999999998</v>
      </c>
      <c r="X3" s="22">
        <f t="shared" si="4"/>
        <v>513.34199999999998</v>
      </c>
      <c r="Y3" s="23">
        <f t="shared" si="5"/>
        <v>248.18749999999997</v>
      </c>
      <c r="Z3" s="23">
        <f t="shared" si="5"/>
        <v>282.03125</v>
      </c>
      <c r="AA3" s="23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(95*0.95)*0.95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>+C2*1.75</f>
        <v>150.04062500000001</v>
      </c>
      <c r="J2" s="18">
        <f>+D2*1.75</f>
        <v>157.9375</v>
      </c>
      <c r="K2" s="18">
        <f>+E2*1.75</f>
        <v>165.83437499999997</v>
      </c>
      <c r="L2" s="18">
        <f>+F2*1.75</f>
        <v>189.52500000000001</v>
      </c>
      <c r="M2" s="19">
        <f t="shared" ref="M2:R3" si="0">+C2*2</f>
        <v>171.47499999999999</v>
      </c>
      <c r="N2" s="19">
        <f t="shared" si="0"/>
        <v>180.5</v>
      </c>
      <c r="O2" s="19">
        <f t="shared" si="0"/>
        <v>189.52499999999998</v>
      </c>
      <c r="P2" s="19">
        <f t="shared" si="0"/>
        <v>216.6</v>
      </c>
      <c r="Q2" s="19">
        <f t="shared" si="0"/>
        <v>270.75</v>
      </c>
      <c r="R2" s="19">
        <f t="shared" si="0"/>
        <v>155.22999999999999</v>
      </c>
      <c r="S2" s="20">
        <f>+C2*2.8</f>
        <v>240.06499999999997</v>
      </c>
      <c r="T2" s="21">
        <f>+E2*2.8</f>
        <v>265.33499999999998</v>
      </c>
      <c r="U2" s="21">
        <f>+F2*2.8</f>
        <v>303.23999999999995</v>
      </c>
      <c r="V2" s="21">
        <f>+G2*2.8</f>
        <v>379.04999999999995</v>
      </c>
      <c r="W2" s="21">
        <f>+H2*2.8</f>
        <v>217.32199999999997</v>
      </c>
      <c r="X2" s="22">
        <f>+G2*3.6</f>
        <v>487.35</v>
      </c>
      <c r="Y2" s="23">
        <f>+E2*2.5</f>
        <v>236.90624999999997</v>
      </c>
      <c r="Z2" s="23">
        <f>+F2*2.5</f>
        <v>270.75</v>
      </c>
      <c r="AA2" s="23">
        <f>+G2*2.5</f>
        <v>338.4375</v>
      </c>
    </row>
    <row r="3" spans="1:27" ht="15.75" x14ac:dyDescent="0.25">
      <c r="A3" s="8">
        <v>45062</v>
      </c>
      <c r="B3" s="8">
        <v>45107</v>
      </c>
      <c r="C3" s="25">
        <f>90*0.95*0.95</f>
        <v>81.224999999999994</v>
      </c>
      <c r="D3" s="25">
        <f>95*0.95*0.95</f>
        <v>85.737499999999997</v>
      </c>
      <c r="E3" s="25">
        <f>100*0.95*0.95</f>
        <v>90.25</v>
      </c>
      <c r="F3" s="25">
        <f>115*0.95*0.95</f>
        <v>103.78749999999999</v>
      </c>
      <c r="G3" s="25">
        <f>143*0.95*0.95</f>
        <v>129.05749999999998</v>
      </c>
      <c r="H3" s="25">
        <f>81*0.95*0.95</f>
        <v>73.102500000000006</v>
      </c>
      <c r="I3" s="18">
        <f t="shared" ref="I3:L3" si="1">+C3*1.75</f>
        <v>142.14374999999998</v>
      </c>
      <c r="J3" s="18">
        <f t="shared" si="1"/>
        <v>150.04062500000001</v>
      </c>
      <c r="K3" s="18">
        <f t="shared" si="1"/>
        <v>157.9375</v>
      </c>
      <c r="L3" s="18">
        <f t="shared" si="1"/>
        <v>181.62812499999998</v>
      </c>
      <c r="M3" s="19">
        <f t="shared" si="0"/>
        <v>162.44999999999999</v>
      </c>
      <c r="N3" s="19">
        <f t="shared" si="0"/>
        <v>171.47499999999999</v>
      </c>
      <c r="O3" s="19">
        <f t="shared" si="0"/>
        <v>180.5</v>
      </c>
      <c r="P3" s="19">
        <f t="shared" si="0"/>
        <v>207.57499999999999</v>
      </c>
      <c r="Q3" s="19">
        <f t="shared" si="0"/>
        <v>258.11499999999995</v>
      </c>
      <c r="R3" s="19">
        <f t="shared" si="0"/>
        <v>146.20500000000001</v>
      </c>
      <c r="S3" s="20">
        <f t="shared" ref="S3" si="2">+C3*2.8</f>
        <v>227.42999999999998</v>
      </c>
      <c r="T3" s="21">
        <f t="shared" ref="T3:W3" si="3">+E3*2.8</f>
        <v>252.7</v>
      </c>
      <c r="U3" s="21">
        <f t="shared" si="3"/>
        <v>290.60499999999996</v>
      </c>
      <c r="V3" s="21">
        <f t="shared" si="3"/>
        <v>361.36099999999993</v>
      </c>
      <c r="W3" s="21">
        <f t="shared" si="3"/>
        <v>204.68700000000001</v>
      </c>
      <c r="X3" s="22">
        <f t="shared" ref="X3" si="4">+G3*3.6</f>
        <v>464.60699999999991</v>
      </c>
      <c r="Y3" s="23">
        <f t="shared" ref="Y3:AA3" si="5">+E3*2.5</f>
        <v>225.625</v>
      </c>
      <c r="Z3" s="23">
        <f t="shared" si="5"/>
        <v>259.46875</v>
      </c>
      <c r="AA3" s="23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95*0.95*0.77</f>
        <v>69.492500000000007</v>
      </c>
      <c r="D2" s="24">
        <f>100*0.95*0.77</f>
        <v>73.150000000000006</v>
      </c>
      <c r="E2" s="24">
        <f>105*0.95*0.77</f>
        <v>76.807500000000005</v>
      </c>
      <c r="F2" s="24">
        <f>120*0.95*0.77</f>
        <v>87.78</v>
      </c>
      <c r="G2" s="24">
        <f>150*0.95*0.77</f>
        <v>109.72500000000001</v>
      </c>
      <c r="H2" s="24">
        <f>86*0.95*0.77</f>
        <v>62.909000000000006</v>
      </c>
      <c r="I2" s="18">
        <f>+C2*1.75</f>
        <v>121.61187500000001</v>
      </c>
      <c r="J2" s="18">
        <f>+D2*1.75</f>
        <v>128.01250000000002</v>
      </c>
      <c r="K2" s="18">
        <f>+E2*1.75</f>
        <v>134.41312500000001</v>
      </c>
      <c r="L2" s="18">
        <f>+F2*1.75</f>
        <v>153.61500000000001</v>
      </c>
      <c r="M2" s="19">
        <f t="shared" ref="M2:R7" si="0">+C2*2</f>
        <v>138.98500000000001</v>
      </c>
      <c r="N2" s="19">
        <f t="shared" si="0"/>
        <v>146.30000000000001</v>
      </c>
      <c r="O2" s="19">
        <f t="shared" si="0"/>
        <v>153.61500000000001</v>
      </c>
      <c r="P2" s="19">
        <f t="shared" si="0"/>
        <v>175.56</v>
      </c>
      <c r="Q2" s="19">
        <f t="shared" si="0"/>
        <v>219.45000000000002</v>
      </c>
      <c r="R2" s="19">
        <f t="shared" si="0"/>
        <v>125.81800000000001</v>
      </c>
      <c r="S2" s="20">
        <f>+C2*2.8</f>
        <v>194.57900000000001</v>
      </c>
      <c r="T2" s="21">
        <f>+E2*2.8</f>
        <v>215.06100000000001</v>
      </c>
      <c r="U2" s="21">
        <f>+F2*2.8</f>
        <v>245.78399999999999</v>
      </c>
      <c r="V2" s="21">
        <f>+G2*2.8</f>
        <v>307.23</v>
      </c>
      <c r="W2" s="21">
        <f>+H2*2.8</f>
        <v>176.14520000000002</v>
      </c>
      <c r="X2" s="22">
        <f>+G2*3.6</f>
        <v>395.01000000000005</v>
      </c>
      <c r="Y2" s="23">
        <f>+E2*2.5</f>
        <v>192.01875000000001</v>
      </c>
      <c r="Z2" s="23">
        <f>+F2*2.5</f>
        <v>219.45</v>
      </c>
      <c r="AA2" s="23">
        <f>+G2*2.5</f>
        <v>274.3125</v>
      </c>
    </row>
    <row r="3" spans="1:27" ht="15.75" x14ac:dyDescent="0.25">
      <c r="A3" s="8">
        <v>45062</v>
      </c>
      <c r="B3" s="8">
        <v>45107</v>
      </c>
      <c r="C3" s="25">
        <f>90*0.95*0.77</f>
        <v>65.835000000000008</v>
      </c>
      <c r="D3" s="25">
        <f>95*0.95*0.77</f>
        <v>69.492500000000007</v>
      </c>
      <c r="E3" s="25">
        <f>100*0.95*0.77</f>
        <v>73.150000000000006</v>
      </c>
      <c r="F3" s="25">
        <f>115*0.95*0.77</f>
        <v>84.122500000000002</v>
      </c>
      <c r="G3" s="25">
        <f>143*0.95*0.77</f>
        <v>104.6045</v>
      </c>
      <c r="H3" s="25">
        <f>81*0.95*0.77</f>
        <v>59.2515</v>
      </c>
      <c r="I3" s="18">
        <f t="shared" ref="I3:L7" si="1">+C3*1.75</f>
        <v>115.21125000000001</v>
      </c>
      <c r="J3" s="18">
        <f t="shared" si="1"/>
        <v>121.61187500000001</v>
      </c>
      <c r="K3" s="18">
        <f t="shared" si="1"/>
        <v>128.01250000000002</v>
      </c>
      <c r="L3" s="18">
        <f t="shared" si="1"/>
        <v>147.21437500000002</v>
      </c>
      <c r="M3" s="19">
        <f t="shared" si="0"/>
        <v>131.67000000000002</v>
      </c>
      <c r="N3" s="19">
        <f t="shared" si="0"/>
        <v>138.98500000000001</v>
      </c>
      <c r="O3" s="19">
        <f t="shared" si="0"/>
        <v>146.30000000000001</v>
      </c>
      <c r="P3" s="19">
        <f t="shared" si="0"/>
        <v>168.245</v>
      </c>
      <c r="Q3" s="19">
        <f t="shared" si="0"/>
        <v>209.209</v>
      </c>
      <c r="R3" s="19">
        <f t="shared" si="0"/>
        <v>118.503</v>
      </c>
      <c r="S3" s="20">
        <f t="shared" ref="S3:S7" si="2">+C3*2.8</f>
        <v>184.33800000000002</v>
      </c>
      <c r="T3" s="21">
        <f t="shared" ref="T3:W7" si="3">+E3*2.8</f>
        <v>204.82</v>
      </c>
      <c r="U3" s="21">
        <f t="shared" si="3"/>
        <v>235.54299999999998</v>
      </c>
      <c r="V3" s="21">
        <f t="shared" si="3"/>
        <v>292.89259999999996</v>
      </c>
      <c r="W3" s="21">
        <f t="shared" si="3"/>
        <v>165.9042</v>
      </c>
      <c r="X3" s="22">
        <f t="shared" ref="X3:X7" si="4">+G3*3.6</f>
        <v>376.57620000000003</v>
      </c>
      <c r="Y3" s="23">
        <f t="shared" ref="Y3:AA7" si="5">+E3*2.5</f>
        <v>182.875</v>
      </c>
      <c r="Z3" s="23">
        <f t="shared" si="5"/>
        <v>210.30625000000001</v>
      </c>
      <c r="AA3" s="23">
        <f t="shared" si="5"/>
        <v>261.51125000000002</v>
      </c>
    </row>
    <row r="4" spans="1:27" ht="15.75" x14ac:dyDescent="0.25">
      <c r="A4" s="8">
        <v>45108</v>
      </c>
      <c r="B4" s="8">
        <v>45121</v>
      </c>
      <c r="C4" s="24">
        <f>95*0.95*0.77</f>
        <v>69.492500000000007</v>
      </c>
      <c r="D4" s="24">
        <f>100*0.95*0.77</f>
        <v>73.150000000000006</v>
      </c>
      <c r="E4" s="24">
        <f>105*0.95*0.77</f>
        <v>76.807500000000005</v>
      </c>
      <c r="F4" s="24">
        <f>120*0.95*0.77</f>
        <v>87.78</v>
      </c>
      <c r="G4" s="24">
        <f>150*0.95*0.77</f>
        <v>109.72500000000001</v>
      </c>
      <c r="H4" s="24">
        <f>86*0.95*0.77</f>
        <v>62.909000000000006</v>
      </c>
      <c r="I4" s="18">
        <f t="shared" si="1"/>
        <v>121.61187500000001</v>
      </c>
      <c r="J4" s="18">
        <f t="shared" si="1"/>
        <v>128.01250000000002</v>
      </c>
      <c r="K4" s="18">
        <f t="shared" si="1"/>
        <v>134.41312500000001</v>
      </c>
      <c r="L4" s="18">
        <f t="shared" si="1"/>
        <v>153.61500000000001</v>
      </c>
      <c r="M4" s="19">
        <f t="shared" si="0"/>
        <v>138.98500000000001</v>
      </c>
      <c r="N4" s="19">
        <f t="shared" si="0"/>
        <v>146.30000000000001</v>
      </c>
      <c r="O4" s="19">
        <f t="shared" si="0"/>
        <v>153.61500000000001</v>
      </c>
      <c r="P4" s="19">
        <f t="shared" si="0"/>
        <v>175.56</v>
      </c>
      <c r="Q4" s="19">
        <f t="shared" si="0"/>
        <v>219.45000000000002</v>
      </c>
      <c r="R4" s="19">
        <f t="shared" si="0"/>
        <v>125.81800000000001</v>
      </c>
      <c r="S4" s="20">
        <f t="shared" si="2"/>
        <v>194.57900000000001</v>
      </c>
      <c r="T4" s="21">
        <f t="shared" si="3"/>
        <v>215.06100000000001</v>
      </c>
      <c r="U4" s="21">
        <f t="shared" si="3"/>
        <v>245.78399999999999</v>
      </c>
      <c r="V4" s="21">
        <f t="shared" si="3"/>
        <v>307.23</v>
      </c>
      <c r="W4" s="21">
        <f t="shared" si="3"/>
        <v>176.14520000000002</v>
      </c>
      <c r="X4" s="22">
        <f t="shared" si="4"/>
        <v>395.01000000000005</v>
      </c>
      <c r="Y4" s="23">
        <f t="shared" si="5"/>
        <v>192.01875000000001</v>
      </c>
      <c r="Z4" s="23">
        <f t="shared" si="5"/>
        <v>219.45</v>
      </c>
      <c r="AA4" s="23">
        <f t="shared" si="5"/>
        <v>274.3125</v>
      </c>
    </row>
    <row r="5" spans="1:27" ht="15.75" x14ac:dyDescent="0.25">
      <c r="A5" s="8">
        <v>45122</v>
      </c>
      <c r="B5" s="8">
        <v>45153</v>
      </c>
      <c r="C5" s="25">
        <f>100*0.95*0.77</f>
        <v>73.150000000000006</v>
      </c>
      <c r="D5" s="25">
        <f>105*0.95*0.77</f>
        <v>76.807500000000005</v>
      </c>
      <c r="E5" s="25">
        <f>110*0.95*0.77</f>
        <v>80.465000000000003</v>
      </c>
      <c r="F5" s="25">
        <f>125*0.95*0.77</f>
        <v>91.4375</v>
      </c>
      <c r="G5" s="25">
        <f>158*0.95*0.77</f>
        <v>115.577</v>
      </c>
      <c r="H5" s="25">
        <f>90*0.95*0.77</f>
        <v>65.835000000000008</v>
      </c>
      <c r="I5" s="18">
        <f t="shared" si="1"/>
        <v>128.01250000000002</v>
      </c>
      <c r="J5" s="18">
        <f t="shared" si="1"/>
        <v>134.41312500000001</v>
      </c>
      <c r="K5" s="18">
        <f t="shared" si="1"/>
        <v>140.81375</v>
      </c>
      <c r="L5" s="18">
        <f t="shared" si="1"/>
        <v>160.015625</v>
      </c>
      <c r="M5" s="19">
        <f t="shared" si="0"/>
        <v>146.30000000000001</v>
      </c>
      <c r="N5" s="19">
        <f t="shared" si="0"/>
        <v>153.61500000000001</v>
      </c>
      <c r="O5" s="19">
        <f t="shared" si="0"/>
        <v>160.93</v>
      </c>
      <c r="P5" s="19">
        <f t="shared" si="0"/>
        <v>182.875</v>
      </c>
      <c r="Q5" s="19">
        <f t="shared" si="0"/>
        <v>231.154</v>
      </c>
      <c r="R5" s="19">
        <f t="shared" si="0"/>
        <v>131.67000000000002</v>
      </c>
      <c r="S5" s="20">
        <f t="shared" si="2"/>
        <v>204.82</v>
      </c>
      <c r="T5" s="21">
        <f t="shared" si="3"/>
        <v>225.30199999999999</v>
      </c>
      <c r="U5" s="21">
        <f t="shared" si="3"/>
        <v>256.02499999999998</v>
      </c>
      <c r="V5" s="21">
        <f t="shared" si="3"/>
        <v>323.61559999999997</v>
      </c>
      <c r="W5" s="21">
        <f t="shared" si="3"/>
        <v>184.33800000000002</v>
      </c>
      <c r="X5" s="22">
        <f t="shared" si="4"/>
        <v>416.0772</v>
      </c>
      <c r="Y5" s="23">
        <f t="shared" si="5"/>
        <v>201.16250000000002</v>
      </c>
      <c r="Z5" s="23">
        <f t="shared" si="5"/>
        <v>228.59375</v>
      </c>
      <c r="AA5" s="23">
        <f t="shared" si="5"/>
        <v>288.9425</v>
      </c>
    </row>
    <row r="6" spans="1:27" ht="15.75" x14ac:dyDescent="0.25">
      <c r="A6" s="8">
        <v>45154</v>
      </c>
      <c r="B6" s="8">
        <v>45199</v>
      </c>
      <c r="C6" s="24">
        <f>95*0.95*0.77</f>
        <v>69.492500000000007</v>
      </c>
      <c r="D6" s="24">
        <f>100*0.95*0.77</f>
        <v>73.150000000000006</v>
      </c>
      <c r="E6" s="24">
        <f>105*0.95*0.77</f>
        <v>76.807500000000005</v>
      </c>
      <c r="F6" s="24">
        <f>120*0.95*0.77</f>
        <v>87.78</v>
      </c>
      <c r="G6" s="24">
        <f>150*0.95*0.77</f>
        <v>109.72500000000001</v>
      </c>
      <c r="H6" s="24">
        <f>86*0.95*0.77</f>
        <v>62.909000000000006</v>
      </c>
      <c r="I6" s="18">
        <f t="shared" si="1"/>
        <v>121.61187500000001</v>
      </c>
      <c r="J6" s="18">
        <f t="shared" si="1"/>
        <v>128.01250000000002</v>
      </c>
      <c r="K6" s="18">
        <f t="shared" si="1"/>
        <v>134.41312500000001</v>
      </c>
      <c r="L6" s="18">
        <f t="shared" si="1"/>
        <v>153.61500000000001</v>
      </c>
      <c r="M6" s="19">
        <f t="shared" si="0"/>
        <v>138.98500000000001</v>
      </c>
      <c r="N6" s="19">
        <f t="shared" si="0"/>
        <v>146.30000000000001</v>
      </c>
      <c r="O6" s="19">
        <f t="shared" si="0"/>
        <v>153.61500000000001</v>
      </c>
      <c r="P6" s="19">
        <f t="shared" si="0"/>
        <v>175.56</v>
      </c>
      <c r="Q6" s="19">
        <f t="shared" si="0"/>
        <v>219.45000000000002</v>
      </c>
      <c r="R6" s="19">
        <f t="shared" si="0"/>
        <v>125.81800000000001</v>
      </c>
      <c r="S6" s="20">
        <f t="shared" si="2"/>
        <v>194.57900000000001</v>
      </c>
      <c r="T6" s="21">
        <f t="shared" si="3"/>
        <v>215.06100000000001</v>
      </c>
      <c r="U6" s="21">
        <f t="shared" si="3"/>
        <v>245.78399999999999</v>
      </c>
      <c r="V6" s="21">
        <f t="shared" si="3"/>
        <v>307.23</v>
      </c>
      <c r="W6" s="21">
        <f t="shared" si="3"/>
        <v>176.14520000000002</v>
      </c>
      <c r="X6" s="22">
        <f t="shared" si="4"/>
        <v>395.01000000000005</v>
      </c>
      <c r="Y6" s="23">
        <f t="shared" si="5"/>
        <v>192.01875000000001</v>
      </c>
      <c r="Z6" s="23">
        <f t="shared" si="5"/>
        <v>219.45</v>
      </c>
      <c r="AA6" s="23">
        <f t="shared" si="5"/>
        <v>274.3125</v>
      </c>
    </row>
    <row r="7" spans="1:27" ht="15.75" x14ac:dyDescent="0.25">
      <c r="A7" s="8">
        <v>45200</v>
      </c>
      <c r="B7" s="8">
        <v>45230</v>
      </c>
      <c r="C7" s="25">
        <f>100*0.95*0.77</f>
        <v>73.150000000000006</v>
      </c>
      <c r="D7" s="25">
        <f>105*0.95*0.77</f>
        <v>76.807500000000005</v>
      </c>
      <c r="E7" s="25">
        <f>110*0.95*0.77</f>
        <v>80.465000000000003</v>
      </c>
      <c r="F7" s="25">
        <f>125*0.95*0.77</f>
        <v>91.4375</v>
      </c>
      <c r="G7" s="25">
        <f>158*0.95*0.77</f>
        <v>115.577</v>
      </c>
      <c r="H7" s="25">
        <f>90*0.95*0.77</f>
        <v>65.835000000000008</v>
      </c>
      <c r="I7" s="18">
        <f t="shared" si="1"/>
        <v>128.01250000000002</v>
      </c>
      <c r="J7" s="18">
        <f t="shared" si="1"/>
        <v>134.41312500000001</v>
      </c>
      <c r="K7" s="18">
        <f t="shared" si="1"/>
        <v>140.81375</v>
      </c>
      <c r="L7" s="18">
        <f t="shared" si="1"/>
        <v>160.015625</v>
      </c>
      <c r="M7" s="19">
        <f t="shared" si="0"/>
        <v>146.30000000000001</v>
      </c>
      <c r="N7" s="19">
        <f t="shared" si="0"/>
        <v>153.61500000000001</v>
      </c>
      <c r="O7" s="19">
        <f t="shared" si="0"/>
        <v>160.93</v>
      </c>
      <c r="P7" s="19">
        <f t="shared" si="0"/>
        <v>182.875</v>
      </c>
      <c r="Q7" s="19">
        <f t="shared" si="0"/>
        <v>231.154</v>
      </c>
      <c r="R7" s="19">
        <f t="shared" si="0"/>
        <v>131.67000000000002</v>
      </c>
      <c r="S7" s="20">
        <f t="shared" si="2"/>
        <v>204.82</v>
      </c>
      <c r="T7" s="21">
        <f t="shared" si="3"/>
        <v>225.30199999999999</v>
      </c>
      <c r="U7" s="21">
        <f t="shared" si="3"/>
        <v>256.02499999999998</v>
      </c>
      <c r="V7" s="21">
        <f t="shared" si="3"/>
        <v>323.61559999999997</v>
      </c>
      <c r="W7" s="21">
        <f t="shared" si="3"/>
        <v>184.33800000000002</v>
      </c>
      <c r="X7" s="22">
        <f t="shared" si="4"/>
        <v>416.0772</v>
      </c>
      <c r="Y7" s="23">
        <f t="shared" si="5"/>
        <v>201.16250000000002</v>
      </c>
      <c r="Z7" s="23">
        <f t="shared" si="5"/>
        <v>228.59375</v>
      </c>
      <c r="AA7" s="23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17" sqref="D17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3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4">
        <f>90*0.95*0.75</f>
        <v>64.125</v>
      </c>
      <c r="D3" s="25">
        <f>95*0.95*0.75</f>
        <v>67.6875</v>
      </c>
      <c r="E3" s="25">
        <f>100*0.95*0.75</f>
        <v>71.25</v>
      </c>
      <c r="F3" s="25">
        <f>115*0.95*0.75</f>
        <v>81.9375</v>
      </c>
      <c r="G3" s="25">
        <f>143*0.95*0.75</f>
        <v>101.88749999999999</v>
      </c>
      <c r="H3" s="25">
        <f>81*0.95*0.75</f>
        <v>57.712500000000006</v>
      </c>
      <c r="I3" s="18">
        <f t="shared" ref="I3:L3" si="1">+C3*1.75</f>
        <v>112.21875</v>
      </c>
      <c r="J3" s="18">
        <f t="shared" si="1"/>
        <v>118.453125</v>
      </c>
      <c r="K3" s="18">
        <f t="shared" si="1"/>
        <v>124.6875</v>
      </c>
      <c r="L3" s="18">
        <f t="shared" si="1"/>
        <v>143.390625</v>
      </c>
      <c r="M3" s="19">
        <f t="shared" si="0"/>
        <v>128.25</v>
      </c>
      <c r="N3" s="19">
        <f t="shared" si="0"/>
        <v>135.375</v>
      </c>
      <c r="O3" s="19">
        <f t="shared" si="0"/>
        <v>142.5</v>
      </c>
      <c r="P3" s="19">
        <f t="shared" si="0"/>
        <v>163.875</v>
      </c>
      <c r="Q3" s="19">
        <f t="shared" si="0"/>
        <v>203.77499999999998</v>
      </c>
      <c r="R3" s="19">
        <f t="shared" si="0"/>
        <v>115.42500000000001</v>
      </c>
      <c r="S3" s="20">
        <f t="shared" ref="S3" si="2">+C3*2.8</f>
        <v>179.54999999999998</v>
      </c>
      <c r="T3" s="21">
        <f t="shared" ref="T3:W3" si="3">+E3*2.8</f>
        <v>199.5</v>
      </c>
      <c r="U3" s="21">
        <f t="shared" si="3"/>
        <v>229.42499999999998</v>
      </c>
      <c r="V3" s="21">
        <f t="shared" si="3"/>
        <v>285.28499999999997</v>
      </c>
      <c r="W3" s="21">
        <f t="shared" si="3"/>
        <v>161.595</v>
      </c>
      <c r="X3" s="22">
        <f t="shared" ref="X3" si="4">+G3*3.6</f>
        <v>366.79499999999996</v>
      </c>
      <c r="Y3" s="23">
        <f t="shared" ref="Y3:AA3" si="5">+E3*2.5</f>
        <v>178.125</v>
      </c>
      <c r="Z3" s="23">
        <f t="shared" si="5"/>
        <v>204.84375</v>
      </c>
      <c r="AA3" s="23">
        <f t="shared" si="5"/>
        <v>254.71874999999997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13" sqref="C13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45170</v>
      </c>
      <c r="B2" s="8">
        <v>45199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 t="shared" ref="I2:L3" si="0">+C2*1.75</f>
        <v>118.453125</v>
      </c>
      <c r="J2" s="18">
        <f t="shared" si="0"/>
        <v>124.6875</v>
      </c>
      <c r="K2" s="18">
        <f t="shared" si="0"/>
        <v>130.921875</v>
      </c>
      <c r="L2" s="18">
        <f t="shared" si="0"/>
        <v>149.625</v>
      </c>
      <c r="M2" s="19">
        <f t="shared" ref="M2:R3" si="1">+C2*2</f>
        <v>135.375</v>
      </c>
      <c r="N2" s="19">
        <f t="shared" si="1"/>
        <v>142.5</v>
      </c>
      <c r="O2" s="19">
        <f t="shared" si="1"/>
        <v>149.625</v>
      </c>
      <c r="P2" s="19">
        <f t="shared" si="1"/>
        <v>171</v>
      </c>
      <c r="Q2" s="19">
        <f t="shared" si="1"/>
        <v>213.75</v>
      </c>
      <c r="R2" s="19">
        <f t="shared" si="1"/>
        <v>122.55000000000001</v>
      </c>
      <c r="S2" s="20">
        <f t="shared" ref="S2:S3" si="2">+C2*2.8</f>
        <v>189.52499999999998</v>
      </c>
      <c r="T2" s="21">
        <f t="shared" ref="T2:W3" si="3">+E2*2.8</f>
        <v>209.47499999999999</v>
      </c>
      <c r="U2" s="21">
        <f t="shared" si="3"/>
        <v>239.39999999999998</v>
      </c>
      <c r="V2" s="21">
        <f t="shared" si="3"/>
        <v>299.25</v>
      </c>
      <c r="W2" s="21">
        <f t="shared" si="3"/>
        <v>171.57</v>
      </c>
      <c r="X2" s="22">
        <f t="shared" ref="X2:X3" si="4">+G2*3.6</f>
        <v>384.75</v>
      </c>
      <c r="Y2" s="23">
        <f t="shared" ref="Y2:AA3" si="5">+E2*2.5</f>
        <v>187.03125</v>
      </c>
      <c r="Z2" s="23">
        <f t="shared" si="5"/>
        <v>213.75</v>
      </c>
      <c r="AA2" s="23">
        <f t="shared" si="5"/>
        <v>267.1875</v>
      </c>
    </row>
    <row r="3" spans="1:27" ht="15.75" x14ac:dyDescent="0.25">
      <c r="A3" s="8">
        <v>45200</v>
      </c>
      <c r="B3" s="8">
        <v>45230</v>
      </c>
      <c r="C3" s="25">
        <f>100*0.95*0.75</f>
        <v>71.25</v>
      </c>
      <c r="D3" s="25">
        <f>105*0.95*0.75</f>
        <v>74.8125</v>
      </c>
      <c r="E3" s="25">
        <f>110*0.95*0.75</f>
        <v>78.375</v>
      </c>
      <c r="F3" s="25">
        <f>125*0.95*0.75</f>
        <v>89.0625</v>
      </c>
      <c r="G3" s="25">
        <f>158*0.95*0.75</f>
        <v>112.57499999999999</v>
      </c>
      <c r="H3" s="25">
        <f>90*0.95*0.75</f>
        <v>64.125</v>
      </c>
      <c r="I3" s="18">
        <f t="shared" si="0"/>
        <v>124.6875</v>
      </c>
      <c r="J3" s="18">
        <f t="shared" si="0"/>
        <v>130.921875</v>
      </c>
      <c r="K3" s="18">
        <f t="shared" si="0"/>
        <v>137.15625</v>
      </c>
      <c r="L3" s="18">
        <f t="shared" si="0"/>
        <v>155.859375</v>
      </c>
      <c r="M3" s="19">
        <f t="shared" si="1"/>
        <v>142.5</v>
      </c>
      <c r="N3" s="19">
        <f t="shared" si="1"/>
        <v>149.625</v>
      </c>
      <c r="O3" s="19">
        <f t="shared" si="1"/>
        <v>156.75</v>
      </c>
      <c r="P3" s="19">
        <f t="shared" si="1"/>
        <v>178.125</v>
      </c>
      <c r="Q3" s="19">
        <f t="shared" si="1"/>
        <v>225.14999999999998</v>
      </c>
      <c r="R3" s="19">
        <f t="shared" si="1"/>
        <v>128.25</v>
      </c>
      <c r="S3" s="20">
        <f t="shared" si="2"/>
        <v>199.5</v>
      </c>
      <c r="T3" s="21">
        <f t="shared" si="3"/>
        <v>219.45</v>
      </c>
      <c r="U3" s="21">
        <f t="shared" si="3"/>
        <v>249.37499999999997</v>
      </c>
      <c r="V3" s="21">
        <f t="shared" si="3"/>
        <v>315.20999999999992</v>
      </c>
      <c r="W3" s="21">
        <f t="shared" si="3"/>
        <v>179.54999999999998</v>
      </c>
      <c r="X3" s="22">
        <f t="shared" si="4"/>
        <v>405.27</v>
      </c>
      <c r="Y3" s="23">
        <f t="shared" si="5"/>
        <v>195.9375</v>
      </c>
      <c r="Z3" s="23">
        <f t="shared" si="5"/>
        <v>222.65625</v>
      </c>
      <c r="AA3" s="23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31.03(1)</vt:lpstr>
      <vt:lpstr>SPO 14.03 TO 31.03 (2)</vt:lpstr>
      <vt:lpstr>SPO 01.04 TO 15.04</vt:lpstr>
      <vt:lpstr>SPO 01.04 TO 15.04 (2)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2023-09-25T16:56:41Z</dcterms:modified>
</cp:coreProperties>
</file>