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5480" windowHeight="10920"/>
  </bookViews>
  <sheets>
    <sheet name="statment" sheetId="6" r:id="rId1"/>
    <sheet name="contract" sheetId="7" r:id="rId2"/>
    <sheet name="spo 12.7" sheetId="8" r:id="rId3"/>
    <sheet name="spo 1.8" sheetId="9" r:id="rId4"/>
    <sheet name="spo 19.10 to 24.10" sheetId="10" r:id="rId5"/>
    <sheet name="spo 25.10 to 03.11" sheetId="15" r:id="rId6"/>
    <sheet name="spo 04.11 to 16.11" sheetId="16" r:id="rId7"/>
    <sheet name="spo 17.11 to 23.11" sheetId="17" r:id="rId8"/>
    <sheet name="spo 24.11 to 24.11" sheetId="19" r:id="rId9"/>
    <sheet name="spo 25.11 to 20.12" sheetId="20" r:id="rId10"/>
    <sheet name="spo 21.12 to 31.01" sheetId="21" r:id="rId11"/>
    <sheet name="spo 01.02 to 15.02" sheetId="22" r:id="rId12"/>
  </sheets>
  <externalReferences>
    <externalReference r:id="rId13"/>
    <externalReference r:id="rId14"/>
    <externalReference r:id="rId15"/>
    <externalReference r:id="rId16"/>
  </externalReferences>
  <definedNames>
    <definedName name="_xlnm._FilterDatabase" localSheetId="0" hidden="1">statment!$B$1:$O$259</definedName>
  </definedNames>
  <calcPr calcId="124519"/>
</workbook>
</file>

<file path=xl/calcChain.xml><?xml version="1.0" encoding="utf-8"?>
<calcChain xmlns="http://schemas.openxmlformats.org/spreadsheetml/2006/main">
  <c r="K104" i="6"/>
  <c r="K4"/>
  <c r="K3"/>
  <c r="K2"/>
  <c r="K148"/>
  <c r="K116"/>
  <c r="M116" s="1"/>
  <c r="K115"/>
  <c r="K105"/>
  <c r="M105" s="1"/>
  <c r="K58"/>
  <c r="I259"/>
  <c r="K259" s="1"/>
  <c r="M259" s="1"/>
  <c r="K258"/>
  <c r="M258" s="1"/>
  <c r="I258"/>
  <c r="I257"/>
  <c r="K257" s="1"/>
  <c r="M257" s="1"/>
  <c r="I256"/>
  <c r="K256" s="1"/>
  <c r="M256" s="1"/>
  <c r="I255"/>
  <c r="K255" s="1"/>
  <c r="M255" s="1"/>
  <c r="I254"/>
  <c r="K254" s="1"/>
  <c r="M254" s="1"/>
  <c r="M253"/>
  <c r="K253"/>
  <c r="I253"/>
  <c r="I252"/>
  <c r="K252" s="1"/>
  <c r="M252" s="1"/>
  <c r="I251"/>
  <c r="K251" s="1"/>
  <c r="M251" s="1"/>
  <c r="I250"/>
  <c r="K250" s="1"/>
  <c r="M250" s="1"/>
  <c r="K249"/>
  <c r="M249" s="1"/>
  <c r="I249"/>
  <c r="I248"/>
  <c r="K248" s="1"/>
  <c r="M248" s="1"/>
  <c r="I247"/>
  <c r="K247" s="1"/>
  <c r="M247" s="1"/>
  <c r="I246"/>
  <c r="K246" s="1"/>
  <c r="M246" s="1"/>
  <c r="I245"/>
  <c r="K245" s="1"/>
  <c r="M245" s="1"/>
  <c r="K244"/>
  <c r="M244" s="1"/>
  <c r="I244"/>
  <c r="I243"/>
  <c r="K243" s="1"/>
  <c r="M243" s="1"/>
  <c r="K242"/>
  <c r="M242" s="1"/>
  <c r="I242"/>
  <c r="I241"/>
  <c r="K241" s="1"/>
  <c r="M241" s="1"/>
  <c r="K240"/>
  <c r="M240" s="1"/>
  <c r="I240"/>
  <c r="I239"/>
  <c r="K239" s="1"/>
  <c r="M239" s="1"/>
  <c r="I238"/>
  <c r="K238" s="1"/>
  <c r="M238" s="1"/>
  <c r="I237"/>
  <c r="K237" s="1"/>
  <c r="M237" s="1"/>
  <c r="K236"/>
  <c r="M236" s="1"/>
  <c r="I236"/>
  <c r="I235"/>
  <c r="K235" s="1"/>
  <c r="M235" s="1"/>
  <c r="I234"/>
  <c r="K234" s="1"/>
  <c r="M234" s="1"/>
  <c r="M233"/>
  <c r="K233"/>
  <c r="I233"/>
  <c r="I232"/>
  <c r="K232" s="1"/>
  <c r="M232" s="1"/>
  <c r="I231"/>
  <c r="K231" s="1"/>
  <c r="M231" s="1"/>
  <c r="I230"/>
  <c r="K230" s="1"/>
  <c r="M230" s="1"/>
  <c r="K229"/>
  <c r="M229" s="1"/>
  <c r="I229"/>
  <c r="I228"/>
  <c r="K228" s="1"/>
  <c r="M228" s="1"/>
  <c r="I227"/>
  <c r="K227" s="1"/>
  <c r="M227" s="1"/>
  <c r="I226"/>
  <c r="K226" s="1"/>
  <c r="M226" s="1"/>
  <c r="I225"/>
  <c r="K225" s="1"/>
  <c r="M225" s="1"/>
  <c r="K224"/>
  <c r="M224" s="1"/>
  <c r="I224"/>
  <c r="I223"/>
  <c r="K223" s="1"/>
  <c r="M223" s="1"/>
  <c r="I222"/>
  <c r="K222" s="1"/>
  <c r="M222" s="1"/>
  <c r="I221"/>
  <c r="K221" s="1"/>
  <c r="M221" s="1"/>
  <c r="I220"/>
  <c r="K220" s="1"/>
  <c r="M220" s="1"/>
  <c r="I219"/>
  <c r="K219" s="1"/>
  <c r="M219" s="1"/>
  <c r="O219" s="1"/>
  <c r="I218"/>
  <c r="K218" s="1"/>
  <c r="M218" s="1"/>
  <c r="O218" s="1"/>
  <c r="K217"/>
  <c r="M217" s="1"/>
  <c r="O217" s="1"/>
  <c r="I217"/>
  <c r="K216"/>
  <c r="M216" s="1"/>
  <c r="O216" s="1"/>
  <c r="I216"/>
  <c r="I215"/>
  <c r="K215" s="1"/>
  <c r="M215" s="1"/>
  <c r="O215" s="1"/>
  <c r="K214"/>
  <c r="M214" s="1"/>
  <c r="O214" s="1"/>
  <c r="I214"/>
  <c r="I213"/>
  <c r="K213" s="1"/>
  <c r="M213" s="1"/>
  <c r="O213" s="1"/>
  <c r="K212"/>
  <c r="M212" s="1"/>
  <c r="O212" s="1"/>
  <c r="I212"/>
  <c r="I211"/>
  <c r="K211" s="1"/>
  <c r="M211" s="1"/>
  <c r="O211" s="1"/>
  <c r="K210"/>
  <c r="M210" s="1"/>
  <c r="O210" s="1"/>
  <c r="I210"/>
  <c r="K209"/>
  <c r="M209" s="1"/>
  <c r="O209" s="1"/>
  <c r="I209"/>
  <c r="K208"/>
  <c r="M208" s="1"/>
  <c r="O208" s="1"/>
  <c r="I208"/>
  <c r="I207"/>
  <c r="K207" s="1"/>
  <c r="M207" s="1"/>
  <c r="O207" s="1"/>
  <c r="K206"/>
  <c r="M206" s="1"/>
  <c r="O206" s="1"/>
  <c r="I206"/>
  <c r="I205"/>
  <c r="K205" s="1"/>
  <c r="M205" s="1"/>
  <c r="O205" s="1"/>
  <c r="I204"/>
  <c r="K204" s="1"/>
  <c r="M204" s="1"/>
  <c r="O204" s="1"/>
  <c r="I203"/>
  <c r="K203" s="1"/>
  <c r="M203" s="1"/>
  <c r="O203" s="1"/>
  <c r="I202"/>
  <c r="K202" s="1"/>
  <c r="M202" s="1"/>
  <c r="O202" s="1"/>
  <c r="M201"/>
  <c r="K201"/>
  <c r="I201"/>
  <c r="I200"/>
  <c r="K200" s="1"/>
  <c r="M200" s="1"/>
  <c r="O200" s="1"/>
  <c r="K199"/>
  <c r="M199" s="1"/>
  <c r="O199" s="1"/>
  <c r="I199"/>
  <c r="I198"/>
  <c r="K198" s="1"/>
  <c r="M198" s="1"/>
  <c r="O198" s="1"/>
  <c r="M197"/>
  <c r="K197"/>
  <c r="I197"/>
  <c r="I196"/>
  <c r="K196" s="1"/>
  <c r="M196" s="1"/>
  <c r="O196" s="1"/>
  <c r="I195"/>
  <c r="K195" s="1"/>
  <c r="M195" s="1"/>
  <c r="O195" s="1"/>
  <c r="I194"/>
  <c r="K194" s="1"/>
  <c r="M194" s="1"/>
  <c r="O194" s="1"/>
  <c r="I193"/>
  <c r="K193" s="1"/>
  <c r="M193" s="1"/>
  <c r="O193" s="1"/>
  <c r="I192"/>
  <c r="K192" s="1"/>
  <c r="M192" s="1"/>
  <c r="O192" s="1"/>
  <c r="I191"/>
  <c r="K191" s="1"/>
  <c r="M191" s="1"/>
  <c r="O191" s="1"/>
  <c r="I190"/>
  <c r="K190" s="1"/>
  <c r="M190" s="1"/>
  <c r="O190" s="1"/>
  <c r="K189"/>
  <c r="M189" s="1"/>
  <c r="O189" s="1"/>
  <c r="I189"/>
  <c r="I188"/>
  <c r="K188" s="1"/>
  <c r="M188" s="1"/>
  <c r="O188" s="1"/>
  <c r="I187"/>
  <c r="K187" s="1"/>
  <c r="M187" s="1"/>
  <c r="O187" s="1"/>
  <c r="I186"/>
  <c r="K186" s="1"/>
  <c r="M186" s="1"/>
  <c r="O186" s="1"/>
  <c r="I185"/>
  <c r="K185" s="1"/>
  <c r="M185" s="1"/>
  <c r="O185" s="1"/>
  <c r="I184"/>
  <c r="K184" s="1"/>
  <c r="M184" s="1"/>
  <c r="O184" s="1"/>
  <c r="I183"/>
  <c r="K183" s="1"/>
  <c r="M183" s="1"/>
  <c r="O183" s="1"/>
  <c r="I182"/>
  <c r="K182" s="1"/>
  <c r="M182" s="1"/>
  <c r="K181"/>
  <c r="M181" s="1"/>
  <c r="O181" s="1"/>
  <c r="I181"/>
  <c r="I180"/>
  <c r="K180" s="1"/>
  <c r="M180" s="1"/>
  <c r="I179"/>
  <c r="K179" s="1"/>
  <c r="M179" s="1"/>
  <c r="O179" s="1"/>
  <c r="I178"/>
  <c r="K178" s="1"/>
  <c r="M178" s="1"/>
  <c r="I177"/>
  <c r="K177" s="1"/>
  <c r="M177" s="1"/>
  <c r="O177" s="1"/>
  <c r="I176"/>
  <c r="K176" s="1"/>
  <c r="M176" s="1"/>
  <c r="O176" s="1"/>
  <c r="I175"/>
  <c r="K175" s="1"/>
  <c r="M175" s="1"/>
  <c r="O175" s="1"/>
  <c r="I174"/>
  <c r="K174" s="1"/>
  <c r="M174" s="1"/>
  <c r="O174" s="1"/>
  <c r="K173"/>
  <c r="M173" s="1"/>
  <c r="O173" s="1"/>
  <c r="I173"/>
  <c r="I172"/>
  <c r="K172" s="1"/>
  <c r="M172" s="1"/>
  <c r="K171"/>
  <c r="M171" s="1"/>
  <c r="O171" s="1"/>
  <c r="I171"/>
  <c r="I170"/>
  <c r="K170" s="1"/>
  <c r="M170" s="1"/>
  <c r="K169"/>
  <c r="M169" s="1"/>
  <c r="O169" s="1"/>
  <c r="I169"/>
  <c r="I168"/>
  <c r="K168" s="1"/>
  <c r="M168" s="1"/>
  <c r="O168" s="1"/>
  <c r="I167"/>
  <c r="K167" s="1"/>
  <c r="M167" s="1"/>
  <c r="O167" s="1"/>
  <c r="K166"/>
  <c r="M166" s="1"/>
  <c r="O166" s="1"/>
  <c r="I166"/>
  <c r="I165"/>
  <c r="K165" s="1"/>
  <c r="M165" s="1"/>
  <c r="O165" s="1"/>
  <c r="K164"/>
  <c r="M164" s="1"/>
  <c r="I164"/>
  <c r="I163"/>
  <c r="K163" s="1"/>
  <c r="M163" s="1"/>
  <c r="O163" s="1"/>
  <c r="I162"/>
  <c r="K162" s="1"/>
  <c r="M162" s="1"/>
  <c r="M161"/>
  <c r="K161"/>
  <c r="I161"/>
  <c r="K160"/>
  <c r="M160" s="1"/>
  <c r="O160" s="1"/>
  <c r="I160"/>
  <c r="I159"/>
  <c r="K159" s="1"/>
  <c r="M159" s="1"/>
  <c r="O159" s="1"/>
  <c r="I158"/>
  <c r="K158" s="1"/>
  <c r="M158" s="1"/>
  <c r="O158" s="1"/>
  <c r="M157"/>
  <c r="K157"/>
  <c r="I157"/>
  <c r="I156"/>
  <c r="K156" s="1"/>
  <c r="M156" s="1"/>
  <c r="I155"/>
  <c r="K155" s="1"/>
  <c r="M155" s="1"/>
  <c r="O155" s="1"/>
  <c r="I154"/>
  <c r="K154" s="1"/>
  <c r="M154" s="1"/>
  <c r="K153"/>
  <c r="M153" s="1"/>
  <c r="O153" s="1"/>
  <c r="I153"/>
  <c r="K152"/>
  <c r="M152" s="1"/>
  <c r="O152" s="1"/>
  <c r="I152"/>
  <c r="I151"/>
  <c r="K151" s="1"/>
  <c r="M151" s="1"/>
  <c r="O151" s="1"/>
  <c r="M150"/>
  <c r="K150"/>
  <c r="I150"/>
  <c r="I149"/>
  <c r="K149" s="1"/>
  <c r="M149" s="1"/>
  <c r="M148"/>
  <c r="I148"/>
  <c r="K147"/>
  <c r="M147" s="1"/>
  <c r="I147"/>
  <c r="K146"/>
  <c r="M146" s="1"/>
  <c r="I146"/>
  <c r="M145"/>
  <c r="K145"/>
  <c r="I145"/>
  <c r="K144"/>
  <c r="M144" s="1"/>
  <c r="I144"/>
  <c r="K143"/>
  <c r="M143" s="1"/>
  <c r="I143"/>
  <c r="K142"/>
  <c r="M142" s="1"/>
  <c r="I142"/>
  <c r="M141"/>
  <c r="K141"/>
  <c r="I141"/>
  <c r="K140"/>
  <c r="M140" s="1"/>
  <c r="I140"/>
  <c r="I139"/>
  <c r="K139" s="1"/>
  <c r="M139" s="1"/>
  <c r="M138"/>
  <c r="K138"/>
  <c r="I138"/>
  <c r="M137"/>
  <c r="K137"/>
  <c r="I137"/>
  <c r="K136"/>
  <c r="M136" s="1"/>
  <c r="I136"/>
  <c r="K135"/>
  <c r="M135" s="1"/>
  <c r="I135"/>
  <c r="K134"/>
  <c r="M134" s="1"/>
  <c r="I134"/>
  <c r="M133"/>
  <c r="K133"/>
  <c r="I133"/>
  <c r="K132"/>
  <c r="M132" s="1"/>
  <c r="I132"/>
  <c r="M131"/>
  <c r="K131"/>
  <c r="I131"/>
  <c r="K130"/>
  <c r="M130" s="1"/>
  <c r="I130"/>
  <c r="M129"/>
  <c r="K129"/>
  <c r="I129"/>
  <c r="K128"/>
  <c r="M128" s="1"/>
  <c r="I128"/>
  <c r="M127"/>
  <c r="K127"/>
  <c r="I127"/>
  <c r="K126"/>
  <c r="M126" s="1"/>
  <c r="I126"/>
  <c r="M125"/>
  <c r="K125"/>
  <c r="I125"/>
  <c r="K124"/>
  <c r="M124" s="1"/>
  <c r="I124"/>
  <c r="M123"/>
  <c r="K123"/>
  <c r="I123"/>
  <c r="K122"/>
  <c r="M122" s="1"/>
  <c r="I122"/>
  <c r="M121"/>
  <c r="K121"/>
  <c r="I121"/>
  <c r="K120"/>
  <c r="M120" s="1"/>
  <c r="I120"/>
  <c r="K119"/>
  <c r="M119" s="1"/>
  <c r="I119"/>
  <c r="K118"/>
  <c r="M118" s="1"/>
  <c r="I118"/>
  <c r="M117"/>
  <c r="K117"/>
  <c r="I117"/>
  <c r="I116"/>
  <c r="M115"/>
  <c r="I115"/>
  <c r="K114"/>
  <c r="M114" s="1"/>
  <c r="I114"/>
  <c r="M113"/>
  <c r="K113"/>
  <c r="I113"/>
  <c r="K112"/>
  <c r="M112" s="1"/>
  <c r="I112"/>
  <c r="K111"/>
  <c r="M111" s="1"/>
  <c r="I111"/>
  <c r="K110"/>
  <c r="M110" s="1"/>
  <c r="I110"/>
  <c r="M109"/>
  <c r="K109"/>
  <c r="I109"/>
  <c r="K108"/>
  <c r="M108" s="1"/>
  <c r="I108"/>
  <c r="K107"/>
  <c r="M107" s="1"/>
  <c r="I107"/>
  <c r="K106"/>
  <c r="M106" s="1"/>
  <c r="I106"/>
  <c r="I105"/>
  <c r="M104"/>
  <c r="I104"/>
  <c r="M103"/>
  <c r="K103"/>
  <c r="I103"/>
  <c r="K102"/>
  <c r="M102" s="1"/>
  <c r="I102"/>
  <c r="M101"/>
  <c r="K101"/>
  <c r="I101"/>
  <c r="K100"/>
  <c r="M100" s="1"/>
  <c r="I100"/>
  <c r="K99"/>
  <c r="M99" s="1"/>
  <c r="I99"/>
  <c r="K98"/>
  <c r="M98" s="1"/>
  <c r="I98"/>
  <c r="M97"/>
  <c r="K97"/>
  <c r="I97"/>
  <c r="K96"/>
  <c r="M96" s="1"/>
  <c r="I96"/>
  <c r="I95"/>
  <c r="K95" s="1"/>
  <c r="M95" s="1"/>
  <c r="I94"/>
  <c r="K94" s="1"/>
  <c r="M94" s="1"/>
  <c r="I93"/>
  <c r="K93" s="1"/>
  <c r="M93" s="1"/>
  <c r="K92"/>
  <c r="M92" s="1"/>
  <c r="I92"/>
  <c r="K91"/>
  <c r="M91" s="1"/>
  <c r="I91"/>
  <c r="I90"/>
  <c r="K90" s="1"/>
  <c r="M90" s="1"/>
  <c r="I89"/>
  <c r="K89" s="1"/>
  <c r="M89" s="1"/>
  <c r="I88"/>
  <c r="K88" s="1"/>
  <c r="M88" s="1"/>
  <c r="I87"/>
  <c r="K87" s="1"/>
  <c r="M87" s="1"/>
  <c r="K86"/>
  <c r="M86" s="1"/>
  <c r="I86"/>
  <c r="M85"/>
  <c r="K85"/>
  <c r="I85"/>
  <c r="K84"/>
  <c r="M84" s="1"/>
  <c r="I84"/>
  <c r="K83"/>
  <c r="M83" s="1"/>
  <c r="I83"/>
  <c r="K82"/>
  <c r="M82" s="1"/>
  <c r="O82" s="1"/>
  <c r="I82"/>
  <c r="M81"/>
  <c r="K81"/>
  <c r="I81"/>
  <c r="K80"/>
  <c r="M80" s="1"/>
  <c r="O80" s="1"/>
  <c r="I80"/>
  <c r="K79"/>
  <c r="M79" s="1"/>
  <c r="O79" s="1"/>
  <c r="I79"/>
  <c r="I78"/>
  <c r="K78" s="1"/>
  <c r="M78" s="1"/>
  <c r="O78" s="1"/>
  <c r="I77"/>
  <c r="K77" s="1"/>
  <c r="M77" s="1"/>
  <c r="O77" s="1"/>
  <c r="K76"/>
  <c r="M76" s="1"/>
  <c r="O76" s="1"/>
  <c r="I76"/>
  <c r="M75"/>
  <c r="K75"/>
  <c r="I75"/>
  <c r="K74"/>
  <c r="M74" s="1"/>
  <c r="O74" s="1"/>
  <c r="I74"/>
  <c r="M73"/>
  <c r="K73"/>
  <c r="I73"/>
  <c r="K72"/>
  <c r="M72" s="1"/>
  <c r="O72" s="1"/>
  <c r="I72"/>
  <c r="M71"/>
  <c r="O71" s="1"/>
  <c r="K71"/>
  <c r="I71"/>
  <c r="I70"/>
  <c r="K70" s="1"/>
  <c r="M70" s="1"/>
  <c r="O70" s="1"/>
  <c r="M69"/>
  <c r="K69"/>
  <c r="I69"/>
  <c r="K68"/>
  <c r="M68" s="1"/>
  <c r="O68" s="1"/>
  <c r="I68"/>
  <c r="M67"/>
  <c r="K67"/>
  <c r="I67"/>
  <c r="K66"/>
  <c r="M66" s="1"/>
  <c r="O66" s="1"/>
  <c r="I66"/>
  <c r="M65"/>
  <c r="K65"/>
  <c r="I65"/>
  <c r="K64"/>
  <c r="M64" s="1"/>
  <c r="O64" s="1"/>
  <c r="I64"/>
  <c r="M63"/>
  <c r="K63"/>
  <c r="I63"/>
  <c r="K62"/>
  <c r="M62" s="1"/>
  <c r="O62" s="1"/>
  <c r="I62"/>
  <c r="M61"/>
  <c r="O61" s="1"/>
  <c r="K61"/>
  <c r="I61"/>
  <c r="K60"/>
  <c r="M60" s="1"/>
  <c r="O60" s="1"/>
  <c r="I60"/>
  <c r="K59"/>
  <c r="M59" s="1"/>
  <c r="O59" s="1"/>
  <c r="I59"/>
  <c r="M58"/>
  <c r="O58" s="1"/>
  <c r="I58"/>
  <c r="M57"/>
  <c r="K57"/>
  <c r="I57"/>
  <c r="K56"/>
  <c r="M56" s="1"/>
  <c r="O56" s="1"/>
  <c r="I56"/>
  <c r="M55"/>
  <c r="K55"/>
  <c r="I55"/>
  <c r="K54"/>
  <c r="M54" s="1"/>
  <c r="O54" s="1"/>
  <c r="I54"/>
  <c r="M53"/>
  <c r="O53" s="1"/>
  <c r="K53"/>
  <c r="I53"/>
  <c r="K52"/>
  <c r="M52" s="1"/>
  <c r="O52" s="1"/>
  <c r="I52"/>
  <c r="M51"/>
  <c r="K51"/>
  <c r="I51"/>
  <c r="K50"/>
  <c r="M50" s="1"/>
  <c r="O50" s="1"/>
  <c r="I50"/>
  <c r="M49"/>
  <c r="K49"/>
  <c r="I49"/>
  <c r="K48"/>
  <c r="M48" s="1"/>
  <c r="O48" s="1"/>
  <c r="I48"/>
  <c r="M47"/>
  <c r="K47"/>
  <c r="I47"/>
  <c r="K46"/>
  <c r="M46" s="1"/>
  <c r="O46" s="1"/>
  <c r="I46"/>
  <c r="M45"/>
  <c r="K45"/>
  <c r="I45"/>
  <c r="K44"/>
  <c r="M44" s="1"/>
  <c r="O44" s="1"/>
  <c r="I44"/>
  <c r="M43"/>
  <c r="K43"/>
  <c r="I43"/>
  <c r="K42"/>
  <c r="M42" s="1"/>
  <c r="O42" s="1"/>
  <c r="I42"/>
  <c r="M41"/>
  <c r="K41"/>
  <c r="I41"/>
  <c r="K40"/>
  <c r="M40" s="1"/>
  <c r="O40" s="1"/>
  <c r="I40"/>
  <c r="M39"/>
  <c r="K39"/>
  <c r="I39"/>
  <c r="K38"/>
  <c r="M38" s="1"/>
  <c r="O38" s="1"/>
  <c r="I38"/>
  <c r="M37"/>
  <c r="K37"/>
  <c r="I37"/>
  <c r="K36"/>
  <c r="M36" s="1"/>
  <c r="O36" s="1"/>
  <c r="I36"/>
  <c r="M35"/>
  <c r="K35"/>
  <c r="I35"/>
  <c r="K34"/>
  <c r="M34" s="1"/>
  <c r="O34" s="1"/>
  <c r="I34"/>
  <c r="M33"/>
  <c r="K33"/>
  <c r="I33"/>
  <c r="K32"/>
  <c r="M32" s="1"/>
  <c r="O32" s="1"/>
  <c r="I32"/>
  <c r="M31"/>
  <c r="K31"/>
  <c r="I31"/>
  <c r="K30"/>
  <c r="M30" s="1"/>
  <c r="I30"/>
  <c r="M29"/>
  <c r="K29"/>
  <c r="I29"/>
  <c r="K28"/>
  <c r="M28" s="1"/>
  <c r="I28"/>
  <c r="M27"/>
  <c r="K27"/>
  <c r="I27"/>
  <c r="K26"/>
  <c r="M26" s="1"/>
  <c r="I26"/>
  <c r="M25"/>
  <c r="K25"/>
  <c r="I25"/>
  <c r="K24"/>
  <c r="M24" s="1"/>
  <c r="I24"/>
  <c r="M23"/>
  <c r="K23"/>
  <c r="I23"/>
  <c r="K22"/>
  <c r="M22" s="1"/>
  <c r="I22"/>
  <c r="K21"/>
  <c r="M21" s="1"/>
  <c r="I21"/>
  <c r="K20"/>
  <c r="M20" s="1"/>
  <c r="I20"/>
  <c r="M19"/>
  <c r="K19"/>
  <c r="I19"/>
  <c r="K18"/>
  <c r="M18" s="1"/>
  <c r="I18"/>
  <c r="K17"/>
  <c r="M17" s="1"/>
  <c r="I17"/>
  <c r="K16"/>
  <c r="M16" s="1"/>
  <c r="I16"/>
  <c r="M15"/>
  <c r="K15"/>
  <c r="I15"/>
  <c r="K14"/>
  <c r="M14" s="1"/>
  <c r="I14"/>
  <c r="M13"/>
  <c r="K13"/>
  <c r="I13"/>
  <c r="K12"/>
  <c r="M12" s="1"/>
  <c r="I12"/>
  <c r="M11"/>
  <c r="K11"/>
  <c r="I11"/>
  <c r="K10"/>
  <c r="M10" s="1"/>
  <c r="I10"/>
  <c r="M9"/>
  <c r="K9"/>
  <c r="I9"/>
  <c r="M8"/>
  <c r="K8"/>
  <c r="I8"/>
  <c r="M7"/>
  <c r="K7"/>
  <c r="I7"/>
  <c r="K6"/>
  <c r="M6" s="1"/>
  <c r="I6"/>
  <c r="M5"/>
  <c r="K5"/>
  <c r="I5"/>
  <c r="I4"/>
  <c r="M4" s="1"/>
  <c r="M3"/>
  <c r="I3"/>
  <c r="M2"/>
  <c r="I2"/>
  <c r="M2" i="21"/>
  <c r="L2"/>
  <c r="J2"/>
  <c r="I2"/>
  <c r="H2"/>
  <c r="G2"/>
  <c r="E2"/>
  <c r="D2"/>
  <c r="O201" i="6"/>
  <c r="O197"/>
  <c r="O161"/>
  <c r="O157"/>
  <c r="O81"/>
  <c r="O73"/>
  <c r="O69"/>
  <c r="O65"/>
  <c r="O57"/>
  <c r="O49"/>
  <c r="O47"/>
  <c r="O45"/>
  <c r="O43"/>
  <c r="O41"/>
  <c r="O39"/>
  <c r="O37"/>
  <c r="O35"/>
  <c r="O33"/>
  <c r="B209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18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153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M3" i="22"/>
  <c r="L3"/>
  <c r="J3"/>
  <c r="I3"/>
  <c r="H3"/>
  <c r="G3"/>
  <c r="E3"/>
  <c r="D3"/>
  <c r="M2"/>
  <c r="L2"/>
  <c r="J2"/>
  <c r="I2"/>
  <c r="H2"/>
  <c r="G2"/>
  <c r="E2"/>
  <c r="D2"/>
  <c r="M4" i="21"/>
  <c r="L4"/>
  <c r="J4"/>
  <c r="I4"/>
  <c r="H4"/>
  <c r="G4"/>
  <c r="E4"/>
  <c r="D4"/>
  <c r="M3"/>
  <c r="L3"/>
  <c r="J3"/>
  <c r="I3"/>
  <c r="H3"/>
  <c r="G3"/>
  <c r="E3"/>
  <c r="D3"/>
  <c r="M4" i="20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O75" i="6"/>
  <c r="O67"/>
  <c r="O63"/>
  <c r="B60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O55"/>
  <c r="O51"/>
  <c r="B32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O31"/>
  <c r="M5" i="19"/>
  <c r="L5"/>
  <c r="J5"/>
  <c r="I5"/>
  <c r="H5"/>
  <c r="G5"/>
  <c r="E5"/>
  <c r="D5"/>
  <c r="M4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M4" i="17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O164" i="6" l="1"/>
  <c r="N164"/>
  <c r="O223"/>
  <c r="O162"/>
  <c r="O170"/>
  <c r="N154"/>
  <c r="O154"/>
  <c r="O182"/>
  <c r="O178"/>
  <c r="O227"/>
  <c r="O231"/>
  <c r="N231"/>
  <c r="O226"/>
  <c r="N226"/>
  <c r="O156"/>
  <c r="O180"/>
  <c r="O221"/>
  <c r="N230"/>
  <c r="O230"/>
  <c r="N232"/>
  <c r="O220"/>
  <c r="O225"/>
  <c r="O172"/>
  <c r="N222"/>
  <c r="O222"/>
  <c r="O224"/>
  <c r="O229"/>
  <c r="O228"/>
  <c r="N233"/>
  <c r="N188"/>
  <c r="N214"/>
  <c r="N148"/>
  <c r="N212"/>
  <c r="N190"/>
  <c r="N218"/>
  <c r="N150"/>
  <c r="N196"/>
  <c r="N206"/>
  <c r="N158"/>
  <c r="N202"/>
  <c r="N198"/>
  <c r="N210"/>
  <c r="N166"/>
  <c r="N204"/>
  <c r="N174"/>
  <c r="N186"/>
  <c r="N194"/>
  <c r="N176"/>
  <c r="N208"/>
  <c r="N152"/>
  <c r="N184"/>
  <c r="N216"/>
  <c r="N160"/>
  <c r="N192"/>
  <c r="N168"/>
  <c r="N200"/>
  <c r="N151"/>
  <c r="N159"/>
  <c r="N167"/>
  <c r="N175"/>
  <c r="N183"/>
  <c r="N191"/>
  <c r="N199"/>
  <c r="N207"/>
  <c r="N215"/>
  <c r="N153"/>
  <c r="N161"/>
  <c r="N169"/>
  <c r="N177"/>
  <c r="N185"/>
  <c r="N193"/>
  <c r="N201"/>
  <c r="N209"/>
  <c r="N217"/>
  <c r="N147"/>
  <c r="N155"/>
  <c r="N163"/>
  <c r="N171"/>
  <c r="N179"/>
  <c r="N187"/>
  <c r="N195"/>
  <c r="N203"/>
  <c r="N211"/>
  <c r="N219"/>
  <c r="N149"/>
  <c r="N157"/>
  <c r="N165"/>
  <c r="N173"/>
  <c r="N181"/>
  <c r="N189"/>
  <c r="N197"/>
  <c r="N205"/>
  <c r="N213"/>
  <c r="N94"/>
  <c r="N101"/>
  <c r="N109"/>
  <c r="N113"/>
  <c r="N121"/>
  <c r="N129"/>
  <c r="N137"/>
  <c r="N141"/>
  <c r="N96"/>
  <c r="N100"/>
  <c r="N104"/>
  <c r="N108"/>
  <c r="N112"/>
  <c r="N116"/>
  <c r="N120"/>
  <c r="N124"/>
  <c r="N128"/>
  <c r="N132"/>
  <c r="N136"/>
  <c r="N140"/>
  <c r="N144"/>
  <c r="N95"/>
  <c r="N99"/>
  <c r="N103"/>
  <c r="N107"/>
  <c r="N111"/>
  <c r="N115"/>
  <c r="N119"/>
  <c r="N123"/>
  <c r="N127"/>
  <c r="N131"/>
  <c r="N135"/>
  <c r="N139"/>
  <c r="N143"/>
  <c r="N98"/>
  <c r="N102"/>
  <c r="N106"/>
  <c r="N110"/>
  <c r="N114"/>
  <c r="N118"/>
  <c r="N122"/>
  <c r="N126"/>
  <c r="N130"/>
  <c r="N134"/>
  <c r="N138"/>
  <c r="N142"/>
  <c r="N146"/>
  <c r="N97"/>
  <c r="N117"/>
  <c r="N125"/>
  <c r="N133"/>
  <c r="N145"/>
  <c r="N105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D2" i="16"/>
  <c r="E2"/>
  <c r="M4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M4" i="15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M3" i="10"/>
  <c r="M4"/>
  <c r="M2"/>
  <c r="L3"/>
  <c r="L4"/>
  <c r="L2"/>
  <c r="J3"/>
  <c r="J4"/>
  <c r="J2"/>
  <c r="I3"/>
  <c r="I4"/>
  <c r="I2"/>
  <c r="H3"/>
  <c r="H4"/>
  <c r="H2"/>
  <c r="E3"/>
  <c r="E4"/>
  <c r="E2"/>
  <c r="D3"/>
  <c r="D4"/>
  <c r="D2"/>
  <c r="M14" i="7"/>
  <c r="L14"/>
  <c r="J14"/>
  <c r="I14"/>
  <c r="H14"/>
  <c r="G14"/>
  <c r="E14"/>
  <c r="D14"/>
  <c r="M13"/>
  <c r="L13"/>
  <c r="J13"/>
  <c r="I13"/>
  <c r="H13"/>
  <c r="G13"/>
  <c r="E13"/>
  <c r="D13"/>
  <c r="M12"/>
  <c r="L12"/>
  <c r="J12"/>
  <c r="I12"/>
  <c r="H12"/>
  <c r="G12"/>
  <c r="E12"/>
  <c r="D12"/>
  <c r="M11"/>
  <c r="L11"/>
  <c r="J11"/>
  <c r="I11"/>
  <c r="H11"/>
  <c r="G11"/>
  <c r="E11"/>
  <c r="D11"/>
  <c r="M10"/>
  <c r="L10"/>
  <c r="J10"/>
  <c r="I10"/>
  <c r="H10"/>
  <c r="G10"/>
  <c r="E10"/>
  <c r="D10"/>
  <c r="N162" i="6" l="1"/>
  <c r="N223"/>
  <c r="N182"/>
  <c r="N170"/>
  <c r="N227"/>
  <c r="N221"/>
  <c r="N156"/>
  <c r="N178"/>
  <c r="N228"/>
  <c r="N224"/>
  <c r="N172"/>
  <c r="N220"/>
  <c r="N180"/>
  <c r="N229"/>
  <c r="N225"/>
  <c r="G3" i="10"/>
  <c r="G4"/>
  <c r="G2"/>
  <c r="O3" i="8"/>
  <c r="O4"/>
  <c r="O2"/>
  <c r="O3" i="6" l="1"/>
  <c r="O7"/>
  <c r="O11"/>
  <c r="O15"/>
  <c r="O19"/>
  <c r="O23"/>
  <c r="O28"/>
  <c r="O30"/>
  <c r="O4"/>
  <c r="O8"/>
  <c r="O12"/>
  <c r="O16"/>
  <c r="O20"/>
  <c r="O24"/>
  <c r="O5"/>
  <c r="O9"/>
  <c r="O13"/>
  <c r="O17"/>
  <c r="O21"/>
  <c r="O25"/>
  <c r="O2"/>
  <c r="O6"/>
  <c r="O14"/>
  <c r="O18"/>
  <c r="O22"/>
  <c r="O26"/>
  <c r="O10"/>
  <c r="O27"/>
  <c r="O29"/>
  <c r="B4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</calcChain>
</file>

<file path=xl/sharedStrings.xml><?xml version="1.0" encoding="utf-8"?>
<sst xmlns="http://schemas.openxmlformats.org/spreadsheetml/2006/main" count="555" uniqueCount="58">
  <si>
    <t>Net Amount.</t>
  </si>
  <si>
    <t>14%  Tax.</t>
  </si>
  <si>
    <t>Night</t>
  </si>
  <si>
    <t>Currency rate</t>
  </si>
  <si>
    <t>Invoice Amount L.E</t>
  </si>
  <si>
    <t>Arrival</t>
  </si>
  <si>
    <t>Departure</t>
  </si>
  <si>
    <t>Rate code</t>
  </si>
  <si>
    <t>Amount-hotel</t>
  </si>
  <si>
    <t>first date</t>
  </si>
  <si>
    <t>second date</t>
  </si>
  <si>
    <t>SJ</t>
  </si>
  <si>
    <t>TF</t>
  </si>
  <si>
    <t>Serial</t>
  </si>
  <si>
    <t>Rate $</t>
  </si>
  <si>
    <t>Res_date</t>
  </si>
  <si>
    <t>D</t>
  </si>
  <si>
    <t>Booking No.</t>
  </si>
  <si>
    <t>Invoice No.</t>
  </si>
  <si>
    <t>DJ+2CH</t>
  </si>
  <si>
    <t>SGL - STD</t>
  </si>
  <si>
    <t>SGL - DLX</t>
  </si>
  <si>
    <t>DBL - STD</t>
  </si>
  <si>
    <t>DBL- DLX</t>
  </si>
  <si>
    <t>TPL</t>
  </si>
  <si>
    <t>TPL - J.S</t>
  </si>
  <si>
    <t>DBL - J.S</t>
  </si>
  <si>
    <t>40-58</t>
  </si>
  <si>
    <t>32-48</t>
  </si>
  <si>
    <t>40-60</t>
  </si>
  <si>
    <t>46-66</t>
  </si>
  <si>
    <t>35-49</t>
  </si>
  <si>
    <t>42-62</t>
  </si>
  <si>
    <t>29-45</t>
  </si>
  <si>
    <t>32-46</t>
  </si>
  <si>
    <t>84-111</t>
  </si>
  <si>
    <t>44-70</t>
  </si>
  <si>
    <t>46-64</t>
  </si>
  <si>
    <t>DBL - FAM</t>
  </si>
  <si>
    <t>70-90</t>
  </si>
  <si>
    <t>50-76</t>
  </si>
  <si>
    <t>70-160</t>
  </si>
  <si>
    <t>36-56</t>
  </si>
  <si>
    <t>78-108</t>
  </si>
  <si>
    <t>60-40</t>
  </si>
  <si>
    <t>58-38</t>
  </si>
  <si>
    <t>46-30</t>
  </si>
  <si>
    <t>40-58-38</t>
  </si>
  <si>
    <t>49-33-120</t>
  </si>
  <si>
    <t>64-44-160</t>
  </si>
  <si>
    <t>66-46</t>
  </si>
  <si>
    <t>64-44</t>
  </si>
  <si>
    <t>49-33</t>
  </si>
  <si>
    <t>56-36</t>
  </si>
  <si>
    <t>74-48</t>
  </si>
  <si>
    <t>70-44</t>
  </si>
  <si>
    <t>60-40-160</t>
  </si>
  <si>
    <t>58-38-160</t>
  </si>
</sst>
</file>

<file path=xl/styles.xml><?xml version="1.0" encoding="utf-8"?>
<styleSheet xmlns="http://schemas.openxmlformats.org/spreadsheetml/2006/main">
  <numFmts count="2">
    <numFmt numFmtId="164" formatCode="_-* #,##0.00_-;_-* #,##0.00\-;_-* &quot;-&quot;??_-;_-@_-"/>
    <numFmt numFmtId="165" formatCode="dd/mm/yyyy;@"/>
  </numFmts>
  <fonts count="16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b/>
      <sz val="14"/>
      <color indexed="18"/>
      <name val="Times New Roman"/>
      <family val="1"/>
    </font>
    <font>
      <sz val="10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rgb="FF7D353B"/>
      <name val="Courier New"/>
      <family val="3"/>
    </font>
    <font>
      <sz val="11"/>
      <name val="Arial"/>
      <family val="2"/>
    </font>
    <font>
      <b/>
      <u/>
      <sz val="11"/>
      <color theme="1"/>
      <name val="Arial"/>
      <family val="2"/>
    </font>
    <font>
      <b/>
      <u/>
      <sz val="11"/>
      <name val="Arial"/>
      <family val="2"/>
    </font>
    <font>
      <b/>
      <sz val="11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indexed="4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6" tint="0.59999389629810485"/>
        <bgColor rgb="FF92D05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rgb="FF92D05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theme="5" tint="0.39997558519241921"/>
        <bgColor rgb="FF92D050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14" fontId="8" fillId="0" borderId="3" xfId="0" applyNumberFormat="1" applyFont="1" applyBorder="1"/>
    <xf numFmtId="0" fontId="8" fillId="3" borderId="3" xfId="0" applyNumberFormat="1" applyFont="1" applyFill="1" applyBorder="1" applyAlignment="1">
      <alignment horizontal="center"/>
    </xf>
    <xf numFmtId="0" fontId="8" fillId="4" borderId="3" xfId="0" applyNumberFormat="1" applyFont="1" applyFill="1" applyBorder="1" applyAlignment="1">
      <alignment horizontal="center"/>
    </xf>
    <xf numFmtId="14" fontId="8" fillId="0" borderId="2" xfId="0" applyNumberFormat="1" applyFont="1" applyBorder="1"/>
    <xf numFmtId="0" fontId="8" fillId="3" borderId="2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9" fillId="2" borderId="0" xfId="0" applyFont="1" applyFill="1"/>
    <xf numFmtId="0" fontId="2" fillId="0" borderId="0" xfId="0" applyNumberFormat="1" applyFont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8" fillId="6" borderId="3" xfId="0" applyNumberFormat="1" applyFont="1" applyFill="1" applyBorder="1" applyAlignment="1">
      <alignment horizontal="center"/>
    </xf>
    <xf numFmtId="0" fontId="8" fillId="7" borderId="3" xfId="0" applyNumberFormat="1" applyFont="1" applyFill="1" applyBorder="1" applyAlignment="1">
      <alignment horizontal="center"/>
    </xf>
    <xf numFmtId="0" fontId="8" fillId="6" borderId="2" xfId="0" applyNumberFormat="1" applyFont="1" applyFill="1" applyBorder="1" applyAlignment="1">
      <alignment horizontal="center"/>
    </xf>
    <xf numFmtId="0" fontId="8" fillId="7" borderId="2" xfId="0" applyNumberFormat="1" applyFont="1" applyFill="1" applyBorder="1" applyAlignment="1">
      <alignment horizontal="center"/>
    </xf>
    <xf numFmtId="0" fontId="8" fillId="8" borderId="0" xfId="0" applyNumberFormat="1" applyFont="1" applyFill="1" applyBorder="1" applyAlignment="1">
      <alignment horizontal="center"/>
    </xf>
    <xf numFmtId="0" fontId="0" fillId="8" borderId="0" xfId="0" applyFill="1"/>
    <xf numFmtId="165" fontId="5" fillId="9" borderId="4" xfId="0" applyNumberFormat="1" applyFont="1" applyFill="1" applyBorder="1" applyAlignment="1">
      <alignment horizontal="center"/>
    </xf>
    <xf numFmtId="164" fontId="6" fillId="9" borderId="5" xfId="1" applyFont="1" applyFill="1" applyBorder="1" applyAlignment="1">
      <alignment horizontal="center" vertical="center"/>
    </xf>
    <xf numFmtId="164" fontId="6" fillId="9" borderId="6" xfId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64" fontId="3" fillId="9" borderId="1" xfId="1" applyFont="1" applyFill="1" applyBorder="1" applyAlignment="1">
      <alignment horizontal="center" vertical="center"/>
    </xf>
    <xf numFmtId="0" fontId="8" fillId="11" borderId="8" xfId="0" applyNumberFormat="1" applyFont="1" applyFill="1" applyBorder="1" applyAlignment="1">
      <alignment horizontal="center"/>
    </xf>
    <xf numFmtId="0" fontId="8" fillId="10" borderId="8" xfId="0" applyNumberFormat="1" applyFont="1" applyFill="1" applyBorder="1" applyAlignment="1">
      <alignment horizontal="center"/>
    </xf>
    <xf numFmtId="0" fontId="8" fillId="14" borderId="8" xfId="0" applyNumberFormat="1" applyFont="1" applyFill="1" applyBorder="1" applyAlignment="1">
      <alignment horizontal="center"/>
    </xf>
    <xf numFmtId="0" fontId="8" fillId="12" borderId="8" xfId="0" applyNumberFormat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/>
    </xf>
    <xf numFmtId="0" fontId="10" fillId="13" borderId="8" xfId="0" applyFont="1" applyFill="1" applyBorder="1" applyAlignment="1">
      <alignment horizontal="center"/>
    </xf>
    <xf numFmtId="0" fontId="10" fillId="15" borderId="8" xfId="0" applyFont="1" applyFill="1" applyBorder="1" applyAlignment="1">
      <alignment horizontal="center"/>
    </xf>
    <xf numFmtId="0" fontId="11" fillId="0" borderId="7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/>
    </xf>
    <xf numFmtId="0" fontId="8" fillId="0" borderId="10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/>
    <xf numFmtId="0" fontId="13" fillId="3" borderId="12" xfId="0" applyNumberFormat="1" applyFont="1" applyFill="1" applyBorder="1" applyAlignment="1">
      <alignment horizontal="center"/>
    </xf>
    <xf numFmtId="0" fontId="13" fillId="16" borderId="12" xfId="0" applyNumberFormat="1" applyFont="1" applyFill="1" applyBorder="1" applyAlignment="1">
      <alignment horizontal="center"/>
    </xf>
    <xf numFmtId="0" fontId="13" fillId="17" borderId="12" xfId="0" applyNumberFormat="1" applyFont="1" applyFill="1" applyBorder="1" applyAlignment="1">
      <alignment horizontal="center"/>
    </xf>
    <xf numFmtId="14" fontId="8" fillId="0" borderId="7" xfId="0" applyNumberFormat="1" applyFont="1" applyBorder="1"/>
    <xf numFmtId="0" fontId="8" fillId="3" borderId="7" xfId="0" applyNumberFormat="1" applyFont="1" applyFill="1" applyBorder="1" applyAlignment="1">
      <alignment horizontal="center"/>
    </xf>
    <xf numFmtId="0" fontId="8" fillId="16" borderId="7" xfId="0" applyNumberFormat="1" applyFont="1" applyFill="1" applyBorder="1" applyAlignment="1">
      <alignment horizontal="center"/>
    </xf>
    <xf numFmtId="0" fontId="8" fillId="17" borderId="7" xfId="0" applyNumberFormat="1" applyFont="1" applyFill="1" applyBorder="1" applyAlignment="1">
      <alignment horizontal="center"/>
    </xf>
    <xf numFmtId="14" fontId="8" fillId="0" borderId="8" xfId="0" applyNumberFormat="1" applyFont="1" applyBorder="1"/>
    <xf numFmtId="0" fontId="8" fillId="3" borderId="8" xfId="0" applyNumberFormat="1" applyFont="1" applyFill="1" applyBorder="1" applyAlignment="1">
      <alignment horizontal="center"/>
    </xf>
    <xf numFmtId="0" fontId="8" fillId="16" borderId="8" xfId="0" applyNumberFormat="1" applyFont="1" applyFill="1" applyBorder="1" applyAlignment="1">
      <alignment horizontal="center"/>
    </xf>
    <xf numFmtId="0" fontId="8" fillId="17" borderId="8" xfId="0" applyNumberFormat="1" applyFont="1" applyFill="1" applyBorder="1" applyAlignment="1">
      <alignment horizontal="center"/>
    </xf>
    <xf numFmtId="14" fontId="10" fillId="0" borderId="8" xfId="0" applyNumberFormat="1" applyFont="1" applyBorder="1"/>
    <xf numFmtId="14" fontId="10" fillId="0" borderId="9" xfId="0" applyNumberFormat="1" applyFont="1" applyBorder="1"/>
    <xf numFmtId="0" fontId="8" fillId="3" borderId="9" xfId="0" applyNumberFormat="1" applyFont="1" applyFill="1" applyBorder="1" applyAlignment="1">
      <alignment horizontal="center"/>
    </xf>
    <xf numFmtId="0" fontId="8" fillId="3" borderId="13" xfId="0" applyNumberFormat="1" applyFont="1" applyFill="1" applyBorder="1" applyAlignment="1">
      <alignment horizontal="center"/>
    </xf>
    <xf numFmtId="0" fontId="8" fillId="16" borderId="13" xfId="0" applyNumberFormat="1" applyFont="1" applyFill="1" applyBorder="1" applyAlignment="1">
      <alignment horizontal="center"/>
    </xf>
    <xf numFmtId="165" fontId="5" fillId="18" borderId="3" xfId="0" applyNumberFormat="1" applyFont="1" applyFill="1" applyBorder="1" applyAlignment="1">
      <alignment horizontal="center"/>
    </xf>
    <xf numFmtId="14" fontId="14" fillId="0" borderId="3" xfId="0" applyNumberFormat="1" applyFont="1" applyFill="1" applyBorder="1" applyAlignment="1">
      <alignment horizontal="center"/>
    </xf>
    <xf numFmtId="3" fontId="14" fillId="0" borderId="3" xfId="1" applyNumberFormat="1" applyFont="1" applyFill="1" applyBorder="1" applyAlignment="1">
      <alignment horizontal="center"/>
    </xf>
    <xf numFmtId="164" fontId="14" fillId="0" borderId="3" xfId="1" applyFont="1" applyFill="1" applyBorder="1" applyAlignment="1">
      <alignment horizontal="right"/>
    </xf>
    <xf numFmtId="164" fontId="14" fillId="0" borderId="2" xfId="0" applyNumberFormat="1" applyFont="1" applyFill="1" applyBorder="1" applyAlignment="1">
      <alignment horizontal="center" vertical="center"/>
    </xf>
    <xf numFmtId="164" fontId="14" fillId="0" borderId="3" xfId="0" applyNumberFormat="1" applyFont="1" applyFill="1" applyBorder="1" applyAlignment="1">
      <alignment horizontal="center" vertical="center"/>
    </xf>
    <xf numFmtId="4" fontId="15" fillId="18" borderId="3" xfId="0" applyNumberFormat="1" applyFont="1" applyFill="1" applyBorder="1"/>
    <xf numFmtId="14" fontId="14" fillId="0" borderId="2" xfId="0" applyNumberFormat="1" applyFont="1" applyFill="1" applyBorder="1" applyAlignment="1">
      <alignment horizontal="center"/>
    </xf>
    <xf numFmtId="3" fontId="14" fillId="0" borderId="2" xfId="1" applyNumberFormat="1" applyFont="1" applyFill="1" applyBorder="1" applyAlignment="1">
      <alignment horizontal="center"/>
    </xf>
    <xf numFmtId="164" fontId="14" fillId="0" borderId="2" xfId="1" applyFont="1" applyFill="1" applyBorder="1" applyAlignment="1">
      <alignment horizontal="right"/>
    </xf>
    <xf numFmtId="4" fontId="15" fillId="18" borderId="2" xfId="0" applyNumberFormat="1" applyFont="1" applyFill="1" applyBorder="1"/>
    <xf numFmtId="165" fontId="5" fillId="18" borderId="2" xfId="0" applyNumberFormat="1" applyFont="1" applyFill="1" applyBorder="1" applyAlignment="1">
      <alignment horizontal="center"/>
    </xf>
    <xf numFmtId="165" fontId="5" fillId="0" borderId="3" xfId="0" applyNumberFormat="1" applyFont="1" applyFill="1" applyBorder="1" applyAlignment="1">
      <alignment horizontal="center"/>
    </xf>
    <xf numFmtId="165" fontId="5" fillId="0" borderId="2" xfId="0" applyNumberFormat="1" applyFont="1" applyFill="1" applyBorder="1" applyAlignment="1">
      <alignment horizontal="center"/>
    </xf>
    <xf numFmtId="1" fontId="5" fillId="18" borderId="3" xfId="0" applyNumberFormat="1" applyFont="1" applyFill="1" applyBorder="1" applyAlignment="1">
      <alignment horizontal="center"/>
    </xf>
    <xf numFmtId="0" fontId="5" fillId="18" borderId="3" xfId="0" applyNumberFormat="1" applyFont="1" applyFill="1" applyBorder="1" applyAlignment="1">
      <alignment horizontal="center"/>
    </xf>
    <xf numFmtId="1" fontId="5" fillId="18" borderId="2" xfId="0" applyNumberFormat="1" applyFont="1" applyFill="1" applyBorder="1" applyAlignment="1">
      <alignment horizontal="center"/>
    </xf>
    <xf numFmtId="0" fontId="5" fillId="18" borderId="2" xfId="0" applyNumberFormat="1" applyFont="1" applyFill="1" applyBorder="1" applyAlignment="1">
      <alignment horizontal="center"/>
    </xf>
    <xf numFmtId="0" fontId="5" fillId="18" borderId="2" xfId="41" applyNumberFormat="1" applyFont="1" applyFill="1" applyBorder="1" applyAlignment="1">
      <alignment horizontal="center"/>
    </xf>
    <xf numFmtId="0" fontId="5" fillId="18" borderId="2" xfId="42" applyNumberFormat="1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1" fontId="5" fillId="9" borderId="2" xfId="0" applyNumberFormat="1" applyFont="1" applyFill="1" applyBorder="1" applyAlignment="1">
      <alignment horizontal="center"/>
    </xf>
    <xf numFmtId="0" fontId="5" fillId="9" borderId="2" xfId="0" applyNumberFormat="1" applyFont="1" applyFill="1" applyBorder="1" applyAlignment="1">
      <alignment horizontal="center"/>
    </xf>
    <xf numFmtId="0" fontId="5" fillId="19" borderId="2" xfId="0" applyNumberFormat="1" applyFont="1" applyFill="1" applyBorder="1" applyAlignment="1">
      <alignment horizontal="center"/>
    </xf>
    <xf numFmtId="0" fontId="5" fillId="20" borderId="2" xfId="0" applyNumberFormat="1" applyFont="1" applyFill="1" applyBorder="1" applyAlignment="1">
      <alignment horizontal="center"/>
    </xf>
    <xf numFmtId="165" fontId="5" fillId="20" borderId="2" xfId="0" applyNumberFormat="1" applyFont="1" applyFill="1" applyBorder="1" applyAlignment="1">
      <alignment horizontal="center"/>
    </xf>
  </cellXfs>
  <cellStyles count="43">
    <cellStyle name="Comma" xfId="1" builtinId="3"/>
    <cellStyle name="Normal" xfId="0" builtinId="0"/>
    <cellStyle name="Normal 10 2" xfId="2"/>
    <cellStyle name="Normal 10 3" xfId="3"/>
    <cellStyle name="Normal 10 4" xfId="4"/>
    <cellStyle name="Normal 140" xfId="5"/>
    <cellStyle name="Normal 148" xfId="6"/>
    <cellStyle name="Normal 149" xfId="7"/>
    <cellStyle name="Normal 151" xfId="8"/>
    <cellStyle name="Normal 152" xfId="40"/>
    <cellStyle name="Normal 153" xfId="9"/>
    <cellStyle name="Normal 154" xfId="10"/>
    <cellStyle name="Normal 157" xfId="38"/>
    <cellStyle name="Normal 158" xfId="39"/>
    <cellStyle name="Normal 159" xfId="11"/>
    <cellStyle name="Normal 160" xfId="12"/>
    <cellStyle name="Normal 162" xfId="13"/>
    <cellStyle name="Normal 163" xfId="14"/>
    <cellStyle name="Normal 165" xfId="15"/>
    <cellStyle name="Normal 166" xfId="16"/>
    <cellStyle name="Normal 19 2" xfId="17"/>
    <cellStyle name="Normal 19 3" xfId="18"/>
    <cellStyle name="Normal 19 4" xfId="19"/>
    <cellStyle name="Normal 2 2" xfId="20"/>
    <cellStyle name="Normal 2 3" xfId="21"/>
    <cellStyle name="Normal 2 4" xfId="22"/>
    <cellStyle name="Normal 20 2" xfId="23"/>
    <cellStyle name="Normal 20 3" xfId="24"/>
    <cellStyle name="Normal 20 4" xfId="25"/>
    <cellStyle name="Normal 23 2" xfId="26"/>
    <cellStyle name="Normal 23 3" xfId="27"/>
    <cellStyle name="Normal 23 4" xfId="28"/>
    <cellStyle name="Normal 3" xfId="41"/>
    <cellStyle name="Normal 37 2" xfId="29"/>
    <cellStyle name="Normal 37 3" xfId="30"/>
    <cellStyle name="Normal 37 4" xfId="31"/>
    <cellStyle name="Normal 38 2" xfId="32"/>
    <cellStyle name="Normal 38 3" xfId="33"/>
    <cellStyle name="Normal 38 4" xfId="34"/>
    <cellStyle name="Normal 5" xfId="42"/>
    <cellStyle name="Normal 9 2" xfId="35"/>
    <cellStyle name="Normal 9 3" xfId="36"/>
    <cellStyle name="Normal 9 4" xfId="3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15</xdr:row>
      <xdr:rowOff>28575</xdr:rowOff>
    </xdr:from>
    <xdr:to>
      <xdr:col>15</xdr:col>
      <xdr:colOff>295839</xdr:colOff>
      <xdr:row>37</xdr:row>
      <xdr:rowOff>152915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58475" y="2381250"/>
          <a:ext cx="4039164" cy="3686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ea-Credit2\AppData\Local\Microsoft\Windows\INetCache\Content.Outlook\R4F19B9Y\biblio%20Globu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ael\2024\biblio%20%20%20Globu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ael\&#1575;&#1604;&#1588;&#1594;&#1604;%20&#1575;&#1604;&#1610;&#1608;&#1605;&#1610;%202024\Jan%20.24\biblio%20%20Globus%20%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ea-Credit2\AppData\Local\Microsoft\Windows\INetCache\Content.Outlook\R4F19B9Y\biblio%20%20Globus%20(3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an 2024"/>
      <sheetName val="rate code"/>
      <sheetName val="tax 17.01"/>
      <sheetName val="tax 30.0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jan 2024"/>
      <sheetName val="rate code"/>
      <sheetName val="tax 17.01"/>
      <sheetName val="tax 29.01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jan 2024"/>
      <sheetName val="rate code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ec 2023"/>
      <sheetName val="rate code"/>
      <sheetName val="tax 14.12"/>
      <sheetName val="tax 26.12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9"/>
  <sheetViews>
    <sheetView tabSelected="1" topLeftCell="A88" workbookViewId="0">
      <selection activeCell="K105" sqref="K105"/>
    </sheetView>
  </sheetViews>
  <sheetFormatPr defaultRowHeight="12.75"/>
  <cols>
    <col min="1" max="4" width="20.7109375" customWidth="1"/>
    <col min="5" max="5" width="18.42578125" bestFit="1" customWidth="1"/>
    <col min="6" max="13" width="20.7109375" customWidth="1"/>
    <col min="14" max="14" width="25" bestFit="1" customWidth="1"/>
    <col min="15" max="15" width="20.7109375" customWidth="1"/>
  </cols>
  <sheetData>
    <row r="1" spans="1:15" ht="20.25" thickTop="1" thickBot="1">
      <c r="B1" s="11" t="s">
        <v>13</v>
      </c>
      <c r="C1" s="25" t="s">
        <v>17</v>
      </c>
      <c r="D1" s="25" t="s">
        <v>18</v>
      </c>
      <c r="E1" s="12" t="s">
        <v>15</v>
      </c>
      <c r="F1" s="1" t="s">
        <v>5</v>
      </c>
      <c r="G1" s="1" t="s">
        <v>6</v>
      </c>
      <c r="H1" s="1" t="s">
        <v>7</v>
      </c>
      <c r="I1" s="25" t="s">
        <v>2</v>
      </c>
      <c r="J1" s="25" t="s">
        <v>14</v>
      </c>
      <c r="K1" s="1" t="s">
        <v>8</v>
      </c>
      <c r="L1" s="1" t="s">
        <v>3</v>
      </c>
      <c r="M1" s="1" t="s">
        <v>4</v>
      </c>
      <c r="N1" s="25" t="s">
        <v>1</v>
      </c>
      <c r="O1" s="26" t="s">
        <v>0</v>
      </c>
    </row>
    <row r="2" spans="1:15" ht="17.25" thickTop="1" thickBot="1">
      <c r="A2" s="13"/>
      <c r="B2" s="14">
        <v>1</v>
      </c>
      <c r="C2" s="68">
        <v>116343667919</v>
      </c>
      <c r="D2" s="69">
        <v>222596</v>
      </c>
      <c r="E2" s="66">
        <v>45285</v>
      </c>
      <c r="F2" s="54">
        <v>45286</v>
      </c>
      <c r="G2" s="54">
        <v>45292</v>
      </c>
      <c r="H2" s="55" t="s">
        <v>22</v>
      </c>
      <c r="I2" s="56">
        <f t="shared" ref="I2:I65" si="0">+G2-F2</f>
        <v>6</v>
      </c>
      <c r="J2" s="57" t="s">
        <v>27</v>
      </c>
      <c r="K2" s="58">
        <f>3*40+3*58-10</f>
        <v>284</v>
      </c>
      <c r="L2" s="59">
        <v>30.85</v>
      </c>
      <c r="M2" s="60">
        <f t="shared" ref="M2:M65" si="1">+K2*L2</f>
        <v>8761.4</v>
      </c>
      <c r="N2" s="60">
        <f t="shared" ref="N2:N65" si="2">+K2*M2</f>
        <v>2488237.6</v>
      </c>
      <c r="O2" s="23">
        <f t="shared" ref="O2:O30" si="3">+M2/1.14</f>
        <v>7685.4385964912281</v>
      </c>
    </row>
    <row r="3" spans="1:15" ht="17.25" thickTop="1" thickBot="1">
      <c r="A3" s="13"/>
      <c r="B3" s="10">
        <v>2</v>
      </c>
      <c r="C3" s="68">
        <v>116383668682</v>
      </c>
      <c r="D3" s="69">
        <v>222599</v>
      </c>
      <c r="E3" s="66">
        <v>45285</v>
      </c>
      <c r="F3" s="54">
        <v>45286</v>
      </c>
      <c r="G3" s="54">
        <v>45292</v>
      </c>
      <c r="H3" s="55" t="s">
        <v>20</v>
      </c>
      <c r="I3" s="56">
        <f t="shared" si="0"/>
        <v>6</v>
      </c>
      <c r="J3" s="63" t="s">
        <v>34</v>
      </c>
      <c r="K3" s="58">
        <f>3*32+3*46-10</f>
        <v>224</v>
      </c>
      <c r="L3" s="59">
        <v>30.85</v>
      </c>
      <c r="M3" s="64">
        <f t="shared" si="1"/>
        <v>6910.4000000000005</v>
      </c>
      <c r="N3" s="64">
        <f t="shared" si="2"/>
        <v>1547929.6000000001</v>
      </c>
      <c r="O3" s="24">
        <f t="shared" si="3"/>
        <v>6061.7543859649131</v>
      </c>
    </row>
    <row r="4" spans="1:15" ht="17.25" thickTop="1" thickBot="1">
      <c r="A4" s="15"/>
      <c r="B4" s="10">
        <f>+B3+1</f>
        <v>3</v>
      </c>
      <c r="C4" s="70">
        <v>116373667738</v>
      </c>
      <c r="D4" s="71">
        <v>222600</v>
      </c>
      <c r="E4" s="67">
        <v>45290</v>
      </c>
      <c r="F4" s="65">
        <v>45291</v>
      </c>
      <c r="G4" s="54">
        <v>45292</v>
      </c>
      <c r="H4" s="55" t="s">
        <v>23</v>
      </c>
      <c r="I4" s="62">
        <f t="shared" si="0"/>
        <v>1</v>
      </c>
      <c r="J4" s="63">
        <v>64</v>
      </c>
      <c r="K4" s="58">
        <f>+J4*I4-10</f>
        <v>54</v>
      </c>
      <c r="L4" s="59">
        <v>30.85</v>
      </c>
      <c r="M4" s="64">
        <f t="shared" si="1"/>
        <v>1665.9</v>
      </c>
      <c r="N4" s="64">
        <f t="shared" si="2"/>
        <v>89958.6</v>
      </c>
      <c r="O4" s="24">
        <f t="shared" si="3"/>
        <v>1461.3157894736844</v>
      </c>
    </row>
    <row r="5" spans="1:15" ht="17.25" thickTop="1" thickBot="1">
      <c r="B5" s="10">
        <f>+B4+1</f>
        <v>4</v>
      </c>
      <c r="C5" s="70">
        <v>116363666686</v>
      </c>
      <c r="D5" s="71">
        <v>222603</v>
      </c>
      <c r="E5" s="67">
        <v>45282</v>
      </c>
      <c r="F5" s="65">
        <v>45285</v>
      </c>
      <c r="G5" s="54">
        <v>45292</v>
      </c>
      <c r="H5" s="55" t="s">
        <v>22</v>
      </c>
      <c r="I5" s="62">
        <f t="shared" si="0"/>
        <v>7</v>
      </c>
      <c r="J5" s="63" t="s">
        <v>27</v>
      </c>
      <c r="K5" s="58">
        <f>4*40+3*58</f>
        <v>334</v>
      </c>
      <c r="L5" s="59">
        <v>30.85</v>
      </c>
      <c r="M5" s="64">
        <f t="shared" si="1"/>
        <v>10303.9</v>
      </c>
      <c r="N5" s="64">
        <f t="shared" si="2"/>
        <v>3441502.6</v>
      </c>
      <c r="O5" s="24">
        <f t="shared" si="3"/>
        <v>9038.5087719298244</v>
      </c>
    </row>
    <row r="6" spans="1:15" ht="17.25" thickTop="1" thickBot="1">
      <c r="B6" s="10">
        <f>+B5+1</f>
        <v>5</v>
      </c>
      <c r="C6" s="70">
        <v>116343667469</v>
      </c>
      <c r="D6" s="71">
        <v>222605</v>
      </c>
      <c r="E6" s="67">
        <v>45282</v>
      </c>
      <c r="F6" s="65">
        <v>45285</v>
      </c>
      <c r="G6" s="54">
        <v>45292</v>
      </c>
      <c r="H6" s="55" t="s">
        <v>25</v>
      </c>
      <c r="I6" s="62">
        <f t="shared" si="0"/>
        <v>7</v>
      </c>
      <c r="J6" s="63" t="s">
        <v>35</v>
      </c>
      <c r="K6" s="58">
        <f>4*84+3*111</f>
        <v>669</v>
      </c>
      <c r="L6" s="59">
        <v>30.85</v>
      </c>
      <c r="M6" s="64">
        <f t="shared" si="1"/>
        <v>20638.650000000001</v>
      </c>
      <c r="N6" s="64">
        <f t="shared" si="2"/>
        <v>13807256.850000001</v>
      </c>
      <c r="O6" s="24">
        <f t="shared" si="3"/>
        <v>18104.078947368424</v>
      </c>
    </row>
    <row r="7" spans="1:15" ht="17.25" thickTop="1" thickBot="1">
      <c r="B7" s="10">
        <f t="shared" ref="B7:B30" si="4">+B6+1</f>
        <v>6</v>
      </c>
      <c r="C7" s="70">
        <v>116323662370</v>
      </c>
      <c r="D7" s="71">
        <v>222618</v>
      </c>
      <c r="E7" s="67">
        <v>45270</v>
      </c>
      <c r="F7" s="65">
        <v>45286</v>
      </c>
      <c r="G7" s="54">
        <v>45292</v>
      </c>
      <c r="H7" s="61" t="s">
        <v>22</v>
      </c>
      <c r="I7" s="62">
        <f t="shared" si="0"/>
        <v>6</v>
      </c>
      <c r="J7" s="63" t="s">
        <v>29</v>
      </c>
      <c r="K7" s="58">
        <f>3*40+3*60</f>
        <v>300</v>
      </c>
      <c r="L7" s="59">
        <v>30.85</v>
      </c>
      <c r="M7" s="64">
        <f t="shared" si="1"/>
        <v>9255</v>
      </c>
      <c r="N7" s="64">
        <f t="shared" si="2"/>
        <v>2776500</v>
      </c>
      <c r="O7" s="24">
        <f t="shared" si="3"/>
        <v>8118.4210526315801</v>
      </c>
    </row>
    <row r="8" spans="1:15" ht="17.25" thickTop="1" thickBot="1">
      <c r="B8" s="10">
        <f t="shared" si="4"/>
        <v>7</v>
      </c>
      <c r="C8" s="70">
        <v>116343651512</v>
      </c>
      <c r="D8" s="71">
        <v>222621</v>
      </c>
      <c r="E8" s="67">
        <v>45237</v>
      </c>
      <c r="F8" s="65">
        <v>45285</v>
      </c>
      <c r="G8" s="54">
        <v>45292</v>
      </c>
      <c r="H8" s="61" t="s">
        <v>22</v>
      </c>
      <c r="I8" s="62">
        <f t="shared" si="0"/>
        <v>7</v>
      </c>
      <c r="J8" s="63" t="s">
        <v>36</v>
      </c>
      <c r="K8" s="58">
        <f>4*44+3*70</f>
        <v>386</v>
      </c>
      <c r="L8" s="59">
        <v>30.85</v>
      </c>
      <c r="M8" s="64">
        <f t="shared" si="1"/>
        <v>11908.1</v>
      </c>
      <c r="N8" s="64">
        <f t="shared" si="2"/>
        <v>4596526.6000000006</v>
      </c>
      <c r="O8" s="24">
        <f t="shared" si="3"/>
        <v>10445.701754385966</v>
      </c>
    </row>
    <row r="9" spans="1:15" ht="17.25" thickTop="1" thickBot="1">
      <c r="B9" s="10">
        <f t="shared" si="4"/>
        <v>8</v>
      </c>
      <c r="C9" s="70">
        <v>116383664844</v>
      </c>
      <c r="D9" s="71">
        <v>222624</v>
      </c>
      <c r="E9" s="67">
        <v>45281</v>
      </c>
      <c r="F9" s="65">
        <v>45285</v>
      </c>
      <c r="G9" s="54">
        <v>45292</v>
      </c>
      <c r="H9" s="61" t="s">
        <v>22</v>
      </c>
      <c r="I9" s="62">
        <f t="shared" si="0"/>
        <v>7</v>
      </c>
      <c r="J9" s="63" t="s">
        <v>27</v>
      </c>
      <c r="K9" s="58">
        <f>40*4+3*58</f>
        <v>334</v>
      </c>
      <c r="L9" s="59">
        <v>30.85</v>
      </c>
      <c r="M9" s="64">
        <f t="shared" si="1"/>
        <v>10303.9</v>
      </c>
      <c r="N9" s="64">
        <f t="shared" si="2"/>
        <v>3441502.6</v>
      </c>
      <c r="O9" s="24">
        <f t="shared" si="3"/>
        <v>9038.5087719298244</v>
      </c>
    </row>
    <row r="10" spans="1:15" ht="17.25" thickTop="1" thickBot="1">
      <c r="B10" s="10">
        <f t="shared" si="4"/>
        <v>9</v>
      </c>
      <c r="C10" s="70">
        <v>116303668004</v>
      </c>
      <c r="D10" s="71">
        <v>222628</v>
      </c>
      <c r="E10" s="67">
        <v>45281</v>
      </c>
      <c r="F10" s="65">
        <v>45285</v>
      </c>
      <c r="G10" s="54">
        <v>45292</v>
      </c>
      <c r="H10" s="61" t="s">
        <v>22</v>
      </c>
      <c r="I10" s="62">
        <f t="shared" si="0"/>
        <v>7</v>
      </c>
      <c r="J10" s="63" t="s">
        <v>27</v>
      </c>
      <c r="K10" s="58">
        <f>40*4+3*58</f>
        <v>334</v>
      </c>
      <c r="L10" s="59">
        <v>30.85</v>
      </c>
      <c r="M10" s="64">
        <f t="shared" si="1"/>
        <v>10303.9</v>
      </c>
      <c r="N10" s="64">
        <f t="shared" si="2"/>
        <v>3441502.6</v>
      </c>
      <c r="O10" s="24">
        <f t="shared" si="3"/>
        <v>9038.5087719298244</v>
      </c>
    </row>
    <row r="11" spans="1:15" ht="17.25" thickTop="1" thickBot="1">
      <c r="B11" s="10">
        <f t="shared" si="4"/>
        <v>10</v>
      </c>
      <c r="C11" s="70">
        <v>116373665932</v>
      </c>
      <c r="D11" s="71">
        <v>222638</v>
      </c>
      <c r="E11" s="67">
        <v>45283</v>
      </c>
      <c r="F11" s="65">
        <v>45285</v>
      </c>
      <c r="G11" s="54">
        <v>45292</v>
      </c>
      <c r="H11" s="55" t="s">
        <v>23</v>
      </c>
      <c r="I11" s="62">
        <f t="shared" si="0"/>
        <v>7</v>
      </c>
      <c r="J11" s="63" t="s">
        <v>37</v>
      </c>
      <c r="K11" s="58">
        <f>4*46+3*64</f>
        <v>376</v>
      </c>
      <c r="L11" s="59">
        <v>30.85</v>
      </c>
      <c r="M11" s="64">
        <f t="shared" si="1"/>
        <v>11599.6</v>
      </c>
      <c r="N11" s="64">
        <f t="shared" si="2"/>
        <v>4361449.6000000006</v>
      </c>
      <c r="O11" s="24">
        <f t="shared" si="3"/>
        <v>10175.087719298246</v>
      </c>
    </row>
    <row r="12" spans="1:15" ht="17.25" thickTop="1" thickBot="1">
      <c r="B12" s="10">
        <f t="shared" si="4"/>
        <v>11</v>
      </c>
      <c r="C12" s="70">
        <v>116363667065</v>
      </c>
      <c r="D12" s="71">
        <v>222651</v>
      </c>
      <c r="E12" s="67">
        <v>45282</v>
      </c>
      <c r="F12" s="65">
        <v>45283</v>
      </c>
      <c r="G12" s="54">
        <v>45292</v>
      </c>
      <c r="H12" s="55" t="s">
        <v>20</v>
      </c>
      <c r="I12" s="62">
        <f t="shared" si="0"/>
        <v>9</v>
      </c>
      <c r="J12" s="63" t="s">
        <v>34</v>
      </c>
      <c r="K12" s="58">
        <f>6*32+3*46</f>
        <v>330</v>
      </c>
      <c r="L12" s="59">
        <v>30.85</v>
      </c>
      <c r="M12" s="64">
        <f t="shared" si="1"/>
        <v>10180.5</v>
      </c>
      <c r="N12" s="64">
        <f t="shared" si="2"/>
        <v>3359565</v>
      </c>
      <c r="O12" s="24">
        <f t="shared" si="3"/>
        <v>8930.2631578947385</v>
      </c>
    </row>
    <row r="13" spans="1:15" ht="17.25" thickTop="1" thickBot="1">
      <c r="B13" s="10">
        <f t="shared" si="4"/>
        <v>12</v>
      </c>
      <c r="C13" s="70">
        <v>116363659404</v>
      </c>
      <c r="D13" s="71">
        <v>222652</v>
      </c>
      <c r="E13" s="67">
        <v>45262</v>
      </c>
      <c r="F13" s="65">
        <v>45283</v>
      </c>
      <c r="G13" s="54">
        <v>45292</v>
      </c>
      <c r="H13" s="55" t="s">
        <v>20</v>
      </c>
      <c r="I13" s="62">
        <f t="shared" si="0"/>
        <v>9</v>
      </c>
      <c r="J13" s="63" t="s">
        <v>28</v>
      </c>
      <c r="K13" s="58">
        <f>6*32+3*48</f>
        <v>336</v>
      </c>
      <c r="L13" s="59">
        <v>30.85</v>
      </c>
      <c r="M13" s="64">
        <f t="shared" si="1"/>
        <v>10365.6</v>
      </c>
      <c r="N13" s="64">
        <f t="shared" si="2"/>
        <v>3482841.6</v>
      </c>
      <c r="O13" s="24">
        <f t="shared" si="3"/>
        <v>9092.6315789473701</v>
      </c>
    </row>
    <row r="14" spans="1:15" ht="17.25" thickTop="1" thickBot="1">
      <c r="B14" s="10">
        <f t="shared" si="4"/>
        <v>13</v>
      </c>
      <c r="C14" s="70">
        <v>116333665952</v>
      </c>
      <c r="D14" s="71">
        <v>222653</v>
      </c>
      <c r="E14" s="67">
        <v>45283</v>
      </c>
      <c r="F14" s="65">
        <v>45286</v>
      </c>
      <c r="G14" s="54">
        <v>45292</v>
      </c>
      <c r="H14" s="55" t="s">
        <v>22</v>
      </c>
      <c r="I14" s="62">
        <f t="shared" si="0"/>
        <v>6</v>
      </c>
      <c r="J14" s="63" t="s">
        <v>27</v>
      </c>
      <c r="K14" s="58">
        <f>3*40+3*58</f>
        <v>294</v>
      </c>
      <c r="L14" s="59">
        <v>30.85</v>
      </c>
      <c r="M14" s="64">
        <f t="shared" si="1"/>
        <v>9069.9</v>
      </c>
      <c r="N14" s="64">
        <f t="shared" si="2"/>
        <v>2666550.6</v>
      </c>
      <c r="O14" s="24">
        <f t="shared" si="3"/>
        <v>7956.0526315789475</v>
      </c>
    </row>
    <row r="15" spans="1:15" ht="17.25" thickTop="1" thickBot="1">
      <c r="B15" s="10">
        <f t="shared" si="4"/>
        <v>14</v>
      </c>
      <c r="C15" s="70">
        <v>116353668078</v>
      </c>
      <c r="D15" s="78">
        <v>222656</v>
      </c>
      <c r="E15" s="67">
        <v>45281</v>
      </c>
      <c r="F15" s="65">
        <v>45286</v>
      </c>
      <c r="G15" s="65">
        <v>45292</v>
      </c>
      <c r="H15" s="55" t="s">
        <v>22</v>
      </c>
      <c r="I15" s="62">
        <f t="shared" si="0"/>
        <v>6</v>
      </c>
      <c r="J15" s="63" t="s">
        <v>27</v>
      </c>
      <c r="K15" s="58">
        <f>3*40+3*58</f>
        <v>294</v>
      </c>
      <c r="L15" s="59">
        <v>30.85</v>
      </c>
      <c r="M15" s="64">
        <f t="shared" si="1"/>
        <v>9069.9</v>
      </c>
      <c r="N15" s="64">
        <f t="shared" si="2"/>
        <v>2666550.6</v>
      </c>
      <c r="O15" s="24">
        <f t="shared" si="3"/>
        <v>7956.0526315789475</v>
      </c>
    </row>
    <row r="16" spans="1:15" ht="17.25" thickTop="1" thickBot="1">
      <c r="B16" s="10">
        <f t="shared" si="4"/>
        <v>15</v>
      </c>
      <c r="C16" s="70">
        <v>116323665753</v>
      </c>
      <c r="D16" s="71">
        <v>223232</v>
      </c>
      <c r="E16" s="67">
        <v>45281</v>
      </c>
      <c r="F16" s="65">
        <v>45286</v>
      </c>
      <c r="G16" s="65">
        <v>45292</v>
      </c>
      <c r="H16" s="61" t="s">
        <v>20</v>
      </c>
      <c r="I16" s="62">
        <f t="shared" si="0"/>
        <v>6</v>
      </c>
      <c r="J16" s="63" t="s">
        <v>34</v>
      </c>
      <c r="K16" s="58">
        <f>3*32+3*46</f>
        <v>234</v>
      </c>
      <c r="L16" s="59">
        <v>30.85</v>
      </c>
      <c r="M16" s="64">
        <f t="shared" si="1"/>
        <v>7218.9000000000005</v>
      </c>
      <c r="N16" s="64">
        <f t="shared" si="2"/>
        <v>1689222.6</v>
      </c>
      <c r="O16" s="24">
        <f t="shared" si="3"/>
        <v>6332.3684210526326</v>
      </c>
    </row>
    <row r="17" spans="1:15" ht="17.25" thickTop="1" thickBot="1">
      <c r="B17" s="10">
        <f t="shared" si="4"/>
        <v>16</v>
      </c>
      <c r="C17" s="70">
        <v>116333668298</v>
      </c>
      <c r="D17" s="71">
        <v>222667</v>
      </c>
      <c r="E17" s="67">
        <v>45282</v>
      </c>
      <c r="F17" s="65">
        <v>45283</v>
      </c>
      <c r="G17" s="65">
        <v>45292</v>
      </c>
      <c r="H17" s="61" t="s">
        <v>22</v>
      </c>
      <c r="I17" s="62">
        <f t="shared" si="0"/>
        <v>9</v>
      </c>
      <c r="J17" s="63" t="s">
        <v>27</v>
      </c>
      <c r="K17" s="58">
        <f>6*40+3*58</f>
        <v>414</v>
      </c>
      <c r="L17" s="59">
        <v>30.85</v>
      </c>
      <c r="M17" s="64">
        <f t="shared" si="1"/>
        <v>12771.900000000001</v>
      </c>
      <c r="N17" s="64">
        <f t="shared" si="2"/>
        <v>5287566.6000000006</v>
      </c>
      <c r="O17" s="24">
        <f t="shared" si="3"/>
        <v>11203.421052631582</v>
      </c>
    </row>
    <row r="18" spans="1:15" ht="17.25" thickTop="1" thickBot="1">
      <c r="B18" s="10">
        <f t="shared" si="4"/>
        <v>17</v>
      </c>
      <c r="C18" s="70">
        <v>116363666181</v>
      </c>
      <c r="D18" s="71">
        <v>222668</v>
      </c>
      <c r="E18" s="67">
        <v>45282</v>
      </c>
      <c r="F18" s="65">
        <v>45283</v>
      </c>
      <c r="G18" s="65">
        <v>45292</v>
      </c>
      <c r="H18" s="61" t="s">
        <v>22</v>
      </c>
      <c r="I18" s="62">
        <f t="shared" si="0"/>
        <v>9</v>
      </c>
      <c r="J18" s="63" t="s">
        <v>27</v>
      </c>
      <c r="K18" s="58">
        <f>6*40+3*58</f>
        <v>414</v>
      </c>
      <c r="L18" s="59">
        <v>30.85</v>
      </c>
      <c r="M18" s="64">
        <f t="shared" si="1"/>
        <v>12771.900000000001</v>
      </c>
      <c r="N18" s="64">
        <f t="shared" si="2"/>
        <v>5287566.6000000006</v>
      </c>
      <c r="O18" s="24">
        <f t="shared" si="3"/>
        <v>11203.421052631582</v>
      </c>
    </row>
    <row r="19" spans="1:15" ht="17.25" thickTop="1" thickBot="1">
      <c r="B19" s="10">
        <f t="shared" si="4"/>
        <v>18</v>
      </c>
      <c r="C19" s="70">
        <v>116393666955</v>
      </c>
      <c r="D19" s="71">
        <v>222671</v>
      </c>
      <c r="E19" s="67">
        <v>45282</v>
      </c>
      <c r="F19" s="65">
        <v>45283</v>
      </c>
      <c r="G19" s="65">
        <v>45292</v>
      </c>
      <c r="H19" s="61" t="s">
        <v>23</v>
      </c>
      <c r="I19" s="62">
        <f t="shared" si="0"/>
        <v>9</v>
      </c>
      <c r="J19" s="63" t="s">
        <v>37</v>
      </c>
      <c r="K19" s="58">
        <f>6*46+3*64</f>
        <v>468</v>
      </c>
      <c r="L19" s="59">
        <v>30.85</v>
      </c>
      <c r="M19" s="64">
        <f t="shared" si="1"/>
        <v>14437.800000000001</v>
      </c>
      <c r="N19" s="64">
        <f t="shared" si="2"/>
        <v>6756890.4000000004</v>
      </c>
      <c r="O19" s="24">
        <f t="shared" si="3"/>
        <v>12664.736842105265</v>
      </c>
    </row>
    <row r="20" spans="1:15" ht="17.25" thickTop="1" thickBot="1">
      <c r="B20" s="10">
        <f t="shared" si="4"/>
        <v>19</v>
      </c>
      <c r="C20" s="70">
        <v>116323667139</v>
      </c>
      <c r="D20" s="71">
        <v>222673</v>
      </c>
      <c r="E20" s="67">
        <v>45281</v>
      </c>
      <c r="F20" s="65">
        <v>45286</v>
      </c>
      <c r="G20" s="65">
        <v>45292</v>
      </c>
      <c r="H20" s="61" t="s">
        <v>22</v>
      </c>
      <c r="I20" s="62">
        <f t="shared" si="0"/>
        <v>6</v>
      </c>
      <c r="J20" s="63" t="s">
        <v>27</v>
      </c>
      <c r="K20" s="58">
        <f>3*40+3*58</f>
        <v>294</v>
      </c>
      <c r="L20" s="59">
        <v>30.85</v>
      </c>
      <c r="M20" s="64">
        <f t="shared" si="1"/>
        <v>9069.9</v>
      </c>
      <c r="N20" s="64">
        <f t="shared" si="2"/>
        <v>2666550.6</v>
      </c>
      <c r="O20" s="24">
        <f t="shared" si="3"/>
        <v>7956.0526315789475</v>
      </c>
    </row>
    <row r="21" spans="1:15" ht="17.25" thickTop="1" thickBot="1">
      <c r="B21" s="10">
        <f t="shared" si="4"/>
        <v>20</v>
      </c>
      <c r="C21" s="70">
        <v>116323667139</v>
      </c>
      <c r="D21" s="71">
        <v>222674</v>
      </c>
      <c r="E21" s="67">
        <v>45281</v>
      </c>
      <c r="F21" s="65">
        <v>45286</v>
      </c>
      <c r="G21" s="65">
        <v>45292</v>
      </c>
      <c r="H21" s="61" t="s">
        <v>22</v>
      </c>
      <c r="I21" s="62">
        <f t="shared" si="0"/>
        <v>6</v>
      </c>
      <c r="J21" s="63" t="s">
        <v>27</v>
      </c>
      <c r="K21" s="58">
        <f>3*40+3*58</f>
        <v>294</v>
      </c>
      <c r="L21" s="59">
        <v>30.85</v>
      </c>
      <c r="M21" s="64">
        <f t="shared" si="1"/>
        <v>9069.9</v>
      </c>
      <c r="N21" s="64">
        <f t="shared" si="2"/>
        <v>2666550.6</v>
      </c>
      <c r="O21" s="24">
        <f t="shared" si="3"/>
        <v>7956.0526315789475</v>
      </c>
    </row>
    <row r="22" spans="1:15" ht="17.25" thickTop="1" thickBot="1">
      <c r="B22" s="10">
        <f t="shared" si="4"/>
        <v>21</v>
      </c>
      <c r="C22" s="70">
        <v>116313664991</v>
      </c>
      <c r="D22" s="71">
        <v>222675</v>
      </c>
      <c r="E22" s="67">
        <v>45276</v>
      </c>
      <c r="F22" s="65">
        <v>45286</v>
      </c>
      <c r="G22" s="65">
        <v>45292</v>
      </c>
      <c r="H22" s="61" t="s">
        <v>22</v>
      </c>
      <c r="I22" s="62">
        <f t="shared" si="0"/>
        <v>6</v>
      </c>
      <c r="J22" s="63" t="s">
        <v>29</v>
      </c>
      <c r="K22" s="58">
        <f>3*40+3*60</f>
        <v>300</v>
      </c>
      <c r="L22" s="59">
        <v>30.85</v>
      </c>
      <c r="M22" s="64">
        <f t="shared" si="1"/>
        <v>9255</v>
      </c>
      <c r="N22" s="64">
        <f t="shared" si="2"/>
        <v>2776500</v>
      </c>
      <c r="O22" s="24">
        <f t="shared" si="3"/>
        <v>8118.4210526315801</v>
      </c>
    </row>
    <row r="23" spans="1:15" ht="17.25" thickTop="1" thickBot="1">
      <c r="B23" s="10">
        <f t="shared" si="4"/>
        <v>22</v>
      </c>
      <c r="C23" s="70">
        <v>116313664991</v>
      </c>
      <c r="D23" s="71">
        <v>222676</v>
      </c>
      <c r="E23" s="67">
        <v>45276</v>
      </c>
      <c r="F23" s="65">
        <v>45286</v>
      </c>
      <c r="G23" s="65">
        <v>45292</v>
      </c>
      <c r="H23" s="61" t="s">
        <v>20</v>
      </c>
      <c r="I23" s="62">
        <f t="shared" si="0"/>
        <v>6</v>
      </c>
      <c r="J23" s="63" t="s">
        <v>28</v>
      </c>
      <c r="K23" s="58">
        <f>3*32+3*48</f>
        <v>240</v>
      </c>
      <c r="L23" s="59">
        <v>30.85</v>
      </c>
      <c r="M23" s="64">
        <f t="shared" si="1"/>
        <v>7404</v>
      </c>
      <c r="N23" s="64">
        <f t="shared" si="2"/>
        <v>1776960</v>
      </c>
      <c r="O23" s="24">
        <f t="shared" si="3"/>
        <v>6494.7368421052633</v>
      </c>
    </row>
    <row r="24" spans="1:15" ht="17.25" thickTop="1" thickBot="1">
      <c r="B24" s="10">
        <f t="shared" si="4"/>
        <v>23</v>
      </c>
      <c r="C24" s="70">
        <v>115343650792</v>
      </c>
      <c r="D24" s="71">
        <v>222677</v>
      </c>
      <c r="E24" s="67">
        <v>45273</v>
      </c>
      <c r="F24" s="65">
        <v>45285</v>
      </c>
      <c r="G24" s="65">
        <v>45292</v>
      </c>
      <c r="H24" s="61" t="s">
        <v>22</v>
      </c>
      <c r="I24" s="62">
        <f t="shared" si="0"/>
        <v>7</v>
      </c>
      <c r="J24" s="63" t="s">
        <v>29</v>
      </c>
      <c r="K24" s="58">
        <f>4*40+3*60</f>
        <v>340</v>
      </c>
      <c r="L24" s="59">
        <v>30.85</v>
      </c>
      <c r="M24" s="64">
        <f t="shared" si="1"/>
        <v>10489</v>
      </c>
      <c r="N24" s="64">
        <f t="shared" si="2"/>
        <v>3566260</v>
      </c>
      <c r="O24" s="24">
        <f t="shared" si="3"/>
        <v>9200.8771929824561</v>
      </c>
    </row>
    <row r="25" spans="1:15" ht="17.25" thickTop="1" thickBot="1">
      <c r="B25" s="10">
        <f t="shared" si="4"/>
        <v>24</v>
      </c>
      <c r="C25" s="70">
        <v>115343650792</v>
      </c>
      <c r="D25" s="71">
        <v>222678</v>
      </c>
      <c r="E25" s="67">
        <v>45273</v>
      </c>
      <c r="F25" s="65">
        <v>45285</v>
      </c>
      <c r="G25" s="65">
        <v>45292</v>
      </c>
      <c r="H25" s="61" t="s">
        <v>22</v>
      </c>
      <c r="I25" s="62">
        <f t="shared" si="0"/>
        <v>7</v>
      </c>
      <c r="J25" s="63" t="s">
        <v>29</v>
      </c>
      <c r="K25" s="58">
        <f>4*40+3*60</f>
        <v>340</v>
      </c>
      <c r="L25" s="59">
        <v>30.85</v>
      </c>
      <c r="M25" s="64">
        <f t="shared" si="1"/>
        <v>10489</v>
      </c>
      <c r="N25" s="64">
        <f t="shared" si="2"/>
        <v>3566260</v>
      </c>
      <c r="O25" s="24">
        <f t="shared" si="3"/>
        <v>9200.8771929824561</v>
      </c>
    </row>
    <row r="26" spans="1:15" ht="17.25" thickTop="1" thickBot="1">
      <c r="B26" s="10">
        <f t="shared" si="4"/>
        <v>25</v>
      </c>
      <c r="C26" s="70">
        <v>116393668645</v>
      </c>
      <c r="D26" s="71">
        <v>222681</v>
      </c>
      <c r="E26" s="67">
        <v>45282</v>
      </c>
      <c r="F26" s="65">
        <v>45285</v>
      </c>
      <c r="G26" s="65">
        <v>45292</v>
      </c>
      <c r="H26" s="61" t="s">
        <v>22</v>
      </c>
      <c r="I26" s="62">
        <f t="shared" si="0"/>
        <v>7</v>
      </c>
      <c r="J26" s="63" t="s">
        <v>27</v>
      </c>
      <c r="K26" s="58">
        <f>4*40+3*58</f>
        <v>334</v>
      </c>
      <c r="L26" s="59">
        <v>30.85</v>
      </c>
      <c r="M26" s="64">
        <f t="shared" si="1"/>
        <v>10303.9</v>
      </c>
      <c r="N26" s="64">
        <f t="shared" si="2"/>
        <v>3441502.6</v>
      </c>
      <c r="O26" s="24">
        <f t="shared" si="3"/>
        <v>9038.5087719298244</v>
      </c>
    </row>
    <row r="27" spans="1:15" ht="17.25" thickTop="1" thickBot="1">
      <c r="B27" s="10">
        <f t="shared" si="4"/>
        <v>26</v>
      </c>
      <c r="C27" s="70">
        <v>116393668645</v>
      </c>
      <c r="D27" s="71">
        <v>222682</v>
      </c>
      <c r="E27" s="67">
        <v>45282</v>
      </c>
      <c r="F27" s="65">
        <v>45285</v>
      </c>
      <c r="G27" s="65">
        <v>45292</v>
      </c>
      <c r="H27" s="61" t="s">
        <v>20</v>
      </c>
      <c r="I27" s="62">
        <f t="shared" si="0"/>
        <v>7</v>
      </c>
      <c r="J27" s="63" t="s">
        <v>34</v>
      </c>
      <c r="K27" s="58">
        <f>4*32+3*46</f>
        <v>266</v>
      </c>
      <c r="L27" s="59">
        <v>30.85</v>
      </c>
      <c r="M27" s="64">
        <f t="shared" si="1"/>
        <v>8206.1</v>
      </c>
      <c r="N27" s="64">
        <f t="shared" si="2"/>
        <v>2182822.6</v>
      </c>
      <c r="O27" s="24">
        <f t="shared" si="3"/>
        <v>7198.3333333333339</v>
      </c>
    </row>
    <row r="28" spans="1:15" ht="17.25" thickTop="1" thickBot="1">
      <c r="B28" s="10">
        <f t="shared" si="4"/>
        <v>27</v>
      </c>
      <c r="C28" s="70">
        <v>116313665691</v>
      </c>
      <c r="D28" s="71">
        <v>222707</v>
      </c>
      <c r="E28" s="67">
        <v>45276</v>
      </c>
      <c r="F28" s="65">
        <v>45286</v>
      </c>
      <c r="G28" s="65">
        <v>45293</v>
      </c>
      <c r="H28" s="61" t="s">
        <v>22</v>
      </c>
      <c r="I28" s="62">
        <f t="shared" si="0"/>
        <v>7</v>
      </c>
      <c r="J28" s="63" t="s">
        <v>29</v>
      </c>
      <c r="K28" s="58">
        <f>3*40+4*60</f>
        <v>360</v>
      </c>
      <c r="L28" s="59">
        <v>30.85</v>
      </c>
      <c r="M28" s="64">
        <f t="shared" si="1"/>
        <v>11106</v>
      </c>
      <c r="N28" s="64">
        <f t="shared" si="2"/>
        <v>3998160</v>
      </c>
      <c r="O28" s="24">
        <f t="shared" si="3"/>
        <v>9742.105263157895</v>
      </c>
    </row>
    <row r="29" spans="1:15" ht="17.25" thickTop="1" thickBot="1">
      <c r="B29" s="10">
        <f t="shared" si="4"/>
        <v>28</v>
      </c>
      <c r="C29" s="70">
        <v>116323665128</v>
      </c>
      <c r="D29" s="71">
        <v>222708</v>
      </c>
      <c r="E29" s="67">
        <v>45281</v>
      </c>
      <c r="F29" s="65">
        <v>45286</v>
      </c>
      <c r="G29" s="65">
        <v>45293</v>
      </c>
      <c r="H29" s="61" t="s">
        <v>22</v>
      </c>
      <c r="I29" s="62">
        <f t="shared" si="0"/>
        <v>7</v>
      </c>
      <c r="J29" s="63" t="s">
        <v>27</v>
      </c>
      <c r="K29" s="58">
        <f>3*40+4*58</f>
        <v>352</v>
      </c>
      <c r="L29" s="59">
        <v>30.85</v>
      </c>
      <c r="M29" s="64">
        <f t="shared" si="1"/>
        <v>10859.2</v>
      </c>
      <c r="N29" s="64">
        <f t="shared" si="2"/>
        <v>3822438.4000000004</v>
      </c>
      <c r="O29" s="24">
        <f t="shared" si="3"/>
        <v>9525.6140350877213</v>
      </c>
    </row>
    <row r="30" spans="1:15" ht="17.25" thickTop="1" thickBot="1">
      <c r="B30" s="10">
        <f t="shared" si="4"/>
        <v>29</v>
      </c>
      <c r="C30" s="70">
        <v>116373658262</v>
      </c>
      <c r="D30" s="71">
        <v>222715</v>
      </c>
      <c r="E30" s="67">
        <v>45260</v>
      </c>
      <c r="F30" s="65">
        <v>45286</v>
      </c>
      <c r="G30" s="65">
        <v>45293</v>
      </c>
      <c r="H30" s="61" t="s">
        <v>22</v>
      </c>
      <c r="I30" s="62">
        <f t="shared" si="0"/>
        <v>7</v>
      </c>
      <c r="J30" s="63" t="s">
        <v>29</v>
      </c>
      <c r="K30" s="58">
        <f>3*40+4*60</f>
        <v>360</v>
      </c>
      <c r="L30" s="59">
        <v>30.85</v>
      </c>
      <c r="M30" s="64">
        <f t="shared" si="1"/>
        <v>11106</v>
      </c>
      <c r="N30" s="64">
        <f t="shared" si="2"/>
        <v>3998160</v>
      </c>
      <c r="O30" s="24">
        <f t="shared" si="3"/>
        <v>9742.105263157895</v>
      </c>
    </row>
    <row r="31" spans="1:15" ht="17.25" thickTop="1" thickBot="1">
      <c r="A31" s="13"/>
      <c r="B31" s="10">
        <v>2</v>
      </c>
      <c r="C31" s="70">
        <v>116383668019</v>
      </c>
      <c r="D31" s="71">
        <v>222716</v>
      </c>
      <c r="E31" s="67">
        <v>45281</v>
      </c>
      <c r="F31" s="65">
        <v>45285</v>
      </c>
      <c r="G31" s="65">
        <v>45293</v>
      </c>
      <c r="H31" s="61" t="s">
        <v>20</v>
      </c>
      <c r="I31" s="62">
        <f t="shared" si="0"/>
        <v>8</v>
      </c>
      <c r="J31" s="63" t="s">
        <v>34</v>
      </c>
      <c r="K31" s="58">
        <f>4*32+4*46</f>
        <v>312</v>
      </c>
      <c r="L31" s="59">
        <v>30.85</v>
      </c>
      <c r="M31" s="64">
        <f t="shared" si="1"/>
        <v>9625.2000000000007</v>
      </c>
      <c r="N31" s="64">
        <f t="shared" si="2"/>
        <v>3003062.4000000004</v>
      </c>
      <c r="O31" s="24">
        <f t="shared" ref="O31:O82" si="5">+M31/1.14</f>
        <v>8443.1578947368434</v>
      </c>
    </row>
    <row r="32" spans="1:15" ht="17.25" thickTop="1" thickBot="1">
      <c r="A32" s="15"/>
      <c r="B32" s="10">
        <f>+B31+1</f>
        <v>3</v>
      </c>
      <c r="C32" s="70">
        <v>116383667364</v>
      </c>
      <c r="D32" s="71">
        <v>222718</v>
      </c>
      <c r="E32" s="67">
        <v>45282</v>
      </c>
      <c r="F32" s="65">
        <v>45285</v>
      </c>
      <c r="G32" s="65">
        <v>45293</v>
      </c>
      <c r="H32" s="61" t="s">
        <v>22</v>
      </c>
      <c r="I32" s="62">
        <f t="shared" si="0"/>
        <v>8</v>
      </c>
      <c r="J32" s="63" t="s">
        <v>27</v>
      </c>
      <c r="K32" s="58">
        <f>4*40+4*58</f>
        <v>392</v>
      </c>
      <c r="L32" s="59">
        <v>30.85</v>
      </c>
      <c r="M32" s="64">
        <f t="shared" si="1"/>
        <v>12093.2</v>
      </c>
      <c r="N32" s="64">
        <f t="shared" si="2"/>
        <v>4740534.4000000004</v>
      </c>
      <c r="O32" s="24">
        <f t="shared" si="5"/>
        <v>10608.070175438597</v>
      </c>
    </row>
    <row r="33" spans="2:15" ht="17.25" thickTop="1" thickBot="1">
      <c r="B33" s="10">
        <f>+B32+1</f>
        <v>4</v>
      </c>
      <c r="C33" s="70">
        <v>116373665130</v>
      </c>
      <c r="D33" s="71">
        <v>222720</v>
      </c>
      <c r="E33" s="67">
        <v>45281</v>
      </c>
      <c r="F33" s="65">
        <v>45286</v>
      </c>
      <c r="G33" s="65">
        <v>45293</v>
      </c>
      <c r="H33" s="61" t="s">
        <v>22</v>
      </c>
      <c r="I33" s="62">
        <f t="shared" si="0"/>
        <v>7</v>
      </c>
      <c r="J33" s="63" t="s">
        <v>27</v>
      </c>
      <c r="K33" s="58">
        <f>3*40+4*58</f>
        <v>352</v>
      </c>
      <c r="L33" s="59">
        <v>30.85</v>
      </c>
      <c r="M33" s="64">
        <f t="shared" si="1"/>
        <v>10859.2</v>
      </c>
      <c r="N33" s="64">
        <f t="shared" si="2"/>
        <v>3822438.4000000004</v>
      </c>
      <c r="O33" s="24">
        <f t="shared" si="5"/>
        <v>9525.6140350877213</v>
      </c>
    </row>
    <row r="34" spans="2:15" ht="17.25" thickTop="1" thickBot="1">
      <c r="B34" s="10">
        <f>+B33+1</f>
        <v>5</v>
      </c>
      <c r="C34" s="70">
        <v>116343668022</v>
      </c>
      <c r="D34" s="71">
        <v>222722</v>
      </c>
      <c r="E34" s="67">
        <v>45281</v>
      </c>
      <c r="F34" s="65">
        <v>45285</v>
      </c>
      <c r="G34" s="65">
        <v>45293</v>
      </c>
      <c r="H34" s="61" t="s">
        <v>20</v>
      </c>
      <c r="I34" s="62">
        <f t="shared" si="0"/>
        <v>8</v>
      </c>
      <c r="J34" s="63" t="s">
        <v>34</v>
      </c>
      <c r="K34" s="58">
        <f>4*32+4*46</f>
        <v>312</v>
      </c>
      <c r="L34" s="59">
        <v>30.85</v>
      </c>
      <c r="M34" s="64">
        <f t="shared" si="1"/>
        <v>9625.2000000000007</v>
      </c>
      <c r="N34" s="64">
        <f t="shared" si="2"/>
        <v>3003062.4000000004</v>
      </c>
      <c r="O34" s="24">
        <f t="shared" si="5"/>
        <v>8443.1578947368434</v>
      </c>
    </row>
    <row r="35" spans="2:15" ht="17.25" thickTop="1" thickBot="1">
      <c r="B35" s="10">
        <f t="shared" ref="B35:B58" si="6">+B34+1</f>
        <v>6</v>
      </c>
      <c r="C35" s="70">
        <v>115353651158</v>
      </c>
      <c r="D35" s="71">
        <v>222728</v>
      </c>
      <c r="E35" s="67">
        <v>45285</v>
      </c>
      <c r="F35" s="65">
        <v>45286</v>
      </c>
      <c r="G35" s="65">
        <v>45293</v>
      </c>
      <c r="H35" s="61" t="s">
        <v>22</v>
      </c>
      <c r="I35" s="62">
        <f t="shared" si="0"/>
        <v>7</v>
      </c>
      <c r="J35" s="63" t="s">
        <v>27</v>
      </c>
      <c r="K35" s="58">
        <f>3*40+4*58</f>
        <v>352</v>
      </c>
      <c r="L35" s="59">
        <v>30.85</v>
      </c>
      <c r="M35" s="64">
        <f t="shared" si="1"/>
        <v>10859.2</v>
      </c>
      <c r="N35" s="64">
        <f t="shared" si="2"/>
        <v>3822438.4000000004</v>
      </c>
      <c r="O35" s="24">
        <f t="shared" si="5"/>
        <v>9525.6140350877213</v>
      </c>
    </row>
    <row r="36" spans="2:15" ht="17.25" thickTop="1" thickBot="1">
      <c r="B36" s="10">
        <f t="shared" si="6"/>
        <v>7</v>
      </c>
      <c r="C36" s="70">
        <v>116343658252</v>
      </c>
      <c r="D36" s="71">
        <v>222729</v>
      </c>
      <c r="E36" s="67">
        <v>45260</v>
      </c>
      <c r="F36" s="65">
        <v>45286</v>
      </c>
      <c r="G36" s="65">
        <v>45293</v>
      </c>
      <c r="H36" s="61" t="s">
        <v>22</v>
      </c>
      <c r="I36" s="62">
        <f t="shared" si="0"/>
        <v>7</v>
      </c>
      <c r="J36" s="63" t="s">
        <v>29</v>
      </c>
      <c r="K36" s="58">
        <f>3*40+4*60</f>
        <v>360</v>
      </c>
      <c r="L36" s="59">
        <v>30.85</v>
      </c>
      <c r="M36" s="64">
        <f t="shared" si="1"/>
        <v>11106</v>
      </c>
      <c r="N36" s="64">
        <f t="shared" si="2"/>
        <v>3998160</v>
      </c>
      <c r="O36" s="24">
        <f t="shared" si="5"/>
        <v>9742.105263157895</v>
      </c>
    </row>
    <row r="37" spans="2:15" ht="17.25" thickTop="1" thickBot="1">
      <c r="B37" s="10">
        <f t="shared" si="6"/>
        <v>8</v>
      </c>
      <c r="C37" s="70">
        <v>116393669420</v>
      </c>
      <c r="D37" s="71">
        <v>222730</v>
      </c>
      <c r="E37" s="67">
        <v>45286</v>
      </c>
      <c r="F37" s="65">
        <v>45287</v>
      </c>
      <c r="G37" s="65">
        <v>45293</v>
      </c>
      <c r="H37" s="61" t="s">
        <v>23</v>
      </c>
      <c r="I37" s="62">
        <f t="shared" si="0"/>
        <v>6</v>
      </c>
      <c r="J37" s="63" t="s">
        <v>37</v>
      </c>
      <c r="K37" s="58">
        <f>2*46+4*64</f>
        <v>348</v>
      </c>
      <c r="L37" s="59">
        <v>30.85</v>
      </c>
      <c r="M37" s="64">
        <f t="shared" si="1"/>
        <v>10735.800000000001</v>
      </c>
      <c r="N37" s="64">
        <f t="shared" si="2"/>
        <v>3736058.4000000004</v>
      </c>
      <c r="O37" s="24">
        <f t="shared" si="5"/>
        <v>9417.3684210526335</v>
      </c>
    </row>
    <row r="38" spans="2:15" ht="17.25" thickTop="1" thickBot="1">
      <c r="B38" s="10">
        <f t="shared" si="6"/>
        <v>9</v>
      </c>
      <c r="C38" s="70">
        <v>116373666137</v>
      </c>
      <c r="D38" s="71">
        <v>222732</v>
      </c>
      <c r="E38" s="67">
        <v>45285</v>
      </c>
      <c r="F38" s="65">
        <v>45286</v>
      </c>
      <c r="G38" s="65">
        <v>45293</v>
      </c>
      <c r="H38" s="61" t="s">
        <v>22</v>
      </c>
      <c r="I38" s="62">
        <f t="shared" si="0"/>
        <v>7</v>
      </c>
      <c r="J38" s="63" t="s">
        <v>27</v>
      </c>
      <c r="K38" s="58">
        <f>3*40+4*58</f>
        <v>352</v>
      </c>
      <c r="L38" s="59">
        <v>30.85</v>
      </c>
      <c r="M38" s="64">
        <f t="shared" si="1"/>
        <v>10859.2</v>
      </c>
      <c r="N38" s="64">
        <f t="shared" si="2"/>
        <v>3822438.4000000004</v>
      </c>
      <c r="O38" s="24">
        <f t="shared" si="5"/>
        <v>9525.6140350877213</v>
      </c>
    </row>
    <row r="39" spans="2:15" ht="17.25" thickTop="1" thickBot="1">
      <c r="B39" s="10">
        <f t="shared" si="6"/>
        <v>10</v>
      </c>
      <c r="C39" s="70">
        <v>116313665240</v>
      </c>
      <c r="D39" s="71">
        <v>222735</v>
      </c>
      <c r="E39" s="67">
        <v>45274</v>
      </c>
      <c r="F39" s="65">
        <v>45286</v>
      </c>
      <c r="G39" s="65">
        <v>45293</v>
      </c>
      <c r="H39" s="61" t="s">
        <v>38</v>
      </c>
      <c r="I39" s="62">
        <f t="shared" si="0"/>
        <v>7</v>
      </c>
      <c r="J39" s="63" t="s">
        <v>39</v>
      </c>
      <c r="K39" s="58">
        <f>3*70+4*90</f>
        <v>570</v>
      </c>
      <c r="L39" s="59">
        <v>30.85</v>
      </c>
      <c r="M39" s="64">
        <f t="shared" si="1"/>
        <v>17584.5</v>
      </c>
      <c r="N39" s="64">
        <f t="shared" si="2"/>
        <v>10023165</v>
      </c>
      <c r="O39" s="24">
        <f t="shared" si="5"/>
        <v>15425.000000000002</v>
      </c>
    </row>
    <row r="40" spans="2:15" ht="17.25" thickTop="1" thickBot="1">
      <c r="B40" s="10">
        <f t="shared" si="6"/>
        <v>11</v>
      </c>
      <c r="C40" s="70">
        <v>116323669683</v>
      </c>
      <c r="D40" s="71">
        <v>222736</v>
      </c>
      <c r="E40" s="67">
        <v>45286</v>
      </c>
      <c r="F40" s="65">
        <v>45287</v>
      </c>
      <c r="G40" s="65">
        <v>45293</v>
      </c>
      <c r="H40" s="61" t="s">
        <v>23</v>
      </c>
      <c r="I40" s="62">
        <f t="shared" si="0"/>
        <v>6</v>
      </c>
      <c r="J40" s="63" t="s">
        <v>37</v>
      </c>
      <c r="K40" s="58">
        <f>2*46+4*64</f>
        <v>348</v>
      </c>
      <c r="L40" s="59">
        <v>30.85</v>
      </c>
      <c r="M40" s="64">
        <f t="shared" si="1"/>
        <v>10735.800000000001</v>
      </c>
      <c r="N40" s="64">
        <f t="shared" si="2"/>
        <v>3736058.4000000004</v>
      </c>
      <c r="O40" s="24">
        <f t="shared" si="5"/>
        <v>9417.3684210526335</v>
      </c>
    </row>
    <row r="41" spans="2:15" ht="17.25" thickTop="1" thickBot="1">
      <c r="B41" s="10">
        <f t="shared" si="6"/>
        <v>12</v>
      </c>
      <c r="C41" s="70">
        <v>116393666207</v>
      </c>
      <c r="D41" s="71">
        <v>222743</v>
      </c>
      <c r="E41" s="67">
        <v>45276</v>
      </c>
      <c r="F41" s="65">
        <v>45286</v>
      </c>
      <c r="G41" s="65">
        <v>45293</v>
      </c>
      <c r="H41" s="61" t="s">
        <v>22</v>
      </c>
      <c r="I41" s="62">
        <f t="shared" si="0"/>
        <v>7</v>
      </c>
      <c r="J41" s="63" t="s">
        <v>29</v>
      </c>
      <c r="K41" s="58">
        <f>3*40+4*60</f>
        <v>360</v>
      </c>
      <c r="L41" s="59">
        <v>30.85</v>
      </c>
      <c r="M41" s="64">
        <f t="shared" si="1"/>
        <v>11106</v>
      </c>
      <c r="N41" s="64">
        <f t="shared" si="2"/>
        <v>3998160</v>
      </c>
      <c r="O41" s="24">
        <f t="shared" si="5"/>
        <v>9742.105263157895</v>
      </c>
    </row>
    <row r="42" spans="2:15" ht="17.25" thickTop="1" thickBot="1">
      <c r="B42" s="10">
        <f t="shared" si="6"/>
        <v>13</v>
      </c>
      <c r="C42" s="70">
        <v>116313650888</v>
      </c>
      <c r="D42" s="71">
        <v>222744</v>
      </c>
      <c r="E42" s="67">
        <v>45238</v>
      </c>
      <c r="F42" s="65">
        <v>45286</v>
      </c>
      <c r="G42" s="65">
        <v>45293</v>
      </c>
      <c r="H42" s="61" t="s">
        <v>23</v>
      </c>
      <c r="I42" s="62">
        <f t="shared" si="0"/>
        <v>7</v>
      </c>
      <c r="J42" s="63" t="s">
        <v>40</v>
      </c>
      <c r="K42" s="58">
        <f>3*50+4*76</f>
        <v>454</v>
      </c>
      <c r="L42" s="59">
        <v>30.85</v>
      </c>
      <c r="M42" s="64">
        <f t="shared" si="1"/>
        <v>14005.900000000001</v>
      </c>
      <c r="N42" s="64">
        <f t="shared" si="2"/>
        <v>6358678.6000000006</v>
      </c>
      <c r="O42" s="24">
        <f t="shared" si="5"/>
        <v>12285.877192982458</v>
      </c>
    </row>
    <row r="43" spans="2:15" ht="17.25" thickTop="1" thickBot="1">
      <c r="B43" s="10">
        <f t="shared" si="6"/>
        <v>14</v>
      </c>
      <c r="C43" s="70">
        <v>116383668637</v>
      </c>
      <c r="D43" s="71">
        <v>222745</v>
      </c>
      <c r="E43" s="67">
        <v>45285</v>
      </c>
      <c r="F43" s="65">
        <v>45286</v>
      </c>
      <c r="G43" s="65">
        <v>45293</v>
      </c>
      <c r="H43" s="61" t="s">
        <v>23</v>
      </c>
      <c r="I43" s="62">
        <f t="shared" si="0"/>
        <v>7</v>
      </c>
      <c r="J43" s="63" t="s">
        <v>37</v>
      </c>
      <c r="K43" s="58">
        <f>3*46+4*64</f>
        <v>394</v>
      </c>
      <c r="L43" s="59">
        <v>30.85</v>
      </c>
      <c r="M43" s="64">
        <f t="shared" si="1"/>
        <v>12154.900000000001</v>
      </c>
      <c r="N43" s="64">
        <f t="shared" si="2"/>
        <v>4789030.6000000006</v>
      </c>
      <c r="O43" s="24">
        <f t="shared" si="5"/>
        <v>10662.192982456143</v>
      </c>
    </row>
    <row r="44" spans="2:15" ht="17.25" thickTop="1" thickBot="1">
      <c r="B44" s="10">
        <f t="shared" si="6"/>
        <v>15</v>
      </c>
      <c r="C44" s="70">
        <v>116373659498</v>
      </c>
      <c r="D44" s="71">
        <v>222749</v>
      </c>
      <c r="E44" s="67">
        <v>45262</v>
      </c>
      <c r="F44" s="65">
        <v>45286</v>
      </c>
      <c r="G44" s="65">
        <v>45293</v>
      </c>
      <c r="H44" s="61" t="s">
        <v>22</v>
      </c>
      <c r="I44" s="62">
        <f t="shared" si="0"/>
        <v>7</v>
      </c>
      <c r="J44" s="63" t="s">
        <v>29</v>
      </c>
      <c r="K44" s="58">
        <f>3*40+4*60</f>
        <v>360</v>
      </c>
      <c r="L44" s="59">
        <v>30.85</v>
      </c>
      <c r="M44" s="64">
        <f t="shared" si="1"/>
        <v>11106</v>
      </c>
      <c r="N44" s="64">
        <f t="shared" si="2"/>
        <v>3998160</v>
      </c>
      <c r="O44" s="24">
        <f t="shared" si="5"/>
        <v>9742.105263157895</v>
      </c>
    </row>
    <row r="45" spans="2:15" ht="17.25" thickTop="1" thickBot="1">
      <c r="B45" s="10">
        <f t="shared" si="6"/>
        <v>16</v>
      </c>
      <c r="C45" s="70">
        <v>116313667183</v>
      </c>
      <c r="D45" s="71">
        <v>222751</v>
      </c>
      <c r="E45" s="67">
        <v>45285</v>
      </c>
      <c r="F45" s="65">
        <v>45286</v>
      </c>
      <c r="G45" s="65">
        <v>45293</v>
      </c>
      <c r="H45" s="61" t="s">
        <v>20</v>
      </c>
      <c r="I45" s="62">
        <f t="shared" si="0"/>
        <v>7</v>
      </c>
      <c r="J45" s="63" t="s">
        <v>34</v>
      </c>
      <c r="K45" s="58">
        <f>3*32+4*46</f>
        <v>280</v>
      </c>
      <c r="L45" s="59">
        <v>30.85</v>
      </c>
      <c r="M45" s="64">
        <f t="shared" si="1"/>
        <v>8638</v>
      </c>
      <c r="N45" s="64">
        <f t="shared" si="2"/>
        <v>2418640</v>
      </c>
      <c r="O45" s="24">
        <f t="shared" si="5"/>
        <v>7577.1929824561412</v>
      </c>
    </row>
    <row r="46" spans="2:15" ht="17.25" thickTop="1" thickBot="1">
      <c r="B46" s="10">
        <f t="shared" si="6"/>
        <v>17</v>
      </c>
      <c r="C46" s="70">
        <v>116303663597</v>
      </c>
      <c r="D46" s="71">
        <v>222753</v>
      </c>
      <c r="E46" s="67">
        <v>45276</v>
      </c>
      <c r="F46" s="65">
        <v>45286</v>
      </c>
      <c r="G46" s="65">
        <v>45293</v>
      </c>
      <c r="H46" s="61" t="s">
        <v>23</v>
      </c>
      <c r="I46" s="62">
        <f t="shared" si="0"/>
        <v>7</v>
      </c>
      <c r="J46" s="63" t="s">
        <v>30</v>
      </c>
      <c r="K46" s="58">
        <f>3*46+4*66</f>
        <v>402</v>
      </c>
      <c r="L46" s="59">
        <v>30.85</v>
      </c>
      <c r="M46" s="64">
        <f t="shared" si="1"/>
        <v>12401.7</v>
      </c>
      <c r="N46" s="64">
        <f t="shared" si="2"/>
        <v>4985483.4000000004</v>
      </c>
      <c r="O46" s="24">
        <f t="shared" si="5"/>
        <v>10878.684210526317</v>
      </c>
    </row>
    <row r="47" spans="2:15" ht="17.25" thickTop="1" thickBot="1">
      <c r="B47" s="10">
        <f t="shared" si="6"/>
        <v>18</v>
      </c>
      <c r="C47" s="70">
        <v>116373667394</v>
      </c>
      <c r="D47" s="71">
        <v>222755</v>
      </c>
      <c r="E47" s="67">
        <v>45282</v>
      </c>
      <c r="F47" s="65">
        <v>45283</v>
      </c>
      <c r="G47" s="65">
        <v>45293</v>
      </c>
      <c r="H47" s="61" t="s">
        <v>22</v>
      </c>
      <c r="I47" s="62">
        <f t="shared" si="0"/>
        <v>10</v>
      </c>
      <c r="J47" s="63" t="s">
        <v>27</v>
      </c>
      <c r="K47" s="58">
        <f>6*40+4*58</f>
        <v>472</v>
      </c>
      <c r="L47" s="59">
        <v>30.85</v>
      </c>
      <c r="M47" s="64">
        <f t="shared" si="1"/>
        <v>14561.2</v>
      </c>
      <c r="N47" s="64">
        <f t="shared" si="2"/>
        <v>6872886.4000000004</v>
      </c>
      <c r="O47" s="24">
        <f t="shared" si="5"/>
        <v>12772.982456140353</v>
      </c>
    </row>
    <row r="48" spans="2:15" ht="17.25" thickTop="1" thickBot="1">
      <c r="B48" s="10">
        <f t="shared" si="6"/>
        <v>19</v>
      </c>
      <c r="C48" s="70">
        <v>116393667969</v>
      </c>
      <c r="D48" s="71">
        <v>222757</v>
      </c>
      <c r="E48" s="67">
        <v>45286</v>
      </c>
      <c r="F48" s="65">
        <v>45287</v>
      </c>
      <c r="G48" s="65">
        <v>45293</v>
      </c>
      <c r="H48" s="61" t="s">
        <v>22</v>
      </c>
      <c r="I48" s="62">
        <f t="shared" si="0"/>
        <v>6</v>
      </c>
      <c r="J48" s="63" t="s">
        <v>27</v>
      </c>
      <c r="K48" s="58">
        <f>2*40+4*58</f>
        <v>312</v>
      </c>
      <c r="L48" s="59">
        <v>30.85</v>
      </c>
      <c r="M48" s="64">
        <f t="shared" si="1"/>
        <v>9625.2000000000007</v>
      </c>
      <c r="N48" s="64">
        <f t="shared" si="2"/>
        <v>3003062.4000000004</v>
      </c>
      <c r="O48" s="24">
        <f t="shared" si="5"/>
        <v>8443.1578947368434</v>
      </c>
    </row>
    <row r="49" spans="1:15" ht="17.25" thickTop="1" thickBot="1">
      <c r="B49" s="10">
        <f t="shared" si="6"/>
        <v>20</v>
      </c>
      <c r="C49" s="70">
        <v>116363668833</v>
      </c>
      <c r="D49" s="71">
        <v>222759</v>
      </c>
      <c r="E49" s="67">
        <v>45282</v>
      </c>
      <c r="F49" s="65">
        <v>45283</v>
      </c>
      <c r="G49" s="65">
        <v>45293</v>
      </c>
      <c r="H49" s="61" t="s">
        <v>23</v>
      </c>
      <c r="I49" s="62">
        <f t="shared" si="0"/>
        <v>10</v>
      </c>
      <c r="J49" s="63" t="s">
        <v>37</v>
      </c>
      <c r="K49" s="58">
        <f>6*46+4*64</f>
        <v>532</v>
      </c>
      <c r="L49" s="59">
        <v>30.85</v>
      </c>
      <c r="M49" s="64">
        <f t="shared" si="1"/>
        <v>16412.2</v>
      </c>
      <c r="N49" s="64">
        <f t="shared" si="2"/>
        <v>8731290.4000000004</v>
      </c>
      <c r="O49" s="24">
        <f t="shared" si="5"/>
        <v>14396.666666666668</v>
      </c>
    </row>
    <row r="50" spans="1:15" ht="17.25" thickTop="1" thickBot="1">
      <c r="B50" s="10">
        <f t="shared" si="6"/>
        <v>21</v>
      </c>
      <c r="C50" s="70">
        <v>116363660356</v>
      </c>
      <c r="D50" s="71">
        <v>222760</v>
      </c>
      <c r="E50" s="67">
        <v>45266</v>
      </c>
      <c r="F50" s="65">
        <v>45286</v>
      </c>
      <c r="G50" s="65">
        <v>45293</v>
      </c>
      <c r="H50" s="61" t="s">
        <v>23</v>
      </c>
      <c r="I50" s="62">
        <f t="shared" si="0"/>
        <v>7</v>
      </c>
      <c r="J50" s="63" t="s">
        <v>30</v>
      </c>
      <c r="K50" s="58">
        <f>3*46+4*66</f>
        <v>402</v>
      </c>
      <c r="L50" s="59">
        <v>30.85</v>
      </c>
      <c r="M50" s="64">
        <f t="shared" si="1"/>
        <v>12401.7</v>
      </c>
      <c r="N50" s="64">
        <f t="shared" si="2"/>
        <v>4985483.4000000004</v>
      </c>
      <c r="O50" s="24">
        <f t="shared" si="5"/>
        <v>10878.684210526317</v>
      </c>
    </row>
    <row r="51" spans="1:15" ht="17.25" thickTop="1" thickBot="1">
      <c r="B51" s="10">
        <f t="shared" si="6"/>
        <v>22</v>
      </c>
      <c r="C51" s="70">
        <v>116363651484</v>
      </c>
      <c r="D51" s="71">
        <v>222761</v>
      </c>
      <c r="E51" s="67">
        <v>45235</v>
      </c>
      <c r="F51" s="65">
        <v>45286</v>
      </c>
      <c r="G51" s="65">
        <v>45293</v>
      </c>
      <c r="H51" s="61" t="s">
        <v>22</v>
      </c>
      <c r="I51" s="62">
        <f t="shared" si="0"/>
        <v>7</v>
      </c>
      <c r="J51" s="63" t="s">
        <v>36</v>
      </c>
      <c r="K51" s="58">
        <f>3*44+4*70</f>
        <v>412</v>
      </c>
      <c r="L51" s="59">
        <v>30.85</v>
      </c>
      <c r="M51" s="64">
        <f t="shared" si="1"/>
        <v>12710.2</v>
      </c>
      <c r="N51" s="64">
        <f t="shared" si="2"/>
        <v>5236602.4000000004</v>
      </c>
      <c r="O51" s="24">
        <f t="shared" si="5"/>
        <v>11149.298245614036</v>
      </c>
    </row>
    <row r="52" spans="1:15" ht="17.25" thickTop="1" thickBot="1">
      <c r="B52" s="10">
        <f t="shared" si="6"/>
        <v>23</v>
      </c>
      <c r="C52" s="70">
        <v>116313651601</v>
      </c>
      <c r="D52" s="71">
        <v>222762</v>
      </c>
      <c r="E52" s="67">
        <v>45235</v>
      </c>
      <c r="F52" s="65">
        <v>45286</v>
      </c>
      <c r="G52" s="65">
        <v>45293</v>
      </c>
      <c r="H52" s="61" t="s">
        <v>23</v>
      </c>
      <c r="I52" s="62">
        <f t="shared" si="0"/>
        <v>7</v>
      </c>
      <c r="J52" s="63" t="s">
        <v>40</v>
      </c>
      <c r="K52" s="58">
        <f>3*50+4*76</f>
        <v>454</v>
      </c>
      <c r="L52" s="59">
        <v>30.85</v>
      </c>
      <c r="M52" s="64">
        <f t="shared" si="1"/>
        <v>14005.900000000001</v>
      </c>
      <c r="N52" s="64">
        <f t="shared" si="2"/>
        <v>6358678.6000000006</v>
      </c>
      <c r="O52" s="24">
        <f t="shared" si="5"/>
        <v>12285.877192982458</v>
      </c>
    </row>
    <row r="53" spans="1:15" ht="17.25" thickTop="1" thickBot="1">
      <c r="B53" s="10">
        <f t="shared" si="6"/>
        <v>24</v>
      </c>
      <c r="C53" s="70">
        <v>116333664641</v>
      </c>
      <c r="D53" s="71">
        <v>222766</v>
      </c>
      <c r="E53" s="67">
        <v>45274</v>
      </c>
      <c r="F53" s="65">
        <v>45280</v>
      </c>
      <c r="G53" s="65">
        <v>45293</v>
      </c>
      <c r="H53" s="61" t="s">
        <v>22</v>
      </c>
      <c r="I53" s="62">
        <f t="shared" si="0"/>
        <v>13</v>
      </c>
      <c r="J53" s="63" t="s">
        <v>29</v>
      </c>
      <c r="K53" s="58">
        <f>9*40+4*60</f>
        <v>600</v>
      </c>
      <c r="L53" s="59">
        <v>30.85</v>
      </c>
      <c r="M53" s="64">
        <f t="shared" si="1"/>
        <v>18510</v>
      </c>
      <c r="N53" s="64">
        <f t="shared" si="2"/>
        <v>11106000</v>
      </c>
      <c r="O53" s="24">
        <f t="shared" si="5"/>
        <v>16236.84210526316</v>
      </c>
    </row>
    <row r="54" spans="1:15" ht="17.25" thickTop="1" thickBot="1">
      <c r="B54" s="10">
        <f t="shared" si="6"/>
        <v>25</v>
      </c>
      <c r="C54" s="70">
        <v>116383666763</v>
      </c>
      <c r="D54" s="71">
        <v>222768</v>
      </c>
      <c r="E54" s="67">
        <v>45282</v>
      </c>
      <c r="F54" s="65">
        <v>45283</v>
      </c>
      <c r="G54" s="65">
        <v>45293</v>
      </c>
      <c r="H54" s="61" t="s">
        <v>22</v>
      </c>
      <c r="I54" s="62">
        <f t="shared" si="0"/>
        <v>10</v>
      </c>
      <c r="J54" s="63" t="s">
        <v>27</v>
      </c>
      <c r="K54" s="58">
        <f>6*40+4*58</f>
        <v>472</v>
      </c>
      <c r="L54" s="59">
        <v>30.85</v>
      </c>
      <c r="M54" s="64">
        <f t="shared" si="1"/>
        <v>14561.2</v>
      </c>
      <c r="N54" s="64">
        <f t="shared" si="2"/>
        <v>6872886.4000000004</v>
      </c>
      <c r="O54" s="24">
        <f t="shared" si="5"/>
        <v>12772.982456140353</v>
      </c>
    </row>
    <row r="55" spans="1:15" ht="17.25" thickTop="1" thickBot="1">
      <c r="B55" s="10">
        <f t="shared" si="6"/>
        <v>26</v>
      </c>
      <c r="C55" s="70">
        <v>116303667816</v>
      </c>
      <c r="D55" s="71">
        <v>222787</v>
      </c>
      <c r="E55" s="67">
        <v>45283</v>
      </c>
      <c r="F55" s="65">
        <v>45288</v>
      </c>
      <c r="G55" s="65">
        <v>45294</v>
      </c>
      <c r="H55" s="61" t="s">
        <v>22</v>
      </c>
      <c r="I55" s="62">
        <f t="shared" si="0"/>
        <v>6</v>
      </c>
      <c r="J55" s="63" t="s">
        <v>27</v>
      </c>
      <c r="K55" s="58">
        <f>1*40+5*58</f>
        <v>330</v>
      </c>
      <c r="L55" s="59">
        <v>30.85</v>
      </c>
      <c r="M55" s="64">
        <f t="shared" si="1"/>
        <v>10180.5</v>
      </c>
      <c r="N55" s="64">
        <f t="shared" si="2"/>
        <v>3359565</v>
      </c>
      <c r="O55" s="24">
        <f t="shared" si="5"/>
        <v>8930.2631578947385</v>
      </c>
    </row>
    <row r="56" spans="1:15" ht="17.25" thickTop="1" thickBot="1">
      <c r="B56" s="10">
        <f t="shared" si="6"/>
        <v>27</v>
      </c>
      <c r="C56" s="70">
        <v>116323668853</v>
      </c>
      <c r="D56" s="71">
        <v>222793</v>
      </c>
      <c r="E56" s="67">
        <v>45282</v>
      </c>
      <c r="F56" s="65">
        <v>45290</v>
      </c>
      <c r="G56" s="65">
        <v>45294</v>
      </c>
      <c r="H56" s="61" t="s">
        <v>22</v>
      </c>
      <c r="I56" s="62">
        <f t="shared" si="0"/>
        <v>4</v>
      </c>
      <c r="J56" s="63">
        <v>58</v>
      </c>
      <c r="K56" s="58">
        <f>+J56*I56</f>
        <v>232</v>
      </c>
      <c r="L56" s="59">
        <v>30.85</v>
      </c>
      <c r="M56" s="64">
        <f t="shared" si="1"/>
        <v>7157.2000000000007</v>
      </c>
      <c r="N56" s="64">
        <f t="shared" si="2"/>
        <v>1660470.4000000001</v>
      </c>
      <c r="O56" s="24">
        <f t="shared" si="5"/>
        <v>6278.2456140350887</v>
      </c>
    </row>
    <row r="57" spans="1:15" ht="17.25" thickTop="1" thickBot="1">
      <c r="B57" s="10">
        <f t="shared" si="6"/>
        <v>28</v>
      </c>
      <c r="C57" s="70">
        <v>116363666563</v>
      </c>
      <c r="D57" s="71">
        <v>222794</v>
      </c>
      <c r="E57" s="67">
        <v>45281</v>
      </c>
      <c r="F57" s="65">
        <v>45284</v>
      </c>
      <c r="G57" s="65">
        <v>45294</v>
      </c>
      <c r="H57" s="61" t="s">
        <v>22</v>
      </c>
      <c r="I57" s="62">
        <f t="shared" si="0"/>
        <v>10</v>
      </c>
      <c r="J57" s="63" t="s">
        <v>27</v>
      </c>
      <c r="K57" s="58">
        <f>5*40+5*58</f>
        <v>490</v>
      </c>
      <c r="L57" s="59">
        <v>30.85</v>
      </c>
      <c r="M57" s="64">
        <f t="shared" si="1"/>
        <v>15116.5</v>
      </c>
      <c r="N57" s="64">
        <f t="shared" si="2"/>
        <v>7407085</v>
      </c>
      <c r="O57" s="24">
        <f t="shared" si="5"/>
        <v>13260.087719298246</v>
      </c>
    </row>
    <row r="58" spans="1:15" ht="17.25" thickTop="1" thickBot="1">
      <c r="B58" s="10">
        <f t="shared" si="6"/>
        <v>29</v>
      </c>
      <c r="C58" s="70">
        <v>116373652109</v>
      </c>
      <c r="D58" s="79">
        <v>222799</v>
      </c>
      <c r="E58" s="80">
        <v>45240</v>
      </c>
      <c r="F58" s="65">
        <v>45289</v>
      </c>
      <c r="G58" s="65">
        <v>45294</v>
      </c>
      <c r="H58" s="61" t="s">
        <v>22</v>
      </c>
      <c r="I58" s="62">
        <f t="shared" si="0"/>
        <v>5</v>
      </c>
      <c r="J58" s="63" t="s">
        <v>41</v>
      </c>
      <c r="K58" s="58">
        <f>5*70</f>
        <v>350</v>
      </c>
      <c r="L58" s="59">
        <v>30.85</v>
      </c>
      <c r="M58" s="64">
        <f t="shared" si="1"/>
        <v>10797.5</v>
      </c>
      <c r="N58" s="64">
        <f t="shared" si="2"/>
        <v>3779125</v>
      </c>
      <c r="O58" s="24">
        <f t="shared" si="5"/>
        <v>9471.4912280701756</v>
      </c>
    </row>
    <row r="59" spans="1:15" ht="17.25" thickTop="1" thickBot="1">
      <c r="A59" s="13"/>
      <c r="B59" s="10">
        <v>2</v>
      </c>
      <c r="C59" s="70">
        <v>116363669458</v>
      </c>
      <c r="D59" s="71">
        <v>222803</v>
      </c>
      <c r="E59" s="67">
        <v>45285</v>
      </c>
      <c r="F59" s="65">
        <v>45287</v>
      </c>
      <c r="G59" s="65">
        <v>45294</v>
      </c>
      <c r="H59" s="61" t="s">
        <v>22</v>
      </c>
      <c r="I59" s="62">
        <f t="shared" si="0"/>
        <v>7</v>
      </c>
      <c r="J59" s="63" t="s">
        <v>27</v>
      </c>
      <c r="K59" s="58">
        <f>2*40+5*58</f>
        <v>370</v>
      </c>
      <c r="L59" s="59">
        <v>30.85</v>
      </c>
      <c r="M59" s="64">
        <f t="shared" si="1"/>
        <v>11414.5</v>
      </c>
      <c r="N59" s="64">
        <f t="shared" si="2"/>
        <v>4223365</v>
      </c>
      <c r="O59" s="24">
        <f t="shared" si="5"/>
        <v>10012.719298245614</v>
      </c>
    </row>
    <row r="60" spans="1:15" ht="17.25" thickTop="1" thickBot="1">
      <c r="A60" s="15"/>
      <c r="B60" s="10">
        <f>+B59+1</f>
        <v>3</v>
      </c>
      <c r="C60" s="70">
        <v>116303668424</v>
      </c>
      <c r="D60" s="71">
        <v>222804</v>
      </c>
      <c r="E60" s="67">
        <v>45283</v>
      </c>
      <c r="F60" s="65">
        <v>45288</v>
      </c>
      <c r="G60" s="65">
        <v>45294</v>
      </c>
      <c r="H60" s="61" t="s">
        <v>22</v>
      </c>
      <c r="I60" s="62">
        <f t="shared" si="0"/>
        <v>6</v>
      </c>
      <c r="J60" s="63" t="s">
        <v>27</v>
      </c>
      <c r="K60" s="58">
        <f>1*40+5*58</f>
        <v>330</v>
      </c>
      <c r="L60" s="59">
        <v>30.85</v>
      </c>
      <c r="M60" s="64">
        <f t="shared" si="1"/>
        <v>10180.5</v>
      </c>
      <c r="N60" s="64">
        <f t="shared" si="2"/>
        <v>3359565</v>
      </c>
      <c r="O60" s="24">
        <f t="shared" si="5"/>
        <v>8930.2631578947385</v>
      </c>
    </row>
    <row r="61" spans="1:15" ht="17.25" thickTop="1" thickBot="1">
      <c r="B61" s="10">
        <f>+B60+1</f>
        <v>4</v>
      </c>
      <c r="C61" s="70">
        <v>116343667759</v>
      </c>
      <c r="D61" s="72">
        <v>222806</v>
      </c>
      <c r="E61" s="67">
        <v>45284</v>
      </c>
      <c r="F61" s="65">
        <v>45287</v>
      </c>
      <c r="G61" s="65">
        <v>45294</v>
      </c>
      <c r="H61" s="61" t="s">
        <v>22</v>
      </c>
      <c r="I61" s="62">
        <f t="shared" si="0"/>
        <v>7</v>
      </c>
      <c r="J61" s="63" t="s">
        <v>27</v>
      </c>
      <c r="K61" s="58">
        <f>2*40+5*58</f>
        <v>370</v>
      </c>
      <c r="L61" s="59">
        <v>30.85</v>
      </c>
      <c r="M61" s="64">
        <f t="shared" si="1"/>
        <v>11414.5</v>
      </c>
      <c r="N61" s="64">
        <f t="shared" si="2"/>
        <v>4223365</v>
      </c>
      <c r="O61" s="24">
        <f t="shared" si="5"/>
        <v>10012.719298245614</v>
      </c>
    </row>
    <row r="62" spans="1:15" ht="17.25" thickTop="1" thickBot="1">
      <c r="B62" s="10">
        <f>+B61+1</f>
        <v>5</v>
      </c>
      <c r="C62" s="70">
        <v>116373655162</v>
      </c>
      <c r="D62" s="72">
        <v>222809</v>
      </c>
      <c r="E62" s="67">
        <v>45257</v>
      </c>
      <c r="F62" s="65">
        <v>45287</v>
      </c>
      <c r="G62" s="65">
        <v>45294</v>
      </c>
      <c r="H62" s="61" t="s">
        <v>22</v>
      </c>
      <c r="I62" s="62">
        <f t="shared" si="0"/>
        <v>7</v>
      </c>
      <c r="J62" s="63" t="s">
        <v>29</v>
      </c>
      <c r="K62" s="58">
        <f>2*40+5*60</f>
        <v>380</v>
      </c>
      <c r="L62" s="59">
        <v>30.85</v>
      </c>
      <c r="M62" s="64">
        <f t="shared" si="1"/>
        <v>11723</v>
      </c>
      <c r="N62" s="64">
        <f t="shared" si="2"/>
        <v>4454740</v>
      </c>
      <c r="O62" s="24">
        <f t="shared" si="5"/>
        <v>10283.333333333334</v>
      </c>
    </row>
    <row r="63" spans="1:15" ht="17.25" thickTop="1" thickBot="1">
      <c r="B63" s="10">
        <f t="shared" ref="B63:B82" si="7">+B62+1</f>
        <v>6</v>
      </c>
      <c r="C63" s="70">
        <v>116393654259</v>
      </c>
      <c r="D63" s="72">
        <v>222811</v>
      </c>
      <c r="E63" s="67">
        <v>45254</v>
      </c>
      <c r="F63" s="65">
        <v>45288</v>
      </c>
      <c r="G63" s="65">
        <v>45294</v>
      </c>
      <c r="H63" s="61" t="s">
        <v>22</v>
      </c>
      <c r="I63" s="62">
        <f t="shared" si="0"/>
        <v>6</v>
      </c>
      <c r="J63" s="63" t="s">
        <v>42</v>
      </c>
      <c r="K63" s="58">
        <f>1*36+5*56</f>
        <v>316</v>
      </c>
      <c r="L63" s="59">
        <v>30.85</v>
      </c>
      <c r="M63" s="64">
        <f t="shared" si="1"/>
        <v>9748.6</v>
      </c>
      <c r="N63" s="64">
        <f t="shared" si="2"/>
        <v>3080557.6</v>
      </c>
      <c r="O63" s="24">
        <f t="shared" si="5"/>
        <v>8551.4035087719312</v>
      </c>
    </row>
    <row r="64" spans="1:15" ht="17.25" thickTop="1" thickBot="1">
      <c r="B64" s="10">
        <f t="shared" si="7"/>
        <v>7</v>
      </c>
      <c r="C64" s="70">
        <v>116383669405</v>
      </c>
      <c r="D64" s="72">
        <v>222815</v>
      </c>
      <c r="E64" s="67">
        <v>45286</v>
      </c>
      <c r="F64" s="65">
        <v>45287</v>
      </c>
      <c r="G64" s="65">
        <v>45294</v>
      </c>
      <c r="H64" s="61" t="s">
        <v>20</v>
      </c>
      <c r="I64" s="62">
        <f t="shared" si="0"/>
        <v>7</v>
      </c>
      <c r="J64" s="63" t="s">
        <v>34</v>
      </c>
      <c r="K64" s="58">
        <f>2*32+5*46</f>
        <v>294</v>
      </c>
      <c r="L64" s="59">
        <v>30.85</v>
      </c>
      <c r="M64" s="64">
        <f t="shared" si="1"/>
        <v>9069.9</v>
      </c>
      <c r="N64" s="64">
        <f t="shared" si="2"/>
        <v>2666550.6</v>
      </c>
      <c r="O64" s="24">
        <f t="shared" si="5"/>
        <v>7956.0526315789475</v>
      </c>
    </row>
    <row r="65" spans="2:15" ht="17.25" thickTop="1" thickBot="1">
      <c r="B65" s="10">
        <f t="shared" si="7"/>
        <v>8</v>
      </c>
      <c r="C65" s="70">
        <v>116343667513</v>
      </c>
      <c r="D65" s="72">
        <v>222816</v>
      </c>
      <c r="E65" s="67">
        <v>45287</v>
      </c>
      <c r="F65" s="65">
        <v>45288</v>
      </c>
      <c r="G65" s="65">
        <v>45294</v>
      </c>
      <c r="H65" s="61" t="s">
        <v>23</v>
      </c>
      <c r="I65" s="62">
        <f t="shared" si="0"/>
        <v>6</v>
      </c>
      <c r="J65" s="63" t="s">
        <v>37</v>
      </c>
      <c r="K65" s="58">
        <f>1*46+5*64</f>
        <v>366</v>
      </c>
      <c r="L65" s="59">
        <v>30.85</v>
      </c>
      <c r="M65" s="64">
        <f t="shared" si="1"/>
        <v>11291.1</v>
      </c>
      <c r="N65" s="64">
        <f t="shared" si="2"/>
        <v>4132542.6</v>
      </c>
      <c r="O65" s="24">
        <f t="shared" si="5"/>
        <v>9904.4736842105267</v>
      </c>
    </row>
    <row r="66" spans="2:15" ht="17.25" thickTop="1" thickBot="1">
      <c r="B66" s="10">
        <f t="shared" si="7"/>
        <v>9</v>
      </c>
      <c r="C66" s="70">
        <v>116313668289</v>
      </c>
      <c r="D66" s="72">
        <v>222820</v>
      </c>
      <c r="E66" s="67">
        <v>45283</v>
      </c>
      <c r="F66" s="65">
        <v>45284</v>
      </c>
      <c r="G66" s="65">
        <v>45295</v>
      </c>
      <c r="H66" s="61" t="s">
        <v>21</v>
      </c>
      <c r="I66" s="62">
        <f t="shared" ref="I66:I129" si="8">+G66-F66</f>
        <v>11</v>
      </c>
      <c r="J66" s="63" t="s">
        <v>31</v>
      </c>
      <c r="K66" s="58">
        <f>5*35+6*49</f>
        <v>469</v>
      </c>
      <c r="L66" s="59">
        <v>30.85</v>
      </c>
      <c r="M66" s="64">
        <f t="shared" ref="M66:M129" si="9">+K66*L66</f>
        <v>14468.650000000001</v>
      </c>
      <c r="N66" s="64">
        <f t="shared" ref="N66:N129" si="10">+K66*M66</f>
        <v>6785796.8500000006</v>
      </c>
      <c r="O66" s="24">
        <f t="shared" si="5"/>
        <v>12691.798245614038</v>
      </c>
    </row>
    <row r="67" spans="2:15" ht="17.25" thickTop="1" thickBot="1">
      <c r="B67" s="10">
        <f t="shared" si="7"/>
        <v>10</v>
      </c>
      <c r="C67" s="70">
        <v>116373669473</v>
      </c>
      <c r="D67" s="72">
        <v>222823</v>
      </c>
      <c r="E67" s="67">
        <v>45285</v>
      </c>
      <c r="F67" s="65">
        <v>45287</v>
      </c>
      <c r="G67" s="65">
        <v>45294</v>
      </c>
      <c r="H67" s="61" t="s">
        <v>23</v>
      </c>
      <c r="I67" s="62">
        <f t="shared" si="8"/>
        <v>7</v>
      </c>
      <c r="J67" s="63" t="s">
        <v>37</v>
      </c>
      <c r="K67" s="58">
        <f>2*46+5*64</f>
        <v>412</v>
      </c>
      <c r="L67" s="59">
        <v>30.85</v>
      </c>
      <c r="M67" s="64">
        <f t="shared" si="9"/>
        <v>12710.2</v>
      </c>
      <c r="N67" s="64">
        <f t="shared" si="10"/>
        <v>5236602.4000000004</v>
      </c>
      <c r="O67" s="24">
        <f t="shared" si="5"/>
        <v>11149.298245614036</v>
      </c>
    </row>
    <row r="68" spans="2:15" ht="17.25" thickTop="1" thickBot="1">
      <c r="B68" s="10">
        <f t="shared" si="7"/>
        <v>11</v>
      </c>
      <c r="C68" s="70">
        <v>116313667886</v>
      </c>
      <c r="D68" s="72">
        <v>222830</v>
      </c>
      <c r="E68" s="67">
        <v>45283</v>
      </c>
      <c r="F68" s="65">
        <v>45287</v>
      </c>
      <c r="G68" s="65">
        <v>45294</v>
      </c>
      <c r="H68" s="61" t="s">
        <v>22</v>
      </c>
      <c r="I68" s="62">
        <f t="shared" si="8"/>
        <v>7</v>
      </c>
      <c r="J68" s="63" t="s">
        <v>27</v>
      </c>
      <c r="K68" s="58">
        <f>2*40+5*58</f>
        <v>370</v>
      </c>
      <c r="L68" s="59">
        <v>30.85</v>
      </c>
      <c r="M68" s="64">
        <f t="shared" si="9"/>
        <v>11414.5</v>
      </c>
      <c r="N68" s="64">
        <f t="shared" si="10"/>
        <v>4223365</v>
      </c>
      <c r="O68" s="24">
        <f t="shared" si="5"/>
        <v>10012.719298245614</v>
      </c>
    </row>
    <row r="69" spans="2:15" ht="17.25" thickTop="1" thickBot="1">
      <c r="B69" s="10">
        <f t="shared" si="7"/>
        <v>12</v>
      </c>
      <c r="C69" s="70">
        <v>116363668109</v>
      </c>
      <c r="D69" s="72">
        <v>222832</v>
      </c>
      <c r="E69" s="67">
        <v>45286</v>
      </c>
      <c r="F69" s="65">
        <v>45287</v>
      </c>
      <c r="G69" s="65">
        <v>45294</v>
      </c>
      <c r="H69" s="61" t="s">
        <v>22</v>
      </c>
      <c r="I69" s="62">
        <f t="shared" si="8"/>
        <v>7</v>
      </c>
      <c r="J69" s="63" t="s">
        <v>27</v>
      </c>
      <c r="K69" s="58">
        <f>2*40+5*58</f>
        <v>370</v>
      </c>
      <c r="L69" s="59">
        <v>30.85</v>
      </c>
      <c r="M69" s="64">
        <f t="shared" si="9"/>
        <v>11414.5</v>
      </c>
      <c r="N69" s="64">
        <f t="shared" si="10"/>
        <v>4223365</v>
      </c>
      <c r="O69" s="24">
        <f t="shared" si="5"/>
        <v>10012.719298245614</v>
      </c>
    </row>
    <row r="70" spans="2:15" ht="17.25" thickTop="1" thickBot="1">
      <c r="B70" s="10">
        <f t="shared" si="7"/>
        <v>13</v>
      </c>
      <c r="C70" s="70">
        <v>116353666753</v>
      </c>
      <c r="D70" s="72">
        <v>222853</v>
      </c>
      <c r="E70" s="67">
        <v>45282</v>
      </c>
      <c r="F70" s="65">
        <v>45289</v>
      </c>
      <c r="G70" s="65">
        <v>45295</v>
      </c>
      <c r="H70" s="61" t="s">
        <v>22</v>
      </c>
      <c r="I70" s="62">
        <f t="shared" si="8"/>
        <v>6</v>
      </c>
      <c r="J70" s="63">
        <v>58</v>
      </c>
      <c r="K70" s="58">
        <f>+J70*I70</f>
        <v>348</v>
      </c>
      <c r="L70" s="59">
        <v>30.85</v>
      </c>
      <c r="M70" s="64">
        <f t="shared" si="9"/>
        <v>10735.800000000001</v>
      </c>
      <c r="N70" s="64">
        <f t="shared" si="10"/>
        <v>3736058.4000000004</v>
      </c>
      <c r="O70" s="24">
        <f t="shared" si="5"/>
        <v>9417.3684210526335</v>
      </c>
    </row>
    <row r="71" spans="2:15" ht="17.25" thickTop="1" thickBot="1">
      <c r="B71" s="10">
        <f t="shared" si="7"/>
        <v>14</v>
      </c>
      <c r="C71" s="70">
        <v>116393659605</v>
      </c>
      <c r="D71" s="71">
        <v>222854</v>
      </c>
      <c r="E71" s="67">
        <v>45262</v>
      </c>
      <c r="F71" s="65">
        <v>45288</v>
      </c>
      <c r="G71" s="65">
        <v>45295</v>
      </c>
      <c r="H71" s="61" t="s">
        <v>22</v>
      </c>
      <c r="I71" s="62">
        <f t="shared" si="8"/>
        <v>7</v>
      </c>
      <c r="J71" s="63" t="s">
        <v>29</v>
      </c>
      <c r="K71" s="58">
        <f>1*40+6*60</f>
        <v>400</v>
      </c>
      <c r="L71" s="59">
        <v>30.85</v>
      </c>
      <c r="M71" s="64">
        <f t="shared" si="9"/>
        <v>12340</v>
      </c>
      <c r="N71" s="64">
        <f t="shared" si="10"/>
        <v>4936000</v>
      </c>
      <c r="O71" s="24">
        <f t="shared" si="5"/>
        <v>10824.561403508773</v>
      </c>
    </row>
    <row r="72" spans="2:15" ht="17.25" thickTop="1" thickBot="1">
      <c r="B72" s="10">
        <f t="shared" si="7"/>
        <v>15</v>
      </c>
      <c r="C72" s="70">
        <v>116343653363</v>
      </c>
      <c r="D72" s="71">
        <v>222856</v>
      </c>
      <c r="E72" s="67">
        <v>45254</v>
      </c>
      <c r="F72" s="65">
        <v>45286</v>
      </c>
      <c r="G72" s="65">
        <v>45295</v>
      </c>
      <c r="H72" s="61" t="s">
        <v>23</v>
      </c>
      <c r="I72" s="62">
        <f t="shared" si="8"/>
        <v>9</v>
      </c>
      <c r="J72" s="63" t="s">
        <v>32</v>
      </c>
      <c r="K72" s="58">
        <f>3*42+6*62</f>
        <v>498</v>
      </c>
      <c r="L72" s="59">
        <v>30.85</v>
      </c>
      <c r="M72" s="64">
        <f t="shared" si="9"/>
        <v>15363.300000000001</v>
      </c>
      <c r="N72" s="64">
        <f t="shared" si="10"/>
        <v>7650923.4000000004</v>
      </c>
      <c r="O72" s="24">
        <f t="shared" si="5"/>
        <v>13476.578947368424</v>
      </c>
    </row>
    <row r="73" spans="2:15" ht="17.25" thickTop="1" thickBot="1">
      <c r="B73" s="10">
        <f t="shared" si="7"/>
        <v>16</v>
      </c>
      <c r="C73" s="70">
        <v>116313652967</v>
      </c>
      <c r="D73" s="71">
        <v>222857</v>
      </c>
      <c r="E73" s="67">
        <v>45254</v>
      </c>
      <c r="F73" s="65">
        <v>45286</v>
      </c>
      <c r="G73" s="65">
        <v>45295</v>
      </c>
      <c r="H73" s="61" t="s">
        <v>25</v>
      </c>
      <c r="I73" s="62">
        <f t="shared" si="8"/>
        <v>9</v>
      </c>
      <c r="J73" s="63" t="s">
        <v>43</v>
      </c>
      <c r="K73" s="58">
        <f>3*78+6*108</f>
        <v>882</v>
      </c>
      <c r="L73" s="59">
        <v>30.85</v>
      </c>
      <c r="M73" s="64">
        <f t="shared" si="9"/>
        <v>27209.7</v>
      </c>
      <c r="N73" s="64">
        <f t="shared" si="10"/>
        <v>23998955.400000002</v>
      </c>
      <c r="O73" s="24">
        <f t="shared" si="5"/>
        <v>23868.157894736843</v>
      </c>
    </row>
    <row r="74" spans="2:15" ht="17.25" thickTop="1" thickBot="1">
      <c r="B74" s="10">
        <f t="shared" si="7"/>
        <v>17</v>
      </c>
      <c r="C74" s="70">
        <v>116313652967</v>
      </c>
      <c r="D74" s="71">
        <v>222858</v>
      </c>
      <c r="E74" s="67">
        <v>45254</v>
      </c>
      <c r="F74" s="65">
        <v>45286</v>
      </c>
      <c r="G74" s="65">
        <v>45295</v>
      </c>
      <c r="H74" s="61" t="s">
        <v>22</v>
      </c>
      <c r="I74" s="62">
        <f t="shared" si="8"/>
        <v>9</v>
      </c>
      <c r="J74" s="63" t="s">
        <v>42</v>
      </c>
      <c r="K74" s="58">
        <f>3*36+6*56</f>
        <v>444</v>
      </c>
      <c r="L74" s="59">
        <v>30.85</v>
      </c>
      <c r="M74" s="64">
        <f t="shared" si="9"/>
        <v>13697.400000000001</v>
      </c>
      <c r="N74" s="64">
        <f t="shared" si="10"/>
        <v>6081645.6000000006</v>
      </c>
      <c r="O74" s="24">
        <f t="shared" si="5"/>
        <v>12015.263157894738</v>
      </c>
    </row>
    <row r="75" spans="2:15" ht="17.25" thickTop="1" thickBot="1">
      <c r="B75" s="10">
        <f t="shared" si="7"/>
        <v>18</v>
      </c>
      <c r="C75" s="70">
        <v>116313664205</v>
      </c>
      <c r="D75" s="71">
        <v>222868</v>
      </c>
      <c r="E75" s="67">
        <v>45273</v>
      </c>
      <c r="F75" s="65">
        <v>45288</v>
      </c>
      <c r="G75" s="65">
        <v>45295</v>
      </c>
      <c r="H75" s="61" t="s">
        <v>23</v>
      </c>
      <c r="I75" s="62">
        <f t="shared" si="8"/>
        <v>7</v>
      </c>
      <c r="J75" s="63" t="s">
        <v>30</v>
      </c>
      <c r="K75" s="58">
        <f>1*46+6*66</f>
        <v>442</v>
      </c>
      <c r="L75" s="59">
        <v>30.85</v>
      </c>
      <c r="M75" s="64">
        <f t="shared" si="9"/>
        <v>13635.7</v>
      </c>
      <c r="N75" s="64">
        <f t="shared" si="10"/>
        <v>6026979.4000000004</v>
      </c>
      <c r="O75" s="24">
        <f t="shared" si="5"/>
        <v>11961.140350877195</v>
      </c>
    </row>
    <row r="76" spans="2:15" ht="17.25" thickTop="1" thickBot="1">
      <c r="B76" s="10">
        <f t="shared" si="7"/>
        <v>19</v>
      </c>
      <c r="C76" s="70">
        <v>116333666157</v>
      </c>
      <c r="D76" s="71">
        <v>222869</v>
      </c>
      <c r="E76" s="67">
        <v>45285</v>
      </c>
      <c r="F76" s="65">
        <v>45288</v>
      </c>
      <c r="G76" s="65">
        <v>45295</v>
      </c>
      <c r="H76" s="61" t="s">
        <v>20</v>
      </c>
      <c r="I76" s="62">
        <f t="shared" si="8"/>
        <v>7</v>
      </c>
      <c r="J76" s="63" t="s">
        <v>34</v>
      </c>
      <c r="K76" s="58">
        <f>1*32+6*46</f>
        <v>308</v>
      </c>
      <c r="L76" s="59">
        <v>30.85</v>
      </c>
      <c r="M76" s="64">
        <f t="shared" si="9"/>
        <v>9501.8000000000011</v>
      </c>
      <c r="N76" s="64">
        <f t="shared" si="10"/>
        <v>2926554.4000000004</v>
      </c>
      <c r="O76" s="24">
        <f t="shared" si="5"/>
        <v>8334.9122807017557</v>
      </c>
    </row>
    <row r="77" spans="2:15" ht="17.25" thickTop="1" thickBot="1">
      <c r="B77" s="10">
        <f t="shared" si="7"/>
        <v>20</v>
      </c>
      <c r="C77" s="70">
        <v>116353669808</v>
      </c>
      <c r="D77" s="71">
        <v>222870</v>
      </c>
      <c r="E77" s="67">
        <v>45286</v>
      </c>
      <c r="F77" s="65">
        <v>45289</v>
      </c>
      <c r="G77" s="65">
        <v>45295</v>
      </c>
      <c r="H77" s="61" t="s">
        <v>22</v>
      </c>
      <c r="I77" s="62">
        <f t="shared" si="8"/>
        <v>6</v>
      </c>
      <c r="J77" s="63">
        <v>58</v>
      </c>
      <c r="K77" s="58">
        <f>+J77*I77</f>
        <v>348</v>
      </c>
      <c r="L77" s="59">
        <v>30.85</v>
      </c>
      <c r="M77" s="64">
        <f t="shared" si="9"/>
        <v>10735.800000000001</v>
      </c>
      <c r="N77" s="64">
        <f t="shared" si="10"/>
        <v>3736058.4000000004</v>
      </c>
      <c r="O77" s="24">
        <f t="shared" si="5"/>
        <v>9417.3684210526335</v>
      </c>
    </row>
    <row r="78" spans="2:15" ht="17.25" thickTop="1" thickBot="1">
      <c r="B78" s="10">
        <f t="shared" si="7"/>
        <v>21</v>
      </c>
      <c r="C78" s="70">
        <v>116333669493</v>
      </c>
      <c r="D78" s="71">
        <v>222871</v>
      </c>
      <c r="E78" s="67">
        <v>45285</v>
      </c>
      <c r="F78" s="65">
        <v>45289</v>
      </c>
      <c r="G78" s="65">
        <v>45295</v>
      </c>
      <c r="H78" s="61" t="s">
        <v>20</v>
      </c>
      <c r="I78" s="62">
        <f t="shared" si="8"/>
        <v>6</v>
      </c>
      <c r="J78" s="63">
        <v>46</v>
      </c>
      <c r="K78" s="58">
        <f>+J78*I78</f>
        <v>276</v>
      </c>
      <c r="L78" s="59">
        <v>30.85</v>
      </c>
      <c r="M78" s="64">
        <f t="shared" si="9"/>
        <v>8514.6</v>
      </c>
      <c r="N78" s="64">
        <f t="shared" si="10"/>
        <v>2350029.6</v>
      </c>
      <c r="O78" s="24">
        <f t="shared" si="5"/>
        <v>7468.9473684210534</v>
      </c>
    </row>
    <row r="79" spans="2:15" ht="17.25" thickTop="1" thickBot="1">
      <c r="B79" s="10">
        <f t="shared" si="7"/>
        <v>22</v>
      </c>
      <c r="C79" s="70">
        <v>116383667258</v>
      </c>
      <c r="D79" s="71">
        <v>222873</v>
      </c>
      <c r="E79" s="67">
        <v>45281</v>
      </c>
      <c r="F79" s="65">
        <v>45288</v>
      </c>
      <c r="G79" s="65">
        <v>45295</v>
      </c>
      <c r="H79" s="61" t="s">
        <v>22</v>
      </c>
      <c r="I79" s="62">
        <f t="shared" si="8"/>
        <v>7</v>
      </c>
      <c r="J79" s="63" t="s">
        <v>27</v>
      </c>
      <c r="K79" s="58">
        <f>1*40+6*58</f>
        <v>388</v>
      </c>
      <c r="L79" s="59">
        <v>30.85</v>
      </c>
      <c r="M79" s="64">
        <f t="shared" si="9"/>
        <v>11969.800000000001</v>
      </c>
      <c r="N79" s="64">
        <f t="shared" si="10"/>
        <v>4644282.4000000004</v>
      </c>
      <c r="O79" s="24">
        <f t="shared" si="5"/>
        <v>10499.824561403511</v>
      </c>
    </row>
    <row r="80" spans="2:15" ht="17.25" thickTop="1" thickBot="1">
      <c r="B80" s="10">
        <f t="shared" si="7"/>
        <v>23</v>
      </c>
      <c r="C80" s="70">
        <v>116303655417</v>
      </c>
      <c r="D80" s="71">
        <v>222879</v>
      </c>
      <c r="E80" s="67">
        <v>45254</v>
      </c>
      <c r="F80" s="65">
        <v>45288</v>
      </c>
      <c r="G80" s="65">
        <v>45295</v>
      </c>
      <c r="H80" s="61" t="s">
        <v>20</v>
      </c>
      <c r="I80" s="62">
        <f t="shared" si="8"/>
        <v>7</v>
      </c>
      <c r="J80" s="63" t="s">
        <v>33</v>
      </c>
      <c r="K80" s="58">
        <f>1*29+6*45</f>
        <v>299</v>
      </c>
      <c r="L80" s="59">
        <v>30.85</v>
      </c>
      <c r="M80" s="64">
        <f t="shared" si="9"/>
        <v>9224.15</v>
      </c>
      <c r="N80" s="64">
        <f t="shared" si="10"/>
        <v>2758020.85</v>
      </c>
      <c r="O80" s="24">
        <f t="shared" si="5"/>
        <v>8091.3596491228072</v>
      </c>
    </row>
    <row r="81" spans="2:15" ht="17.25" thickTop="1" thickBot="1">
      <c r="B81" s="10">
        <f t="shared" si="7"/>
        <v>24</v>
      </c>
      <c r="C81" s="70">
        <v>116373654547</v>
      </c>
      <c r="D81" s="71">
        <v>222880</v>
      </c>
      <c r="E81" s="67">
        <v>45254</v>
      </c>
      <c r="F81" s="65">
        <v>45288</v>
      </c>
      <c r="G81" s="65">
        <v>45295</v>
      </c>
      <c r="H81" s="61" t="s">
        <v>23</v>
      </c>
      <c r="I81" s="62">
        <f t="shared" si="8"/>
        <v>7</v>
      </c>
      <c r="J81" s="63" t="s">
        <v>32</v>
      </c>
      <c r="K81" s="58">
        <f>1*42+6*62</f>
        <v>414</v>
      </c>
      <c r="L81" s="59">
        <v>30.85</v>
      </c>
      <c r="M81" s="64">
        <f t="shared" si="9"/>
        <v>12771.900000000001</v>
      </c>
      <c r="N81" s="64">
        <f t="shared" si="10"/>
        <v>5287566.6000000006</v>
      </c>
      <c r="O81" s="24">
        <f t="shared" si="5"/>
        <v>11203.421052631582</v>
      </c>
    </row>
    <row r="82" spans="2:15" ht="17.25" thickTop="1" thickBot="1">
      <c r="B82" s="10">
        <f t="shared" si="7"/>
        <v>25</v>
      </c>
      <c r="C82" s="70">
        <v>115313650980</v>
      </c>
      <c r="D82" s="71">
        <v>222882</v>
      </c>
      <c r="E82" s="67">
        <v>45286</v>
      </c>
      <c r="F82" s="65">
        <v>45288</v>
      </c>
      <c r="G82" s="65">
        <v>45295</v>
      </c>
      <c r="H82" s="61" t="s">
        <v>23</v>
      </c>
      <c r="I82" s="62">
        <f t="shared" si="8"/>
        <v>7</v>
      </c>
      <c r="J82" s="63" t="s">
        <v>37</v>
      </c>
      <c r="K82" s="58">
        <f>1*46+6*64</f>
        <v>430</v>
      </c>
      <c r="L82" s="59">
        <v>30.85</v>
      </c>
      <c r="M82" s="64">
        <f t="shared" si="9"/>
        <v>13265.5</v>
      </c>
      <c r="N82" s="64">
        <f t="shared" si="10"/>
        <v>5704165</v>
      </c>
      <c r="O82" s="24">
        <f t="shared" si="5"/>
        <v>11636.403508771931</v>
      </c>
    </row>
    <row r="83" spans="2:15" ht="17.25" thickTop="1" thickBot="1">
      <c r="C83" s="70">
        <v>116323667290</v>
      </c>
      <c r="D83" s="71">
        <v>222884</v>
      </c>
      <c r="E83" s="67">
        <v>45282</v>
      </c>
      <c r="F83" s="65">
        <v>45286</v>
      </c>
      <c r="G83" s="65">
        <v>45295</v>
      </c>
      <c r="H83" s="61" t="s">
        <v>20</v>
      </c>
      <c r="I83" s="62">
        <f t="shared" si="8"/>
        <v>9</v>
      </c>
      <c r="J83" s="63" t="s">
        <v>34</v>
      </c>
      <c r="K83" s="58">
        <f>3*32+6*46</f>
        <v>372</v>
      </c>
      <c r="L83" s="59">
        <v>30.85</v>
      </c>
      <c r="M83" s="64">
        <f t="shared" si="9"/>
        <v>11476.2</v>
      </c>
      <c r="N83" s="64">
        <f t="shared" si="10"/>
        <v>4269146.4000000004</v>
      </c>
    </row>
    <row r="84" spans="2:15" ht="17.25" thickTop="1" thickBot="1">
      <c r="C84" s="70">
        <v>116363667775</v>
      </c>
      <c r="D84" s="71">
        <v>222885</v>
      </c>
      <c r="E84" s="67">
        <v>45287</v>
      </c>
      <c r="F84" s="65">
        <v>45288</v>
      </c>
      <c r="G84" s="65">
        <v>45295</v>
      </c>
      <c r="H84" s="61" t="s">
        <v>22</v>
      </c>
      <c r="I84" s="62">
        <f t="shared" si="8"/>
        <v>7</v>
      </c>
      <c r="J84" s="63" t="s">
        <v>27</v>
      </c>
      <c r="K84" s="58">
        <f>1*40+6*58</f>
        <v>388</v>
      </c>
      <c r="L84" s="59">
        <v>30.85</v>
      </c>
      <c r="M84" s="64">
        <f t="shared" si="9"/>
        <v>11969.800000000001</v>
      </c>
      <c r="N84" s="64">
        <f t="shared" si="10"/>
        <v>4644282.4000000004</v>
      </c>
    </row>
    <row r="85" spans="2:15" ht="17.25" thickTop="1" thickBot="1">
      <c r="C85" s="70">
        <v>116353669075</v>
      </c>
      <c r="D85" s="71">
        <v>222895</v>
      </c>
      <c r="E85" s="67">
        <v>45285</v>
      </c>
      <c r="F85" s="65">
        <v>45286</v>
      </c>
      <c r="G85" s="65">
        <v>45295</v>
      </c>
      <c r="H85" s="61" t="s">
        <v>23</v>
      </c>
      <c r="I85" s="62">
        <f t="shared" si="8"/>
        <v>9</v>
      </c>
      <c r="J85" s="63" t="s">
        <v>37</v>
      </c>
      <c r="K85" s="58">
        <f>3*46+6*64</f>
        <v>522</v>
      </c>
      <c r="L85" s="59">
        <v>30.85</v>
      </c>
      <c r="M85" s="64">
        <f t="shared" si="9"/>
        <v>16103.7</v>
      </c>
      <c r="N85" s="64">
        <f t="shared" si="10"/>
        <v>8406131.4000000004</v>
      </c>
    </row>
    <row r="86" spans="2:15" ht="17.25" thickTop="1" thickBot="1">
      <c r="C86" s="70">
        <v>116353669075</v>
      </c>
      <c r="D86" s="71">
        <v>222896</v>
      </c>
      <c r="E86" s="67">
        <v>45285</v>
      </c>
      <c r="F86" s="65">
        <v>45286</v>
      </c>
      <c r="G86" s="65">
        <v>45295</v>
      </c>
      <c r="H86" s="61" t="s">
        <v>23</v>
      </c>
      <c r="I86" s="62">
        <f t="shared" si="8"/>
        <v>9</v>
      </c>
      <c r="J86" s="63" t="s">
        <v>37</v>
      </c>
      <c r="K86" s="58">
        <f>3*46+6*64</f>
        <v>522</v>
      </c>
      <c r="L86" s="59">
        <v>30.85</v>
      </c>
      <c r="M86" s="64">
        <f t="shared" si="9"/>
        <v>16103.7</v>
      </c>
      <c r="N86" s="64">
        <f t="shared" si="10"/>
        <v>8406131.4000000004</v>
      </c>
    </row>
    <row r="87" spans="2:15" ht="17.25" thickTop="1" thickBot="1">
      <c r="C87" s="70">
        <v>116373666595</v>
      </c>
      <c r="D87" s="71">
        <v>222908</v>
      </c>
      <c r="E87" s="67">
        <v>45281</v>
      </c>
      <c r="F87" s="65">
        <v>45290</v>
      </c>
      <c r="G87" s="65">
        <v>45296</v>
      </c>
      <c r="H87" s="61" t="s">
        <v>22</v>
      </c>
      <c r="I87" s="62">
        <f t="shared" si="8"/>
        <v>6</v>
      </c>
      <c r="J87" s="63">
        <v>58</v>
      </c>
      <c r="K87" s="58">
        <f>+J87*I87</f>
        <v>348</v>
      </c>
      <c r="L87" s="59">
        <v>30.85</v>
      </c>
      <c r="M87" s="64">
        <f t="shared" si="9"/>
        <v>10735.800000000001</v>
      </c>
      <c r="N87" s="64">
        <f t="shared" si="10"/>
        <v>3736058.4000000004</v>
      </c>
    </row>
    <row r="88" spans="2:15" ht="17.25" thickTop="1" thickBot="1">
      <c r="C88" s="70">
        <v>116333667871</v>
      </c>
      <c r="D88" s="71">
        <v>222909</v>
      </c>
      <c r="E88" s="67">
        <v>45283</v>
      </c>
      <c r="F88" s="65">
        <v>45290</v>
      </c>
      <c r="G88" s="65">
        <v>45296</v>
      </c>
      <c r="H88" s="61" t="s">
        <v>22</v>
      </c>
      <c r="I88" s="62">
        <f t="shared" si="8"/>
        <v>6</v>
      </c>
      <c r="J88" s="63">
        <v>58</v>
      </c>
      <c r="K88" s="58">
        <f>+J88*I88</f>
        <v>348</v>
      </c>
      <c r="L88" s="59">
        <v>30.85</v>
      </c>
      <c r="M88" s="64">
        <f t="shared" si="9"/>
        <v>10735.800000000001</v>
      </c>
      <c r="N88" s="64">
        <f t="shared" si="10"/>
        <v>3736058.4000000004</v>
      </c>
    </row>
    <row r="89" spans="2:15" ht="17.25" thickTop="1" thickBot="1">
      <c r="C89" s="70">
        <v>11631651878</v>
      </c>
      <c r="D89" s="71">
        <v>222912</v>
      </c>
      <c r="E89" s="67">
        <v>45245</v>
      </c>
      <c r="F89" s="65">
        <v>45289</v>
      </c>
      <c r="G89" s="65">
        <v>45296</v>
      </c>
      <c r="H89" s="61" t="s">
        <v>22</v>
      </c>
      <c r="I89" s="62">
        <f t="shared" si="8"/>
        <v>7</v>
      </c>
      <c r="J89" s="63">
        <v>70</v>
      </c>
      <c r="K89" s="58">
        <f>+J89*I89</f>
        <v>490</v>
      </c>
      <c r="L89" s="59">
        <v>30.85</v>
      </c>
      <c r="M89" s="64">
        <f t="shared" si="9"/>
        <v>15116.5</v>
      </c>
      <c r="N89" s="64">
        <f t="shared" si="10"/>
        <v>7407085</v>
      </c>
    </row>
    <row r="90" spans="2:15" ht="17.25" thickTop="1" thickBot="1">
      <c r="C90" s="70">
        <v>116323661342</v>
      </c>
      <c r="D90" s="71">
        <v>222913</v>
      </c>
      <c r="E90" s="67">
        <v>45281</v>
      </c>
      <c r="F90" s="65">
        <v>45289</v>
      </c>
      <c r="G90" s="65">
        <v>45296</v>
      </c>
      <c r="H90" s="61" t="s">
        <v>22</v>
      </c>
      <c r="I90" s="62">
        <f t="shared" si="8"/>
        <v>7</v>
      </c>
      <c r="J90" s="63">
        <v>58</v>
      </c>
      <c r="K90" s="58">
        <f>+J90*I90</f>
        <v>406</v>
      </c>
      <c r="L90" s="59">
        <v>30.85</v>
      </c>
      <c r="M90" s="64">
        <f t="shared" si="9"/>
        <v>12525.1</v>
      </c>
      <c r="N90" s="64">
        <f t="shared" si="10"/>
        <v>5085190.6000000006</v>
      </c>
    </row>
    <row r="91" spans="2:15" ht="17.25" thickTop="1" thickBot="1">
      <c r="C91" s="70">
        <v>116313655609</v>
      </c>
      <c r="D91" s="79">
        <v>222922</v>
      </c>
      <c r="E91" s="80">
        <v>45256</v>
      </c>
      <c r="F91" s="65">
        <v>45285</v>
      </c>
      <c r="G91" s="65">
        <v>45296</v>
      </c>
      <c r="H91" s="61" t="s">
        <v>22</v>
      </c>
      <c r="I91" s="62">
        <f t="shared" si="8"/>
        <v>11</v>
      </c>
      <c r="J91" s="63" t="s">
        <v>29</v>
      </c>
      <c r="K91" s="58">
        <f>40*4+60*7</f>
        <v>580</v>
      </c>
      <c r="L91" s="59">
        <v>30.85</v>
      </c>
      <c r="M91" s="64">
        <f t="shared" si="9"/>
        <v>17893</v>
      </c>
      <c r="N91" s="64">
        <f t="shared" si="10"/>
        <v>10377940</v>
      </c>
    </row>
    <row r="92" spans="2:15" ht="17.25" thickTop="1" thickBot="1">
      <c r="C92" s="70">
        <v>116393669055</v>
      </c>
      <c r="D92" s="79">
        <v>222927</v>
      </c>
      <c r="E92" s="80">
        <v>45285</v>
      </c>
      <c r="F92" s="65">
        <v>45286</v>
      </c>
      <c r="G92" s="65">
        <v>45296</v>
      </c>
      <c r="H92" s="61" t="s">
        <v>20</v>
      </c>
      <c r="I92" s="62">
        <f t="shared" si="8"/>
        <v>10</v>
      </c>
      <c r="J92" s="63" t="s">
        <v>34</v>
      </c>
      <c r="K92" s="58">
        <f>32*3+46*7</f>
        <v>418</v>
      </c>
      <c r="L92" s="59">
        <v>30.85</v>
      </c>
      <c r="M92" s="64">
        <f t="shared" si="9"/>
        <v>12895.300000000001</v>
      </c>
      <c r="N92" s="64">
        <f t="shared" si="10"/>
        <v>5390235.4000000004</v>
      </c>
    </row>
    <row r="93" spans="2:15" ht="17.25" thickTop="1" thickBot="1">
      <c r="C93" s="70">
        <v>116333661107</v>
      </c>
      <c r="D93" s="71">
        <v>222944</v>
      </c>
      <c r="E93" s="67">
        <v>45281</v>
      </c>
      <c r="F93" s="65">
        <v>45289</v>
      </c>
      <c r="G93" s="65">
        <v>45296</v>
      </c>
      <c r="H93" s="61" t="s">
        <v>23</v>
      </c>
      <c r="I93" s="62">
        <f t="shared" si="8"/>
        <v>7</v>
      </c>
      <c r="J93" s="63">
        <v>64</v>
      </c>
      <c r="K93" s="58">
        <f>+J93*I93</f>
        <v>448</v>
      </c>
      <c r="L93" s="59">
        <v>30.85</v>
      </c>
      <c r="M93" s="64">
        <f t="shared" si="9"/>
        <v>13820.800000000001</v>
      </c>
      <c r="N93" s="64">
        <f t="shared" si="10"/>
        <v>6191718.4000000004</v>
      </c>
    </row>
    <row r="94" spans="2:15" ht="17.25" thickTop="1" thickBot="1">
      <c r="C94" s="70">
        <v>116303669254</v>
      </c>
      <c r="D94" s="71">
        <v>222955</v>
      </c>
      <c r="E94" s="67">
        <v>45288</v>
      </c>
      <c r="F94" s="65">
        <v>45290</v>
      </c>
      <c r="G94" s="65">
        <v>45293</v>
      </c>
      <c r="H94" s="61" t="s">
        <v>22</v>
      </c>
      <c r="I94" s="62">
        <f t="shared" si="8"/>
        <v>3</v>
      </c>
      <c r="J94" s="63">
        <v>58</v>
      </c>
      <c r="K94" s="58">
        <f>+J94*I94</f>
        <v>174</v>
      </c>
      <c r="L94" s="59">
        <v>30.85</v>
      </c>
      <c r="M94" s="64">
        <f t="shared" si="9"/>
        <v>5367.9000000000005</v>
      </c>
      <c r="N94" s="64">
        <f t="shared" si="10"/>
        <v>934014.60000000009</v>
      </c>
    </row>
    <row r="95" spans="2:15" ht="17.25" thickTop="1" thickBot="1">
      <c r="C95" s="70">
        <v>116303669254</v>
      </c>
      <c r="D95" s="71">
        <v>222955</v>
      </c>
      <c r="E95" s="67">
        <v>45288</v>
      </c>
      <c r="F95" s="65">
        <v>45293</v>
      </c>
      <c r="G95" s="65">
        <v>45296</v>
      </c>
      <c r="H95" s="61" t="s">
        <v>20</v>
      </c>
      <c r="I95" s="62">
        <f>+G95-F95</f>
        <v>3</v>
      </c>
      <c r="J95" s="63">
        <v>46</v>
      </c>
      <c r="K95" s="58">
        <f>+J95*I95</f>
        <v>138</v>
      </c>
      <c r="L95" s="59">
        <v>30.85</v>
      </c>
      <c r="M95" s="64">
        <f t="shared" si="9"/>
        <v>4257.3</v>
      </c>
      <c r="N95" s="64">
        <f t="shared" si="10"/>
        <v>587507.4</v>
      </c>
    </row>
    <row r="96" spans="2:15" ht="17.25" thickTop="1" thickBot="1">
      <c r="C96" s="70">
        <v>116363655987</v>
      </c>
      <c r="D96" s="71">
        <v>222999</v>
      </c>
      <c r="E96" s="67">
        <v>45259</v>
      </c>
      <c r="F96" s="65">
        <v>45290</v>
      </c>
      <c r="G96" s="65">
        <v>45297</v>
      </c>
      <c r="H96" s="61" t="s">
        <v>22</v>
      </c>
      <c r="I96" s="62">
        <f t="shared" si="8"/>
        <v>7</v>
      </c>
      <c r="J96" s="63" t="s">
        <v>44</v>
      </c>
      <c r="K96" s="58">
        <f>60*6+40*1</f>
        <v>400</v>
      </c>
      <c r="L96" s="59">
        <v>30.85</v>
      </c>
      <c r="M96" s="64">
        <f t="shared" si="9"/>
        <v>12340</v>
      </c>
      <c r="N96" s="64">
        <f t="shared" si="10"/>
        <v>4936000</v>
      </c>
    </row>
    <row r="97" spans="3:14" ht="17.25" thickTop="1" thickBot="1">
      <c r="C97" s="70">
        <v>116303668820</v>
      </c>
      <c r="D97" s="71">
        <v>223000</v>
      </c>
      <c r="E97" s="67">
        <v>45283</v>
      </c>
      <c r="F97" s="65">
        <v>45290</v>
      </c>
      <c r="G97" s="65">
        <v>45297</v>
      </c>
      <c r="H97" s="61" t="s">
        <v>22</v>
      </c>
      <c r="I97" s="62">
        <f t="shared" si="8"/>
        <v>7</v>
      </c>
      <c r="J97" s="63" t="s">
        <v>45</v>
      </c>
      <c r="K97" s="58">
        <f>58*6+38*1</f>
        <v>386</v>
      </c>
      <c r="L97" s="59">
        <v>30.85</v>
      </c>
      <c r="M97" s="64">
        <f t="shared" si="9"/>
        <v>11908.1</v>
      </c>
      <c r="N97" s="64">
        <f t="shared" si="10"/>
        <v>4596526.6000000006</v>
      </c>
    </row>
    <row r="98" spans="3:14" ht="17.25" thickTop="1" thickBot="1">
      <c r="C98" s="70">
        <v>116313663260</v>
      </c>
      <c r="D98" s="71">
        <v>223001</v>
      </c>
      <c r="E98" s="67">
        <v>45274</v>
      </c>
      <c r="F98" s="65">
        <v>45290</v>
      </c>
      <c r="G98" s="65">
        <v>45297</v>
      </c>
      <c r="H98" s="61" t="s">
        <v>22</v>
      </c>
      <c r="I98" s="62">
        <f t="shared" si="8"/>
        <v>7</v>
      </c>
      <c r="J98" s="63" t="s">
        <v>44</v>
      </c>
      <c r="K98" s="58">
        <f>60*6+40*1</f>
        <v>400</v>
      </c>
      <c r="L98" s="59">
        <v>30.85</v>
      </c>
      <c r="M98" s="64">
        <f t="shared" si="9"/>
        <v>12340</v>
      </c>
      <c r="N98" s="64">
        <f t="shared" si="10"/>
        <v>4936000</v>
      </c>
    </row>
    <row r="99" spans="3:14" ht="17.25" thickTop="1" thickBot="1">
      <c r="C99" s="70">
        <v>116313666742</v>
      </c>
      <c r="D99" s="71">
        <v>223024</v>
      </c>
      <c r="E99" s="67">
        <v>45288</v>
      </c>
      <c r="F99" s="65">
        <v>45290</v>
      </c>
      <c r="G99" s="65">
        <v>45297</v>
      </c>
      <c r="H99" s="61" t="s">
        <v>20</v>
      </c>
      <c r="I99" s="62">
        <f t="shared" si="8"/>
        <v>7</v>
      </c>
      <c r="J99" s="63" t="s">
        <v>46</v>
      </c>
      <c r="K99" s="58">
        <f>46*6+30*1</f>
        <v>306</v>
      </c>
      <c r="L99" s="59">
        <v>30.85</v>
      </c>
      <c r="M99" s="64">
        <f t="shared" si="9"/>
        <v>9440.1</v>
      </c>
      <c r="N99" s="64">
        <f t="shared" si="10"/>
        <v>2888670.6</v>
      </c>
    </row>
    <row r="100" spans="3:14" ht="17.25" thickTop="1" thickBot="1">
      <c r="C100" s="70">
        <v>116303667311</v>
      </c>
      <c r="D100" s="71">
        <v>223026</v>
      </c>
      <c r="E100" s="67">
        <v>45284</v>
      </c>
      <c r="F100" s="65">
        <v>45290</v>
      </c>
      <c r="G100" s="65">
        <v>45297</v>
      </c>
      <c r="H100" s="61" t="s">
        <v>22</v>
      </c>
      <c r="I100" s="62">
        <f t="shared" si="8"/>
        <v>7</v>
      </c>
      <c r="J100" s="63" t="s">
        <v>45</v>
      </c>
      <c r="K100" s="58">
        <f>58*6+38*1</f>
        <v>386</v>
      </c>
      <c r="L100" s="59">
        <v>30.85</v>
      </c>
      <c r="M100" s="64">
        <f t="shared" si="9"/>
        <v>11908.1</v>
      </c>
      <c r="N100" s="64">
        <f t="shared" si="10"/>
        <v>4596526.6000000006</v>
      </c>
    </row>
    <row r="101" spans="3:14" ht="17.25" thickTop="1" thickBot="1">
      <c r="C101" s="70">
        <v>116313667725</v>
      </c>
      <c r="D101" s="71">
        <v>223040</v>
      </c>
      <c r="E101" s="67">
        <v>45286</v>
      </c>
      <c r="F101" s="65">
        <v>45287</v>
      </c>
      <c r="G101" s="65">
        <v>45297</v>
      </c>
      <c r="H101" s="61" t="s">
        <v>22</v>
      </c>
      <c r="I101" s="62">
        <f t="shared" si="8"/>
        <v>10</v>
      </c>
      <c r="J101" s="63" t="s">
        <v>47</v>
      </c>
      <c r="K101" s="58">
        <f>40*2+58*7+38*1</f>
        <v>524</v>
      </c>
      <c r="L101" s="59">
        <v>30.85</v>
      </c>
      <c r="M101" s="64">
        <f t="shared" si="9"/>
        <v>16165.400000000001</v>
      </c>
      <c r="N101" s="64">
        <f t="shared" si="10"/>
        <v>8470669.6000000015</v>
      </c>
    </row>
    <row r="102" spans="3:14" ht="17.25" thickTop="1" thickBot="1">
      <c r="C102" s="70">
        <v>116393669888</v>
      </c>
      <c r="D102" s="71">
        <v>223046</v>
      </c>
      <c r="E102" s="67">
        <v>45287</v>
      </c>
      <c r="F102" s="65">
        <v>45290</v>
      </c>
      <c r="G102" s="65">
        <v>45297</v>
      </c>
      <c r="H102" s="61" t="s">
        <v>22</v>
      </c>
      <c r="I102" s="62">
        <f t="shared" si="8"/>
        <v>7</v>
      </c>
      <c r="J102" s="63" t="s">
        <v>45</v>
      </c>
      <c r="K102" s="58">
        <f>58*6+38*1</f>
        <v>386</v>
      </c>
      <c r="L102" s="59">
        <v>30.85</v>
      </c>
      <c r="M102" s="64">
        <f t="shared" si="9"/>
        <v>11908.1</v>
      </c>
      <c r="N102" s="64">
        <f t="shared" si="10"/>
        <v>4596526.6000000006</v>
      </c>
    </row>
    <row r="103" spans="3:14" ht="17.25" thickTop="1" thickBot="1">
      <c r="C103" s="70">
        <v>116363667386</v>
      </c>
      <c r="D103" s="71">
        <v>223054</v>
      </c>
      <c r="E103" s="67">
        <v>45285</v>
      </c>
      <c r="F103" s="65">
        <v>45290</v>
      </c>
      <c r="G103" s="65">
        <v>45297</v>
      </c>
      <c r="H103" s="61" t="s">
        <v>22</v>
      </c>
      <c r="I103" s="62">
        <f t="shared" si="8"/>
        <v>7</v>
      </c>
      <c r="J103" s="63" t="s">
        <v>45</v>
      </c>
      <c r="K103" s="58">
        <f>58*6+38*1</f>
        <v>386</v>
      </c>
      <c r="L103" s="59">
        <v>30.85</v>
      </c>
      <c r="M103" s="64">
        <f t="shared" si="9"/>
        <v>11908.1</v>
      </c>
      <c r="N103" s="64">
        <f t="shared" si="10"/>
        <v>4596526.6000000006</v>
      </c>
    </row>
    <row r="104" spans="3:14" ht="17.25" thickTop="1" thickBot="1">
      <c r="C104" s="70">
        <v>116373667110</v>
      </c>
      <c r="D104" s="79">
        <v>223063</v>
      </c>
      <c r="E104" s="80">
        <v>45285</v>
      </c>
      <c r="F104" s="65">
        <v>45290</v>
      </c>
      <c r="G104" s="65">
        <v>45297</v>
      </c>
      <c r="H104" s="61" t="s">
        <v>21</v>
      </c>
      <c r="I104" s="62">
        <f t="shared" si="8"/>
        <v>7</v>
      </c>
      <c r="J104" s="63" t="s">
        <v>48</v>
      </c>
      <c r="K104" s="58">
        <f>49*6+33*1</f>
        <v>327</v>
      </c>
      <c r="L104" s="59">
        <v>30.85</v>
      </c>
      <c r="M104" s="64">
        <f t="shared" si="9"/>
        <v>10087.950000000001</v>
      </c>
      <c r="N104" s="64">
        <f t="shared" si="10"/>
        <v>3298759.6500000004</v>
      </c>
    </row>
    <row r="105" spans="3:14" ht="17.25" thickTop="1" thickBot="1">
      <c r="C105" s="70">
        <v>116373667110</v>
      </c>
      <c r="D105" s="79">
        <v>223064</v>
      </c>
      <c r="E105" s="80">
        <v>45285</v>
      </c>
      <c r="F105" s="65">
        <v>45290</v>
      </c>
      <c r="G105" s="65">
        <v>45297</v>
      </c>
      <c r="H105" s="61" t="s">
        <v>23</v>
      </c>
      <c r="I105" s="62">
        <f t="shared" si="8"/>
        <v>7</v>
      </c>
      <c r="J105" s="63" t="s">
        <v>49</v>
      </c>
      <c r="K105" s="58">
        <f>64*6+44*1</f>
        <v>428</v>
      </c>
      <c r="L105" s="59">
        <v>30.85</v>
      </c>
      <c r="M105" s="64">
        <f t="shared" si="9"/>
        <v>13203.800000000001</v>
      </c>
      <c r="N105" s="64">
        <f t="shared" si="10"/>
        <v>5651226.4000000004</v>
      </c>
    </row>
    <row r="106" spans="3:14" ht="17.25" thickTop="1" thickBot="1">
      <c r="C106" s="70">
        <v>116373662306</v>
      </c>
      <c r="D106" s="71">
        <v>223066</v>
      </c>
      <c r="E106" s="67">
        <v>45270</v>
      </c>
      <c r="F106" s="65">
        <v>45291</v>
      </c>
      <c r="G106" s="65">
        <v>45297</v>
      </c>
      <c r="H106" s="61" t="s">
        <v>23</v>
      </c>
      <c r="I106" s="62">
        <f t="shared" si="8"/>
        <v>6</v>
      </c>
      <c r="J106" s="63" t="s">
        <v>50</v>
      </c>
      <c r="K106" s="58">
        <f>66*5+46*1</f>
        <v>376</v>
      </c>
      <c r="L106" s="59">
        <v>30.85</v>
      </c>
      <c r="M106" s="64">
        <f t="shared" si="9"/>
        <v>11599.6</v>
      </c>
      <c r="N106" s="64">
        <f t="shared" si="10"/>
        <v>4361449.6000000006</v>
      </c>
    </row>
    <row r="107" spans="3:14" ht="17.25" thickTop="1" thickBot="1">
      <c r="C107" s="70">
        <v>116363665788</v>
      </c>
      <c r="D107" s="71">
        <v>223071</v>
      </c>
      <c r="E107" s="67">
        <v>45282</v>
      </c>
      <c r="F107" s="65">
        <v>45291</v>
      </c>
      <c r="G107" s="65">
        <v>45297</v>
      </c>
      <c r="H107" s="61" t="s">
        <v>23</v>
      </c>
      <c r="I107" s="62">
        <f t="shared" si="8"/>
        <v>6</v>
      </c>
      <c r="J107" s="63" t="s">
        <v>51</v>
      </c>
      <c r="K107" s="58">
        <f>64*5+44*1</f>
        <v>364</v>
      </c>
      <c r="L107" s="59">
        <v>30.85</v>
      </c>
      <c r="M107" s="64">
        <f t="shared" si="9"/>
        <v>11229.4</v>
      </c>
      <c r="N107" s="64">
        <f t="shared" si="10"/>
        <v>4087501.6</v>
      </c>
    </row>
    <row r="108" spans="3:14" ht="17.25" thickTop="1" thickBot="1">
      <c r="C108" s="70">
        <v>116333668601</v>
      </c>
      <c r="D108" s="71">
        <v>223072</v>
      </c>
      <c r="E108" s="67">
        <v>45288</v>
      </c>
      <c r="F108" s="65">
        <v>45290</v>
      </c>
      <c r="G108" s="65">
        <v>45297</v>
      </c>
      <c r="H108" s="61" t="s">
        <v>22</v>
      </c>
      <c r="I108" s="62">
        <f t="shared" si="8"/>
        <v>7</v>
      </c>
      <c r="J108" s="63" t="s">
        <v>45</v>
      </c>
      <c r="K108" s="58">
        <f>58*6+38*1</f>
        <v>386</v>
      </c>
      <c r="L108" s="59">
        <v>30.85</v>
      </c>
      <c r="M108" s="64">
        <f t="shared" si="9"/>
        <v>11908.1</v>
      </c>
      <c r="N108" s="64">
        <f t="shared" si="10"/>
        <v>4596526.6000000006</v>
      </c>
    </row>
    <row r="109" spans="3:14" ht="17.25" thickTop="1" thickBot="1">
      <c r="C109" s="70">
        <v>116393666481</v>
      </c>
      <c r="D109" s="71">
        <v>223076</v>
      </c>
      <c r="E109" s="67">
        <v>45279</v>
      </c>
      <c r="F109" s="65">
        <v>45290</v>
      </c>
      <c r="G109" s="65">
        <v>45297</v>
      </c>
      <c r="H109" s="61" t="s">
        <v>23</v>
      </c>
      <c r="I109" s="62">
        <f t="shared" si="8"/>
        <v>7</v>
      </c>
      <c r="J109" s="63" t="s">
        <v>50</v>
      </c>
      <c r="K109" s="58">
        <f>66*6+46*1</f>
        <v>442</v>
      </c>
      <c r="L109" s="59">
        <v>30.85</v>
      </c>
      <c r="M109" s="64">
        <f t="shared" si="9"/>
        <v>13635.7</v>
      </c>
      <c r="N109" s="64">
        <f t="shared" si="10"/>
        <v>6026979.4000000004</v>
      </c>
    </row>
    <row r="110" spans="3:14" ht="17.25" thickTop="1" thickBot="1">
      <c r="C110" s="70">
        <v>116383669412</v>
      </c>
      <c r="D110" s="71">
        <v>223085</v>
      </c>
      <c r="E110" s="67">
        <v>45288</v>
      </c>
      <c r="F110" s="65">
        <v>45290</v>
      </c>
      <c r="G110" s="65">
        <v>45297</v>
      </c>
      <c r="H110" s="61" t="s">
        <v>21</v>
      </c>
      <c r="I110" s="62">
        <f t="shared" si="8"/>
        <v>7</v>
      </c>
      <c r="J110" s="63" t="s">
        <v>52</v>
      </c>
      <c r="K110" s="58">
        <f>49*6+33*1</f>
        <v>327</v>
      </c>
      <c r="L110" s="59">
        <v>30.85</v>
      </c>
      <c r="M110" s="64">
        <f t="shared" si="9"/>
        <v>10087.950000000001</v>
      </c>
      <c r="N110" s="64">
        <f t="shared" si="10"/>
        <v>3298759.6500000004</v>
      </c>
    </row>
    <row r="111" spans="3:14" ht="17.25" thickTop="1" thickBot="1">
      <c r="C111" s="70">
        <v>116303666765</v>
      </c>
      <c r="D111" s="71">
        <v>223133</v>
      </c>
      <c r="E111" s="67">
        <v>45281</v>
      </c>
      <c r="F111" s="65">
        <v>45291</v>
      </c>
      <c r="G111" s="65">
        <v>45298</v>
      </c>
      <c r="H111" s="61" t="s">
        <v>20</v>
      </c>
      <c r="I111" s="62">
        <f t="shared" si="8"/>
        <v>7</v>
      </c>
      <c r="J111" s="63" t="s">
        <v>46</v>
      </c>
      <c r="K111" s="58">
        <f>46*5+30*2</f>
        <v>290</v>
      </c>
      <c r="L111" s="59">
        <v>30.85</v>
      </c>
      <c r="M111" s="64">
        <f t="shared" si="9"/>
        <v>8946.5</v>
      </c>
      <c r="N111" s="64">
        <f t="shared" si="10"/>
        <v>2594485</v>
      </c>
    </row>
    <row r="112" spans="3:14" ht="17.25" thickTop="1" thickBot="1">
      <c r="C112" s="70">
        <v>116383666787</v>
      </c>
      <c r="D112" s="71">
        <v>223142</v>
      </c>
      <c r="E112" s="67">
        <v>45288</v>
      </c>
      <c r="F112" s="65">
        <v>45289</v>
      </c>
      <c r="G112" s="65">
        <v>45298</v>
      </c>
      <c r="H112" s="61" t="s">
        <v>22</v>
      </c>
      <c r="I112" s="62">
        <f t="shared" si="8"/>
        <v>9</v>
      </c>
      <c r="J112" s="63" t="s">
        <v>45</v>
      </c>
      <c r="K112" s="58">
        <f>58*7+38*2</f>
        <v>482</v>
      </c>
      <c r="L112" s="59">
        <v>30.85</v>
      </c>
      <c r="M112" s="64">
        <f t="shared" si="9"/>
        <v>14869.7</v>
      </c>
      <c r="N112" s="64">
        <f t="shared" si="10"/>
        <v>7167195.4000000004</v>
      </c>
    </row>
    <row r="113" spans="3:14" ht="17.25" thickTop="1" thickBot="1">
      <c r="C113" s="70">
        <v>116383669610</v>
      </c>
      <c r="D113" s="71">
        <v>223146</v>
      </c>
      <c r="E113" s="67">
        <v>45287</v>
      </c>
      <c r="F113" s="65">
        <v>45289</v>
      </c>
      <c r="G113" s="65">
        <v>45298</v>
      </c>
      <c r="H113" s="61" t="s">
        <v>22</v>
      </c>
      <c r="I113" s="62">
        <f t="shared" si="8"/>
        <v>9</v>
      </c>
      <c r="J113" s="63" t="s">
        <v>45</v>
      </c>
      <c r="K113" s="58">
        <f>58*7+38*2</f>
        <v>482</v>
      </c>
      <c r="L113" s="59">
        <v>30.85</v>
      </c>
      <c r="M113" s="64">
        <f t="shared" si="9"/>
        <v>14869.7</v>
      </c>
      <c r="N113" s="64">
        <f t="shared" si="10"/>
        <v>7167195.4000000004</v>
      </c>
    </row>
    <row r="114" spans="3:14" ht="17.25" thickTop="1" thickBot="1">
      <c r="C114" s="70">
        <v>116333667437</v>
      </c>
      <c r="D114" s="71">
        <v>223147</v>
      </c>
      <c r="E114" s="65">
        <v>45281</v>
      </c>
      <c r="F114" s="65">
        <v>45289</v>
      </c>
      <c r="G114" s="65">
        <v>45298</v>
      </c>
      <c r="H114" s="61" t="s">
        <v>22</v>
      </c>
      <c r="I114" s="62">
        <f t="shared" si="8"/>
        <v>9</v>
      </c>
      <c r="J114" s="63" t="s">
        <v>45</v>
      </c>
      <c r="K114" s="58">
        <f>58*7+38*2</f>
        <v>482</v>
      </c>
      <c r="L114" s="59">
        <v>30.85</v>
      </c>
      <c r="M114" s="64">
        <f t="shared" si="9"/>
        <v>14869.7</v>
      </c>
      <c r="N114" s="64">
        <f t="shared" si="10"/>
        <v>7167195.4000000004</v>
      </c>
    </row>
    <row r="115" spans="3:14" ht="17.25" thickTop="1" thickBot="1">
      <c r="C115" s="70">
        <v>116303667427</v>
      </c>
      <c r="D115" s="79">
        <v>223148</v>
      </c>
      <c r="E115" s="80">
        <v>45281</v>
      </c>
      <c r="F115" s="65">
        <v>45291</v>
      </c>
      <c r="G115" s="65">
        <v>45298</v>
      </c>
      <c r="H115" s="61" t="s">
        <v>22</v>
      </c>
      <c r="I115" s="62">
        <f t="shared" si="8"/>
        <v>7</v>
      </c>
      <c r="J115" s="63" t="s">
        <v>57</v>
      </c>
      <c r="K115" s="58">
        <f>58*5+38*2</f>
        <v>366</v>
      </c>
      <c r="L115" s="59">
        <v>30.85</v>
      </c>
      <c r="M115" s="64">
        <f t="shared" si="9"/>
        <v>11291.1</v>
      </c>
      <c r="N115" s="64">
        <f t="shared" si="10"/>
        <v>4132542.6</v>
      </c>
    </row>
    <row r="116" spans="3:14" ht="17.25" thickTop="1" thickBot="1">
      <c r="C116" s="70">
        <v>116303667427</v>
      </c>
      <c r="D116" s="79">
        <v>223149</v>
      </c>
      <c r="E116" s="80">
        <v>45281</v>
      </c>
      <c r="F116" s="65">
        <v>45291</v>
      </c>
      <c r="G116" s="65">
        <v>45298</v>
      </c>
      <c r="H116" s="61" t="s">
        <v>22</v>
      </c>
      <c r="I116" s="62">
        <f t="shared" si="8"/>
        <v>7</v>
      </c>
      <c r="J116" s="63" t="s">
        <v>57</v>
      </c>
      <c r="K116" s="58">
        <f>58*5+38*2</f>
        <v>366</v>
      </c>
      <c r="L116" s="59">
        <v>30.85</v>
      </c>
      <c r="M116" s="64">
        <f t="shared" si="9"/>
        <v>11291.1</v>
      </c>
      <c r="N116" s="64">
        <f t="shared" si="10"/>
        <v>4132542.6</v>
      </c>
    </row>
    <row r="117" spans="3:14" ht="17.25" thickTop="1" thickBot="1">
      <c r="C117" s="70">
        <v>116323655075</v>
      </c>
      <c r="D117" s="73">
        <v>223151</v>
      </c>
      <c r="E117" s="65">
        <v>45254</v>
      </c>
      <c r="F117" s="65">
        <v>45291</v>
      </c>
      <c r="G117" s="65">
        <v>45298</v>
      </c>
      <c r="H117" s="61" t="s">
        <v>22</v>
      </c>
      <c r="I117" s="62">
        <f t="shared" si="8"/>
        <v>7</v>
      </c>
      <c r="J117" s="63" t="s">
        <v>53</v>
      </c>
      <c r="K117" s="58">
        <f>56*5+36*2</f>
        <v>352</v>
      </c>
      <c r="L117" s="59">
        <v>30.85</v>
      </c>
      <c r="M117" s="64">
        <f t="shared" si="9"/>
        <v>10859.2</v>
      </c>
      <c r="N117" s="64">
        <f t="shared" si="10"/>
        <v>3822438.4000000004</v>
      </c>
    </row>
    <row r="118" spans="3:14" ht="17.25" thickTop="1" thickBot="1">
      <c r="C118" s="70">
        <v>115323651162</v>
      </c>
      <c r="D118" s="73">
        <v>223153</v>
      </c>
      <c r="E118" s="65">
        <v>45288</v>
      </c>
      <c r="F118" s="65">
        <v>45291</v>
      </c>
      <c r="G118" s="65">
        <v>45298</v>
      </c>
      <c r="H118" s="61" t="s">
        <v>22</v>
      </c>
      <c r="I118" s="62">
        <f t="shared" si="8"/>
        <v>7</v>
      </c>
      <c r="J118" s="63" t="s">
        <v>45</v>
      </c>
      <c r="K118" s="58">
        <f>58*5+38*2</f>
        <v>366</v>
      </c>
      <c r="L118" s="59">
        <v>30.85</v>
      </c>
      <c r="M118" s="64">
        <f t="shared" si="9"/>
        <v>11291.1</v>
      </c>
      <c r="N118" s="64">
        <f t="shared" si="10"/>
        <v>4132542.6</v>
      </c>
    </row>
    <row r="119" spans="3:14" ht="17.25" thickTop="1" thickBot="1">
      <c r="C119" s="70">
        <v>115383650222</v>
      </c>
      <c r="D119" s="73">
        <v>223157</v>
      </c>
      <c r="E119" s="65">
        <v>45254</v>
      </c>
      <c r="F119" s="65">
        <v>45291</v>
      </c>
      <c r="G119" s="65">
        <v>45298</v>
      </c>
      <c r="H119" s="61" t="s">
        <v>22</v>
      </c>
      <c r="I119" s="62">
        <f t="shared" si="8"/>
        <v>7</v>
      </c>
      <c r="J119" s="63" t="s">
        <v>53</v>
      </c>
      <c r="K119" s="58">
        <f>56*5+36*2</f>
        <v>352</v>
      </c>
      <c r="L119" s="59">
        <v>30.85</v>
      </c>
      <c r="M119" s="64">
        <f t="shared" si="9"/>
        <v>10859.2</v>
      </c>
      <c r="N119" s="64">
        <f t="shared" si="10"/>
        <v>3822438.4000000004</v>
      </c>
    </row>
    <row r="120" spans="3:14" ht="17.25" thickTop="1" thickBot="1">
      <c r="C120" s="70">
        <v>116323653101</v>
      </c>
      <c r="D120" s="73">
        <v>223162</v>
      </c>
      <c r="E120" s="65">
        <v>45254</v>
      </c>
      <c r="F120" s="65">
        <v>45291</v>
      </c>
      <c r="G120" s="65">
        <v>45298</v>
      </c>
      <c r="H120" s="61" t="s">
        <v>22</v>
      </c>
      <c r="I120" s="62">
        <f t="shared" si="8"/>
        <v>7</v>
      </c>
      <c r="J120" s="63" t="s">
        <v>53</v>
      </c>
      <c r="K120" s="58">
        <f>56*5+36*2</f>
        <v>352</v>
      </c>
      <c r="L120" s="59">
        <v>30.85</v>
      </c>
      <c r="M120" s="64">
        <f t="shared" si="9"/>
        <v>10859.2</v>
      </c>
      <c r="N120" s="64">
        <f t="shared" si="10"/>
        <v>3822438.4000000004</v>
      </c>
    </row>
    <row r="121" spans="3:14" ht="17.25" thickTop="1" thickBot="1">
      <c r="C121" s="70">
        <v>116333651436</v>
      </c>
      <c r="D121" s="73">
        <v>223174</v>
      </c>
      <c r="E121" s="65">
        <v>45233</v>
      </c>
      <c r="F121" s="65">
        <v>45291</v>
      </c>
      <c r="G121" s="65">
        <v>45298</v>
      </c>
      <c r="H121" s="61" t="s">
        <v>22</v>
      </c>
      <c r="I121" s="62">
        <f t="shared" si="8"/>
        <v>7</v>
      </c>
      <c r="J121" s="63" t="s">
        <v>54</v>
      </c>
      <c r="K121" s="58">
        <f>74*5+48*2</f>
        <v>466</v>
      </c>
      <c r="L121" s="59">
        <v>30.85</v>
      </c>
      <c r="M121" s="64">
        <f t="shared" si="9"/>
        <v>14376.1</v>
      </c>
      <c r="N121" s="64">
        <f t="shared" si="10"/>
        <v>6699262.6000000006</v>
      </c>
    </row>
    <row r="122" spans="3:14" ht="17.25" thickTop="1" thickBot="1">
      <c r="C122" s="70">
        <v>116383654975</v>
      </c>
      <c r="D122" s="73">
        <v>223176</v>
      </c>
      <c r="E122" s="65">
        <v>45254</v>
      </c>
      <c r="F122" s="65">
        <v>45291</v>
      </c>
      <c r="G122" s="65">
        <v>45298</v>
      </c>
      <c r="H122" s="61" t="s">
        <v>22</v>
      </c>
      <c r="I122" s="62">
        <f t="shared" si="8"/>
        <v>7</v>
      </c>
      <c r="J122" s="63" t="s">
        <v>53</v>
      </c>
      <c r="K122" s="58">
        <f>56*5+36*2</f>
        <v>352</v>
      </c>
      <c r="L122" s="59">
        <v>30.85</v>
      </c>
      <c r="M122" s="64">
        <f t="shared" si="9"/>
        <v>10859.2</v>
      </c>
      <c r="N122" s="64">
        <f t="shared" si="10"/>
        <v>3822438.4000000004</v>
      </c>
    </row>
    <row r="123" spans="3:14" ht="17.25" thickTop="1" thickBot="1">
      <c r="C123" s="70">
        <v>116343669265</v>
      </c>
      <c r="D123" s="73">
        <v>223182</v>
      </c>
      <c r="E123" s="65">
        <v>45286</v>
      </c>
      <c r="F123" s="65">
        <v>45291</v>
      </c>
      <c r="G123" s="65">
        <v>45298</v>
      </c>
      <c r="H123" s="61" t="s">
        <v>23</v>
      </c>
      <c r="I123" s="62">
        <f t="shared" si="8"/>
        <v>7</v>
      </c>
      <c r="J123" s="63" t="s">
        <v>51</v>
      </c>
      <c r="K123" s="58">
        <f>64*5+44*2</f>
        <v>408</v>
      </c>
      <c r="L123" s="59">
        <v>30.85</v>
      </c>
      <c r="M123" s="64">
        <f t="shared" si="9"/>
        <v>12586.800000000001</v>
      </c>
      <c r="N123" s="64">
        <f t="shared" si="10"/>
        <v>5135414.4000000004</v>
      </c>
    </row>
    <row r="124" spans="3:14" ht="17.25" thickTop="1" thickBot="1">
      <c r="C124" s="70">
        <v>116303654236</v>
      </c>
      <c r="D124" s="73">
        <v>223185</v>
      </c>
      <c r="E124" s="65">
        <v>45254</v>
      </c>
      <c r="F124" s="65">
        <v>45291</v>
      </c>
      <c r="G124" s="65">
        <v>45298</v>
      </c>
      <c r="H124" s="61" t="s">
        <v>22</v>
      </c>
      <c r="I124" s="62">
        <f t="shared" si="8"/>
        <v>7</v>
      </c>
      <c r="J124" s="63" t="s">
        <v>53</v>
      </c>
      <c r="K124" s="58">
        <f>56*5+36*2</f>
        <v>352</v>
      </c>
      <c r="L124" s="59">
        <v>30.85</v>
      </c>
      <c r="M124" s="64">
        <f t="shared" si="9"/>
        <v>10859.2</v>
      </c>
      <c r="N124" s="64">
        <f t="shared" si="10"/>
        <v>3822438.4000000004</v>
      </c>
    </row>
    <row r="125" spans="3:14" ht="17.25" thickTop="1" thickBot="1">
      <c r="C125" s="70">
        <v>116303670038</v>
      </c>
      <c r="D125" s="71">
        <v>223189</v>
      </c>
      <c r="E125" s="65">
        <v>45290</v>
      </c>
      <c r="F125" s="65">
        <v>45291</v>
      </c>
      <c r="G125" s="65">
        <v>45298</v>
      </c>
      <c r="H125" s="61" t="s">
        <v>23</v>
      </c>
      <c r="I125" s="62">
        <f t="shared" si="8"/>
        <v>7</v>
      </c>
      <c r="J125" s="63" t="s">
        <v>51</v>
      </c>
      <c r="K125" s="58">
        <f>64*5+44*2</f>
        <v>408</v>
      </c>
      <c r="L125" s="59">
        <v>30.85</v>
      </c>
      <c r="M125" s="64">
        <f t="shared" si="9"/>
        <v>12586.800000000001</v>
      </c>
      <c r="N125" s="64">
        <f t="shared" si="10"/>
        <v>5135414.4000000004</v>
      </c>
    </row>
    <row r="126" spans="3:14" ht="17.25" thickTop="1" thickBot="1">
      <c r="C126" s="70">
        <v>116383666978</v>
      </c>
      <c r="D126" s="71">
        <v>223190</v>
      </c>
      <c r="E126" s="65">
        <v>45284</v>
      </c>
      <c r="F126" s="65">
        <v>45291</v>
      </c>
      <c r="G126" s="65">
        <v>45298</v>
      </c>
      <c r="H126" s="61" t="s">
        <v>20</v>
      </c>
      <c r="I126" s="62">
        <f t="shared" si="8"/>
        <v>7</v>
      </c>
      <c r="J126" s="63" t="s">
        <v>46</v>
      </c>
      <c r="K126" s="58">
        <f>46*5+30*2</f>
        <v>290</v>
      </c>
      <c r="L126" s="59">
        <v>30.85</v>
      </c>
      <c r="M126" s="64">
        <f t="shared" si="9"/>
        <v>8946.5</v>
      </c>
      <c r="N126" s="64">
        <f t="shared" si="10"/>
        <v>2594485</v>
      </c>
    </row>
    <row r="127" spans="3:14" ht="17.25" thickTop="1" thickBot="1">
      <c r="C127" s="70">
        <v>116353651520</v>
      </c>
      <c r="D127" s="71">
        <v>223191</v>
      </c>
      <c r="E127" s="65">
        <v>45236</v>
      </c>
      <c r="F127" s="65">
        <v>45291</v>
      </c>
      <c r="G127" s="65">
        <v>45298</v>
      </c>
      <c r="H127" s="61" t="s">
        <v>22</v>
      </c>
      <c r="I127" s="62">
        <f t="shared" si="8"/>
        <v>7</v>
      </c>
      <c r="J127" s="63" t="s">
        <v>55</v>
      </c>
      <c r="K127" s="58">
        <f>70*5+44*2</f>
        <v>438</v>
      </c>
      <c r="L127" s="59">
        <v>30.85</v>
      </c>
      <c r="M127" s="64">
        <f t="shared" si="9"/>
        <v>13512.300000000001</v>
      </c>
      <c r="N127" s="64">
        <f t="shared" si="10"/>
        <v>5918387.4000000004</v>
      </c>
    </row>
    <row r="128" spans="3:14" ht="17.25" thickTop="1" thickBot="1">
      <c r="C128" s="70">
        <v>115393651466</v>
      </c>
      <c r="D128" s="71">
        <v>223192</v>
      </c>
      <c r="E128" s="65">
        <v>45285</v>
      </c>
      <c r="F128" s="65">
        <v>45291</v>
      </c>
      <c r="G128" s="65">
        <v>45298</v>
      </c>
      <c r="H128" s="61" t="s">
        <v>22</v>
      </c>
      <c r="I128" s="62">
        <f t="shared" si="8"/>
        <v>7</v>
      </c>
      <c r="J128" s="63" t="s">
        <v>45</v>
      </c>
      <c r="K128" s="58">
        <f>58*5+38*2</f>
        <v>366</v>
      </c>
      <c r="L128" s="59">
        <v>30.85</v>
      </c>
      <c r="M128" s="64">
        <f t="shared" si="9"/>
        <v>11291.1</v>
      </c>
      <c r="N128" s="64">
        <f t="shared" si="10"/>
        <v>4132542.6</v>
      </c>
    </row>
    <row r="129" spans="3:14" ht="17.25" thickTop="1" thickBot="1">
      <c r="C129" s="70">
        <v>116343668862</v>
      </c>
      <c r="D129" s="71">
        <v>223197</v>
      </c>
      <c r="E129" s="65">
        <v>45285</v>
      </c>
      <c r="F129" s="65">
        <v>45291</v>
      </c>
      <c r="G129" s="65">
        <v>45298</v>
      </c>
      <c r="H129" s="61" t="s">
        <v>22</v>
      </c>
      <c r="I129" s="62">
        <f t="shared" si="8"/>
        <v>7</v>
      </c>
      <c r="J129" s="63" t="s">
        <v>45</v>
      </c>
      <c r="K129" s="58">
        <f>58*5+38*2</f>
        <v>366</v>
      </c>
      <c r="L129" s="59">
        <v>30.85</v>
      </c>
      <c r="M129" s="64">
        <f t="shared" si="9"/>
        <v>11291.1</v>
      </c>
      <c r="N129" s="64">
        <f t="shared" si="10"/>
        <v>4132542.6</v>
      </c>
    </row>
    <row r="130" spans="3:14" ht="17.25" thickTop="1" thickBot="1">
      <c r="C130" s="70">
        <v>116394104517</v>
      </c>
      <c r="D130" s="71">
        <v>223204</v>
      </c>
      <c r="E130" s="65">
        <v>45286</v>
      </c>
      <c r="F130" s="65">
        <v>45293</v>
      </c>
      <c r="G130" s="65">
        <v>45299</v>
      </c>
      <c r="H130" s="61" t="s">
        <v>22</v>
      </c>
      <c r="I130" s="62">
        <f t="shared" ref="I130:I193" si="11">+G130-F130</f>
        <v>6</v>
      </c>
      <c r="J130" s="63" t="s">
        <v>45</v>
      </c>
      <c r="K130" s="58">
        <f>58*3+38*3</f>
        <v>288</v>
      </c>
      <c r="L130" s="59">
        <v>30.85</v>
      </c>
      <c r="M130" s="64">
        <f t="shared" ref="M130:M193" si="12">+K130*L130</f>
        <v>8884.8000000000011</v>
      </c>
      <c r="N130" s="64">
        <f t="shared" ref="N130:N193" si="13">+K130*M130</f>
        <v>2558822.4000000004</v>
      </c>
    </row>
    <row r="131" spans="3:14" ht="17.25" thickTop="1" thickBot="1">
      <c r="C131" s="70">
        <v>116364106266</v>
      </c>
      <c r="D131" s="71">
        <v>223249</v>
      </c>
      <c r="E131" s="65">
        <v>45289</v>
      </c>
      <c r="F131" s="65">
        <v>45293</v>
      </c>
      <c r="G131" s="65">
        <v>45300</v>
      </c>
      <c r="H131" s="61" t="s">
        <v>22</v>
      </c>
      <c r="I131" s="62">
        <f t="shared" si="11"/>
        <v>7</v>
      </c>
      <c r="J131" s="63" t="s">
        <v>45</v>
      </c>
      <c r="K131" s="58">
        <f>58*3+38*4</f>
        <v>326</v>
      </c>
      <c r="L131" s="59">
        <v>30.85</v>
      </c>
      <c r="M131" s="64">
        <f t="shared" si="12"/>
        <v>10057.1</v>
      </c>
      <c r="N131" s="64">
        <f t="shared" si="13"/>
        <v>3278614.6</v>
      </c>
    </row>
    <row r="132" spans="3:14" ht="17.25" thickTop="1" thickBot="1">
      <c r="C132" s="70">
        <v>116344104505</v>
      </c>
      <c r="D132" s="71">
        <v>223256</v>
      </c>
      <c r="E132" s="65">
        <v>45287</v>
      </c>
      <c r="F132" s="65">
        <v>45294</v>
      </c>
      <c r="G132" s="65">
        <v>45300</v>
      </c>
      <c r="H132" s="61" t="s">
        <v>22</v>
      </c>
      <c r="I132" s="62">
        <f t="shared" si="11"/>
        <v>6</v>
      </c>
      <c r="J132" s="63" t="s">
        <v>45</v>
      </c>
      <c r="K132" s="58">
        <f>58*2+38*4</f>
        <v>268</v>
      </c>
      <c r="L132" s="59">
        <v>30.85</v>
      </c>
      <c r="M132" s="64">
        <f t="shared" si="12"/>
        <v>8267.8000000000011</v>
      </c>
      <c r="N132" s="64">
        <f t="shared" si="13"/>
        <v>2215770.4000000004</v>
      </c>
    </row>
    <row r="133" spans="3:14" ht="17.25" thickTop="1" thickBot="1">
      <c r="C133" s="70">
        <v>116324104763</v>
      </c>
      <c r="D133" s="71">
        <v>223265</v>
      </c>
      <c r="E133" s="65">
        <v>45287</v>
      </c>
      <c r="F133" s="65">
        <v>45294</v>
      </c>
      <c r="G133" s="65">
        <v>45300</v>
      </c>
      <c r="H133" s="61" t="s">
        <v>22</v>
      </c>
      <c r="I133" s="62">
        <f t="shared" si="11"/>
        <v>6</v>
      </c>
      <c r="J133" s="63" t="s">
        <v>45</v>
      </c>
      <c r="K133" s="58">
        <f>58*2+38*4</f>
        <v>268</v>
      </c>
      <c r="L133" s="59">
        <v>30.85</v>
      </c>
      <c r="M133" s="64">
        <f t="shared" si="12"/>
        <v>8267.8000000000011</v>
      </c>
      <c r="N133" s="64">
        <f t="shared" si="13"/>
        <v>2215770.4000000004</v>
      </c>
    </row>
    <row r="134" spans="3:14" ht="17.25" thickTop="1" thickBot="1">
      <c r="C134" s="70">
        <v>116303669483</v>
      </c>
      <c r="D134" s="71">
        <v>223266</v>
      </c>
      <c r="E134" s="65">
        <v>45285</v>
      </c>
      <c r="F134" s="65">
        <v>45291</v>
      </c>
      <c r="G134" s="65">
        <v>45300</v>
      </c>
      <c r="H134" s="61" t="s">
        <v>22</v>
      </c>
      <c r="I134" s="62">
        <f t="shared" si="11"/>
        <v>9</v>
      </c>
      <c r="J134" s="63" t="s">
        <v>45</v>
      </c>
      <c r="K134" s="58">
        <f>58*5+38*4</f>
        <v>442</v>
      </c>
      <c r="L134" s="59">
        <v>30.85</v>
      </c>
      <c r="M134" s="64">
        <f t="shared" si="12"/>
        <v>13635.7</v>
      </c>
      <c r="N134" s="64">
        <f t="shared" si="13"/>
        <v>6026979.4000000004</v>
      </c>
    </row>
    <row r="135" spans="3:14" ht="17.25" thickTop="1" thickBot="1">
      <c r="C135" s="70">
        <v>115353650977</v>
      </c>
      <c r="D135" s="71">
        <v>223279</v>
      </c>
      <c r="E135" s="65">
        <v>45282</v>
      </c>
      <c r="F135" s="65">
        <v>45291</v>
      </c>
      <c r="G135" s="65">
        <v>45300</v>
      </c>
      <c r="H135" s="61" t="s">
        <v>22</v>
      </c>
      <c r="I135" s="62">
        <f t="shared" si="11"/>
        <v>9</v>
      </c>
      <c r="J135" s="63" t="s">
        <v>45</v>
      </c>
      <c r="K135" s="58">
        <f>58*5+38*4</f>
        <v>442</v>
      </c>
      <c r="L135" s="59">
        <v>30.85</v>
      </c>
      <c r="M135" s="64">
        <f t="shared" si="12"/>
        <v>13635.7</v>
      </c>
      <c r="N135" s="64">
        <f t="shared" si="13"/>
        <v>6026979.4000000004</v>
      </c>
    </row>
    <row r="136" spans="3:14" ht="17.25" thickTop="1" thickBot="1">
      <c r="C136" s="70">
        <v>116334105587</v>
      </c>
      <c r="D136" s="71">
        <v>223282</v>
      </c>
      <c r="E136" s="65">
        <v>45289</v>
      </c>
      <c r="F136" s="65">
        <v>45294</v>
      </c>
      <c r="G136" s="65">
        <v>45300</v>
      </c>
      <c r="H136" s="61" t="s">
        <v>20</v>
      </c>
      <c r="I136" s="62">
        <f t="shared" si="11"/>
        <v>6</v>
      </c>
      <c r="J136" s="63" t="s">
        <v>46</v>
      </c>
      <c r="K136" s="58">
        <f>46*2+30*4</f>
        <v>212</v>
      </c>
      <c r="L136" s="59">
        <v>30.85</v>
      </c>
      <c r="M136" s="64">
        <f t="shared" si="12"/>
        <v>6540.2000000000007</v>
      </c>
      <c r="N136" s="64">
        <f t="shared" si="13"/>
        <v>1386522.4000000001</v>
      </c>
    </row>
    <row r="137" spans="3:14" ht="17.25" thickTop="1" thickBot="1">
      <c r="C137" s="70">
        <v>116373666151</v>
      </c>
      <c r="D137" s="71">
        <v>223285</v>
      </c>
      <c r="E137" s="65">
        <v>45281</v>
      </c>
      <c r="F137" s="65">
        <v>45290</v>
      </c>
      <c r="G137" s="65">
        <v>45300</v>
      </c>
      <c r="H137" s="61" t="s">
        <v>23</v>
      </c>
      <c r="I137" s="62">
        <f t="shared" si="11"/>
        <v>10</v>
      </c>
      <c r="J137" s="63" t="s">
        <v>51</v>
      </c>
      <c r="K137" s="58">
        <f>64*6+44*4</f>
        <v>560</v>
      </c>
      <c r="L137" s="59">
        <v>30.85</v>
      </c>
      <c r="M137" s="64">
        <f t="shared" si="12"/>
        <v>17276</v>
      </c>
      <c r="N137" s="64">
        <f t="shared" si="13"/>
        <v>9674560</v>
      </c>
    </row>
    <row r="138" spans="3:14" ht="17.25" thickTop="1" thickBot="1">
      <c r="C138" s="70">
        <v>116334104139</v>
      </c>
      <c r="D138" s="71">
        <v>223304</v>
      </c>
      <c r="E138" s="65">
        <v>45285</v>
      </c>
      <c r="F138" s="65">
        <v>45294</v>
      </c>
      <c r="G138" s="65">
        <v>45301</v>
      </c>
      <c r="H138" s="61" t="s">
        <v>22</v>
      </c>
      <c r="I138" s="62">
        <f t="shared" si="11"/>
        <v>7</v>
      </c>
      <c r="J138" s="63" t="s">
        <v>45</v>
      </c>
      <c r="K138" s="58">
        <f>58*2+38*5</f>
        <v>306</v>
      </c>
      <c r="L138" s="59">
        <v>30.85</v>
      </c>
      <c r="M138" s="64">
        <f t="shared" si="12"/>
        <v>9440.1</v>
      </c>
      <c r="N138" s="64">
        <f t="shared" si="13"/>
        <v>2888670.6</v>
      </c>
    </row>
    <row r="139" spans="3:14" ht="17.25" thickTop="1" thickBot="1">
      <c r="C139" s="70">
        <v>116314107541</v>
      </c>
      <c r="D139" s="71">
        <v>223308</v>
      </c>
      <c r="E139" s="65">
        <v>45294</v>
      </c>
      <c r="F139" s="65">
        <v>45297</v>
      </c>
      <c r="G139" s="65">
        <v>45301</v>
      </c>
      <c r="H139" s="61" t="s">
        <v>20</v>
      </c>
      <c r="I139" s="62">
        <f t="shared" si="11"/>
        <v>4</v>
      </c>
      <c r="J139" s="63">
        <v>30</v>
      </c>
      <c r="K139" s="58">
        <f t="shared" ref="K139:K198" si="14">+J139*I139</f>
        <v>120</v>
      </c>
      <c r="L139" s="59">
        <v>30.85</v>
      </c>
      <c r="M139" s="64">
        <f t="shared" si="12"/>
        <v>3702</v>
      </c>
      <c r="N139" s="64">
        <f t="shared" si="13"/>
        <v>444240</v>
      </c>
    </row>
    <row r="140" spans="3:14" ht="17.25" thickTop="1" thickBot="1">
      <c r="C140" s="70">
        <v>116334104894</v>
      </c>
      <c r="D140" s="71">
        <v>223320</v>
      </c>
      <c r="E140" s="65">
        <v>45287</v>
      </c>
      <c r="F140" s="65">
        <v>45295</v>
      </c>
      <c r="G140" s="65">
        <v>45301</v>
      </c>
      <c r="H140" s="61" t="s">
        <v>22</v>
      </c>
      <c r="I140" s="62">
        <f t="shared" si="11"/>
        <v>6</v>
      </c>
      <c r="J140" s="63" t="s">
        <v>45</v>
      </c>
      <c r="K140" s="58">
        <f>58*1+38*5</f>
        <v>248</v>
      </c>
      <c r="L140" s="59">
        <v>30.85</v>
      </c>
      <c r="M140" s="64">
        <f t="shared" si="12"/>
        <v>7650.8</v>
      </c>
      <c r="N140" s="64">
        <f t="shared" si="13"/>
        <v>1897398.4000000001</v>
      </c>
    </row>
    <row r="141" spans="3:14" ht="17.25" thickTop="1" thickBot="1">
      <c r="C141" s="70">
        <v>116334106393</v>
      </c>
      <c r="D141" s="79">
        <v>223327</v>
      </c>
      <c r="E141" s="80">
        <v>45293</v>
      </c>
      <c r="F141" s="65">
        <v>45295</v>
      </c>
      <c r="G141" s="65">
        <v>45301</v>
      </c>
      <c r="H141" s="61" t="s">
        <v>20</v>
      </c>
      <c r="I141" s="62">
        <f t="shared" si="11"/>
        <v>6</v>
      </c>
      <c r="J141" s="63" t="s">
        <v>46</v>
      </c>
      <c r="K141" s="58">
        <f>46*1+30*5</f>
        <v>196</v>
      </c>
      <c r="L141" s="59">
        <v>30.85</v>
      </c>
      <c r="M141" s="64">
        <f t="shared" si="12"/>
        <v>6046.6</v>
      </c>
      <c r="N141" s="64">
        <f t="shared" si="13"/>
        <v>1185133.6000000001</v>
      </c>
    </row>
    <row r="142" spans="3:14" ht="17.25" thickTop="1" thickBot="1">
      <c r="C142" s="70">
        <v>116324105784</v>
      </c>
      <c r="D142" s="71">
        <v>223336</v>
      </c>
      <c r="E142" s="65">
        <v>45289</v>
      </c>
      <c r="F142" s="65">
        <v>45295</v>
      </c>
      <c r="G142" s="65">
        <v>45302</v>
      </c>
      <c r="H142" s="61" t="s">
        <v>23</v>
      </c>
      <c r="I142" s="62">
        <f t="shared" si="11"/>
        <v>7</v>
      </c>
      <c r="J142" s="63" t="s">
        <v>51</v>
      </c>
      <c r="K142" s="58">
        <f>1*64+6*44</f>
        <v>328</v>
      </c>
      <c r="L142" s="59">
        <v>30.85</v>
      </c>
      <c r="M142" s="64">
        <f t="shared" si="12"/>
        <v>10118.800000000001</v>
      </c>
      <c r="N142" s="64">
        <f t="shared" si="13"/>
        <v>3318966.4000000004</v>
      </c>
    </row>
    <row r="143" spans="3:14" ht="17.25" thickTop="1" thickBot="1">
      <c r="C143" s="70">
        <v>116324105784</v>
      </c>
      <c r="D143" s="71">
        <v>223337</v>
      </c>
      <c r="E143" s="65">
        <v>45289</v>
      </c>
      <c r="F143" s="65">
        <v>45295</v>
      </c>
      <c r="G143" s="65">
        <v>45302</v>
      </c>
      <c r="H143" s="61" t="s">
        <v>22</v>
      </c>
      <c r="I143" s="62">
        <f t="shared" si="11"/>
        <v>7</v>
      </c>
      <c r="J143" s="63" t="s">
        <v>45</v>
      </c>
      <c r="K143" s="58">
        <f>1*58+6*38</f>
        <v>286</v>
      </c>
      <c r="L143" s="59">
        <v>30.85</v>
      </c>
      <c r="M143" s="64">
        <f t="shared" si="12"/>
        <v>8823.1</v>
      </c>
      <c r="N143" s="64">
        <f t="shared" si="13"/>
        <v>2523406.6</v>
      </c>
    </row>
    <row r="144" spans="3:14" ht="17.25" thickTop="1" thickBot="1">
      <c r="C144" s="70">
        <v>116344104581</v>
      </c>
      <c r="D144" s="71">
        <v>223338</v>
      </c>
      <c r="E144" s="65">
        <v>45286</v>
      </c>
      <c r="F144" s="65">
        <v>45293</v>
      </c>
      <c r="G144" s="65">
        <v>45302</v>
      </c>
      <c r="H144" s="61" t="s">
        <v>22</v>
      </c>
      <c r="I144" s="62">
        <f t="shared" si="11"/>
        <v>9</v>
      </c>
      <c r="J144" s="63" t="s">
        <v>45</v>
      </c>
      <c r="K144" s="58">
        <f>3*58+6*38</f>
        <v>402</v>
      </c>
      <c r="L144" s="59">
        <v>30.85</v>
      </c>
      <c r="M144" s="64">
        <f t="shared" si="12"/>
        <v>12401.7</v>
      </c>
      <c r="N144" s="64">
        <f t="shared" si="13"/>
        <v>4985483.4000000004</v>
      </c>
    </row>
    <row r="145" spans="1:15" ht="17.25" thickTop="1" thickBot="1">
      <c r="C145" s="70">
        <v>116374106083</v>
      </c>
      <c r="D145" s="71">
        <v>223339</v>
      </c>
      <c r="E145" s="65">
        <v>45289</v>
      </c>
      <c r="F145" s="65">
        <v>45295</v>
      </c>
      <c r="G145" s="65">
        <v>45302</v>
      </c>
      <c r="H145" s="61" t="s">
        <v>22</v>
      </c>
      <c r="I145" s="62">
        <f t="shared" si="11"/>
        <v>7</v>
      </c>
      <c r="J145" s="63" t="s">
        <v>45</v>
      </c>
      <c r="K145" s="58">
        <f>1*58+6*38</f>
        <v>286</v>
      </c>
      <c r="L145" s="59">
        <v>30.85</v>
      </c>
      <c r="M145" s="64">
        <f t="shared" si="12"/>
        <v>8823.1</v>
      </c>
      <c r="N145" s="64">
        <f t="shared" si="13"/>
        <v>2523406.6</v>
      </c>
    </row>
    <row r="146" spans="1:15" ht="17.25" thickTop="1" thickBot="1">
      <c r="C146" s="70">
        <v>116374104720</v>
      </c>
      <c r="D146" s="71">
        <v>223340</v>
      </c>
      <c r="E146" s="65">
        <v>45288</v>
      </c>
      <c r="F146" s="65">
        <v>45295</v>
      </c>
      <c r="G146" s="65">
        <v>45302</v>
      </c>
      <c r="H146" s="61" t="s">
        <v>22</v>
      </c>
      <c r="I146" s="62">
        <f t="shared" si="11"/>
        <v>7</v>
      </c>
      <c r="J146" s="63" t="s">
        <v>45</v>
      </c>
      <c r="K146" s="58">
        <f>1*58+6*38</f>
        <v>286</v>
      </c>
      <c r="L146" s="59">
        <v>30.85</v>
      </c>
      <c r="M146" s="64">
        <f t="shared" si="12"/>
        <v>8823.1</v>
      </c>
      <c r="N146" s="64">
        <f t="shared" si="13"/>
        <v>2523406.6</v>
      </c>
    </row>
    <row r="147" spans="1:15" ht="17.25" thickTop="1" thickBot="1">
      <c r="C147" s="70">
        <v>116304103146</v>
      </c>
      <c r="D147" s="79">
        <v>223341</v>
      </c>
      <c r="E147" s="80">
        <v>45281</v>
      </c>
      <c r="F147" s="65">
        <v>45295</v>
      </c>
      <c r="G147" s="65">
        <v>45302</v>
      </c>
      <c r="H147" s="61" t="s">
        <v>22</v>
      </c>
      <c r="I147" s="62">
        <f t="shared" si="11"/>
        <v>7</v>
      </c>
      <c r="J147" s="63" t="s">
        <v>45</v>
      </c>
      <c r="K147" s="58">
        <f>1*58+6*38</f>
        <v>286</v>
      </c>
      <c r="L147" s="59">
        <v>30.85</v>
      </c>
      <c r="M147" s="64">
        <f t="shared" si="12"/>
        <v>8823.1</v>
      </c>
      <c r="N147" s="64">
        <f t="shared" si="13"/>
        <v>2523406.6</v>
      </c>
    </row>
    <row r="148" spans="1:15" ht="17.25" thickTop="1" thickBot="1">
      <c r="C148" s="70">
        <v>116303656339</v>
      </c>
      <c r="D148" s="79">
        <v>223400</v>
      </c>
      <c r="E148" s="80">
        <v>45276</v>
      </c>
      <c r="F148" s="65">
        <v>45290</v>
      </c>
      <c r="G148" s="65">
        <v>45302</v>
      </c>
      <c r="H148" s="61" t="s">
        <v>22</v>
      </c>
      <c r="I148" s="62">
        <f t="shared" si="11"/>
        <v>12</v>
      </c>
      <c r="J148" s="63" t="s">
        <v>56</v>
      </c>
      <c r="K148" s="58">
        <f>6*60+6*40</f>
        <v>600</v>
      </c>
      <c r="L148" s="59">
        <v>30.85</v>
      </c>
      <c r="M148" s="64">
        <f t="shared" si="12"/>
        <v>18510</v>
      </c>
      <c r="N148" s="64">
        <f t="shared" si="13"/>
        <v>11106000</v>
      </c>
    </row>
    <row r="149" spans="1:15" ht="17.25" thickTop="1" thickBot="1">
      <c r="C149" s="70">
        <v>116364102725</v>
      </c>
      <c r="D149" s="71">
        <v>223423</v>
      </c>
      <c r="E149" s="65">
        <v>45281</v>
      </c>
      <c r="F149" s="65">
        <v>45296</v>
      </c>
      <c r="G149" s="65">
        <v>45303</v>
      </c>
      <c r="H149" s="61" t="s">
        <v>22</v>
      </c>
      <c r="I149" s="62">
        <f t="shared" si="11"/>
        <v>7</v>
      </c>
      <c r="J149" s="63">
        <v>38</v>
      </c>
      <c r="K149" s="58">
        <f t="shared" si="14"/>
        <v>266</v>
      </c>
      <c r="L149" s="59">
        <v>30.85</v>
      </c>
      <c r="M149" s="64">
        <f t="shared" si="12"/>
        <v>8206.1</v>
      </c>
      <c r="N149" s="64">
        <f t="shared" si="13"/>
        <v>2182822.6</v>
      </c>
    </row>
    <row r="150" spans="1:15" ht="17.25" thickTop="1" thickBot="1">
      <c r="C150" s="70">
        <v>116334101510</v>
      </c>
      <c r="D150" s="71">
        <v>223425</v>
      </c>
      <c r="E150" s="65">
        <v>45270</v>
      </c>
      <c r="F150" s="65">
        <v>45293</v>
      </c>
      <c r="G150" s="65">
        <v>45303</v>
      </c>
      <c r="H150" s="61" t="s">
        <v>22</v>
      </c>
      <c r="I150" s="62">
        <f t="shared" si="11"/>
        <v>10</v>
      </c>
      <c r="J150" s="63" t="s">
        <v>44</v>
      </c>
      <c r="K150" s="58">
        <f>60*3+40*7</f>
        <v>460</v>
      </c>
      <c r="L150" s="59">
        <v>30.85</v>
      </c>
      <c r="M150" s="64">
        <f t="shared" si="12"/>
        <v>14191</v>
      </c>
      <c r="N150" s="64">
        <f t="shared" si="13"/>
        <v>6527860</v>
      </c>
    </row>
    <row r="151" spans="1:15" ht="17.25" thickTop="1" thickBot="1">
      <c r="A151" s="13"/>
      <c r="B151" s="14">
        <v>1</v>
      </c>
      <c r="C151" s="70">
        <v>116324102493</v>
      </c>
      <c r="D151" s="71">
        <v>223450</v>
      </c>
      <c r="E151" s="65">
        <v>45278</v>
      </c>
      <c r="F151" s="65">
        <v>45296</v>
      </c>
      <c r="G151" s="65">
        <v>45303</v>
      </c>
      <c r="H151" s="61" t="s">
        <v>23</v>
      </c>
      <c r="I151" s="62">
        <f t="shared" si="11"/>
        <v>7</v>
      </c>
      <c r="J151" s="63">
        <v>46</v>
      </c>
      <c r="K151" s="58">
        <f t="shared" si="14"/>
        <v>322</v>
      </c>
      <c r="L151" s="59">
        <v>30.85</v>
      </c>
      <c r="M151" s="64">
        <f t="shared" si="12"/>
        <v>9933.7000000000007</v>
      </c>
      <c r="N151" s="60">
        <f t="shared" si="13"/>
        <v>3198651.4000000004</v>
      </c>
      <c r="O151" s="23">
        <f t="shared" ref="O151:O214" si="15">+M151/1.14</f>
        <v>8713.7719298245629</v>
      </c>
    </row>
    <row r="152" spans="1:15" ht="17.25" thickTop="1" thickBot="1">
      <c r="A152" s="13"/>
      <c r="B152" s="10">
        <v>2</v>
      </c>
      <c r="C152" s="70">
        <v>116364105115</v>
      </c>
      <c r="D152" s="71">
        <v>223451</v>
      </c>
      <c r="E152" s="65">
        <v>45289</v>
      </c>
      <c r="F152" s="65">
        <v>45297</v>
      </c>
      <c r="G152" s="65">
        <v>45303</v>
      </c>
      <c r="H152" s="61" t="s">
        <v>22</v>
      </c>
      <c r="I152" s="62">
        <f t="shared" si="11"/>
        <v>6</v>
      </c>
      <c r="J152" s="63">
        <v>38</v>
      </c>
      <c r="K152" s="58">
        <f t="shared" si="14"/>
        <v>228</v>
      </c>
      <c r="L152" s="59">
        <v>30.85</v>
      </c>
      <c r="M152" s="64">
        <f t="shared" si="12"/>
        <v>7033.8</v>
      </c>
      <c r="N152" s="64">
        <f t="shared" si="13"/>
        <v>1603706.4000000001</v>
      </c>
      <c r="O152" s="24">
        <f t="shared" si="15"/>
        <v>6170.0000000000009</v>
      </c>
    </row>
    <row r="153" spans="1:15" ht="17.25" thickTop="1" thickBot="1">
      <c r="A153" s="15"/>
      <c r="B153" s="10">
        <f>+B152+1</f>
        <v>3</v>
      </c>
      <c r="C153" s="70">
        <v>116314106162</v>
      </c>
      <c r="D153" s="71">
        <v>223458</v>
      </c>
      <c r="E153" s="65">
        <v>45290</v>
      </c>
      <c r="F153" s="65">
        <v>45296</v>
      </c>
      <c r="G153" s="65">
        <v>45303</v>
      </c>
      <c r="H153" s="61" t="s">
        <v>20</v>
      </c>
      <c r="I153" s="62">
        <f t="shared" si="11"/>
        <v>7</v>
      </c>
      <c r="J153" s="63">
        <v>30</v>
      </c>
      <c r="K153" s="58">
        <f t="shared" si="14"/>
        <v>210</v>
      </c>
      <c r="L153" s="59">
        <v>30.85</v>
      </c>
      <c r="M153" s="64">
        <f t="shared" si="12"/>
        <v>6478.5</v>
      </c>
      <c r="N153" s="64">
        <f t="shared" si="13"/>
        <v>1360485</v>
      </c>
      <c r="O153" s="24">
        <f t="shared" si="15"/>
        <v>5682.8947368421059</v>
      </c>
    </row>
    <row r="154" spans="1:15" ht="17.25" thickTop="1" thickBot="1">
      <c r="B154" s="10">
        <f>+B153+1</f>
        <v>4</v>
      </c>
      <c r="C154" s="70">
        <v>116394105989</v>
      </c>
      <c r="D154" s="71">
        <v>223471</v>
      </c>
      <c r="E154" s="65">
        <v>45290</v>
      </c>
      <c r="F154" s="65">
        <v>45297</v>
      </c>
      <c r="G154" s="65">
        <v>45303</v>
      </c>
      <c r="H154" s="61" t="s">
        <v>22</v>
      </c>
      <c r="I154" s="62">
        <f t="shared" si="11"/>
        <v>6</v>
      </c>
      <c r="J154" s="63">
        <v>38</v>
      </c>
      <c r="K154" s="58">
        <f t="shared" si="14"/>
        <v>228</v>
      </c>
      <c r="L154" s="59">
        <v>30.85</v>
      </c>
      <c r="M154" s="64">
        <f t="shared" si="12"/>
        <v>7033.8</v>
      </c>
      <c r="N154" s="64">
        <f t="shared" si="13"/>
        <v>1603706.4000000001</v>
      </c>
      <c r="O154" s="24">
        <f t="shared" si="15"/>
        <v>6170.0000000000009</v>
      </c>
    </row>
    <row r="155" spans="1:15" ht="17.25" thickTop="1" thickBot="1">
      <c r="B155" s="10">
        <f>+B154+1</f>
        <v>5</v>
      </c>
      <c r="C155" s="70">
        <v>116354104353</v>
      </c>
      <c r="D155" s="71">
        <v>223475</v>
      </c>
      <c r="E155" s="65">
        <v>45286</v>
      </c>
      <c r="F155" s="65">
        <v>45296</v>
      </c>
      <c r="G155" s="65">
        <v>45303</v>
      </c>
      <c r="H155" s="61" t="s">
        <v>22</v>
      </c>
      <c r="I155" s="62">
        <f t="shared" si="11"/>
        <v>7</v>
      </c>
      <c r="J155" s="63">
        <v>38</v>
      </c>
      <c r="K155" s="58">
        <f t="shared" si="14"/>
        <v>266</v>
      </c>
      <c r="L155" s="59">
        <v>30.85</v>
      </c>
      <c r="M155" s="64">
        <f t="shared" si="12"/>
        <v>8206.1</v>
      </c>
      <c r="N155" s="64">
        <f t="shared" si="13"/>
        <v>2182822.6</v>
      </c>
      <c r="O155" s="24">
        <f t="shared" si="15"/>
        <v>7198.3333333333339</v>
      </c>
    </row>
    <row r="156" spans="1:15" ht="17.25" thickTop="1" thickBot="1">
      <c r="B156" s="10">
        <f t="shared" ref="B156:B179" si="16">+B155+1</f>
        <v>6</v>
      </c>
      <c r="C156" s="70">
        <v>116304109919</v>
      </c>
      <c r="D156" s="71">
        <v>223506</v>
      </c>
      <c r="E156" s="65">
        <v>45301</v>
      </c>
      <c r="F156" s="65">
        <v>45302</v>
      </c>
      <c r="G156" s="65">
        <v>45303</v>
      </c>
      <c r="H156" s="61" t="s">
        <v>21</v>
      </c>
      <c r="I156" s="62">
        <f t="shared" si="11"/>
        <v>1</v>
      </c>
      <c r="J156" s="63">
        <v>33</v>
      </c>
      <c r="K156" s="58">
        <f t="shared" si="14"/>
        <v>33</v>
      </c>
      <c r="L156" s="59">
        <v>30.85</v>
      </c>
      <c r="M156" s="64">
        <f t="shared" si="12"/>
        <v>1018.0500000000001</v>
      </c>
      <c r="N156" s="64">
        <f t="shared" si="13"/>
        <v>33595.65</v>
      </c>
      <c r="O156" s="24">
        <f t="shared" si="15"/>
        <v>893.02631578947387</v>
      </c>
    </row>
    <row r="157" spans="1:15" ht="17.25" thickTop="1" thickBot="1">
      <c r="B157" s="10">
        <f t="shared" si="16"/>
        <v>7</v>
      </c>
      <c r="C157" s="70">
        <v>116314105387</v>
      </c>
      <c r="D157" s="71">
        <v>223508</v>
      </c>
      <c r="E157" s="65">
        <v>45289</v>
      </c>
      <c r="F157" s="65">
        <v>45297</v>
      </c>
      <c r="G157" s="65">
        <v>45304</v>
      </c>
      <c r="H157" s="61" t="s">
        <v>22</v>
      </c>
      <c r="I157" s="62">
        <f t="shared" si="11"/>
        <v>7</v>
      </c>
      <c r="J157" s="63">
        <v>38</v>
      </c>
      <c r="K157" s="58">
        <f t="shared" si="14"/>
        <v>266</v>
      </c>
      <c r="L157" s="59">
        <v>30.85</v>
      </c>
      <c r="M157" s="64">
        <f t="shared" si="12"/>
        <v>8206.1</v>
      </c>
      <c r="N157" s="64">
        <f t="shared" si="13"/>
        <v>2182822.6</v>
      </c>
      <c r="O157" s="24">
        <f t="shared" si="15"/>
        <v>7198.3333333333339</v>
      </c>
    </row>
    <row r="158" spans="1:15" ht="17.25" thickTop="1" thickBot="1">
      <c r="B158" s="10">
        <f t="shared" si="16"/>
        <v>8</v>
      </c>
      <c r="C158" s="70">
        <v>116334107017</v>
      </c>
      <c r="D158" s="71">
        <v>223513</v>
      </c>
      <c r="E158" s="65">
        <v>45291</v>
      </c>
      <c r="F158" s="65">
        <v>45297</v>
      </c>
      <c r="G158" s="65">
        <v>45304</v>
      </c>
      <c r="H158" s="61" t="s">
        <v>22</v>
      </c>
      <c r="I158" s="62">
        <f t="shared" si="11"/>
        <v>7</v>
      </c>
      <c r="J158" s="63">
        <v>38</v>
      </c>
      <c r="K158" s="58">
        <f t="shared" si="14"/>
        <v>266</v>
      </c>
      <c r="L158" s="59">
        <v>30.85</v>
      </c>
      <c r="M158" s="64">
        <f t="shared" si="12"/>
        <v>8206.1</v>
      </c>
      <c r="N158" s="64">
        <f t="shared" si="13"/>
        <v>2182822.6</v>
      </c>
      <c r="O158" s="24">
        <f t="shared" si="15"/>
        <v>7198.3333333333339</v>
      </c>
    </row>
    <row r="159" spans="1:15" ht="17.25" thickTop="1" thickBot="1">
      <c r="B159" s="10">
        <f t="shared" si="16"/>
        <v>9</v>
      </c>
      <c r="C159" s="70">
        <v>115304100438</v>
      </c>
      <c r="D159" s="71">
        <v>223521</v>
      </c>
      <c r="E159" s="65">
        <v>45296</v>
      </c>
      <c r="F159" s="65">
        <v>45297</v>
      </c>
      <c r="G159" s="65">
        <v>45304</v>
      </c>
      <c r="H159" s="61" t="s">
        <v>20</v>
      </c>
      <c r="I159" s="62">
        <f t="shared" si="11"/>
        <v>7</v>
      </c>
      <c r="J159" s="63">
        <v>30</v>
      </c>
      <c r="K159" s="58">
        <f t="shared" si="14"/>
        <v>210</v>
      </c>
      <c r="L159" s="59">
        <v>30.85</v>
      </c>
      <c r="M159" s="64">
        <f t="shared" si="12"/>
        <v>6478.5</v>
      </c>
      <c r="N159" s="64">
        <f t="shared" si="13"/>
        <v>1360485</v>
      </c>
      <c r="O159" s="24">
        <f t="shared" si="15"/>
        <v>5682.8947368421059</v>
      </c>
    </row>
    <row r="160" spans="1:15" ht="17.25" thickTop="1" thickBot="1">
      <c r="B160" s="10">
        <f t="shared" si="16"/>
        <v>10</v>
      </c>
      <c r="C160" s="70">
        <v>116344103065</v>
      </c>
      <c r="D160" s="71">
        <v>223526</v>
      </c>
      <c r="E160" s="65">
        <v>45281</v>
      </c>
      <c r="F160" s="65">
        <v>45297</v>
      </c>
      <c r="G160" s="65">
        <v>45304</v>
      </c>
      <c r="H160" s="61" t="s">
        <v>22</v>
      </c>
      <c r="I160" s="62">
        <f t="shared" si="11"/>
        <v>7</v>
      </c>
      <c r="J160" s="63">
        <v>38</v>
      </c>
      <c r="K160" s="58">
        <f t="shared" si="14"/>
        <v>266</v>
      </c>
      <c r="L160" s="59">
        <v>30.85</v>
      </c>
      <c r="M160" s="64">
        <f t="shared" si="12"/>
        <v>8206.1</v>
      </c>
      <c r="N160" s="64">
        <f t="shared" si="13"/>
        <v>2182822.6</v>
      </c>
      <c r="O160" s="24">
        <f t="shared" si="15"/>
        <v>7198.3333333333339</v>
      </c>
    </row>
    <row r="161" spans="2:15" ht="17.25" thickTop="1" thickBot="1">
      <c r="B161" s="10">
        <f t="shared" si="16"/>
        <v>11</v>
      </c>
      <c r="C161" s="70">
        <v>116344108343</v>
      </c>
      <c r="D161" s="71">
        <v>223556</v>
      </c>
      <c r="E161" s="65">
        <v>45299</v>
      </c>
      <c r="F161" s="65">
        <v>45300</v>
      </c>
      <c r="G161" s="65">
        <v>45304</v>
      </c>
      <c r="H161" s="61" t="s">
        <v>20</v>
      </c>
      <c r="I161" s="62">
        <f t="shared" si="11"/>
        <v>4</v>
      </c>
      <c r="J161" s="63">
        <v>30</v>
      </c>
      <c r="K161" s="58">
        <f t="shared" si="14"/>
        <v>120</v>
      </c>
      <c r="L161" s="59">
        <v>30.85</v>
      </c>
      <c r="M161" s="64">
        <f t="shared" si="12"/>
        <v>3702</v>
      </c>
      <c r="N161" s="64">
        <f t="shared" si="13"/>
        <v>444240</v>
      </c>
      <c r="O161" s="24">
        <f t="shared" si="15"/>
        <v>3247.3684210526317</v>
      </c>
    </row>
    <row r="162" spans="2:15" ht="17.25" thickTop="1" thickBot="1">
      <c r="B162" s="10">
        <f t="shared" si="16"/>
        <v>12</v>
      </c>
      <c r="C162" s="70">
        <v>116344101313</v>
      </c>
      <c r="D162" s="71">
        <v>223566</v>
      </c>
      <c r="E162" s="65">
        <v>45264</v>
      </c>
      <c r="F162" s="65">
        <v>45297</v>
      </c>
      <c r="G162" s="65">
        <v>45304</v>
      </c>
      <c r="H162" s="61" t="s">
        <v>22</v>
      </c>
      <c r="I162" s="62">
        <f t="shared" si="11"/>
        <v>7</v>
      </c>
      <c r="J162" s="63">
        <v>40</v>
      </c>
      <c r="K162" s="58">
        <f t="shared" si="14"/>
        <v>280</v>
      </c>
      <c r="L162" s="59">
        <v>30.85</v>
      </c>
      <c r="M162" s="64">
        <f t="shared" si="12"/>
        <v>8638</v>
      </c>
      <c r="N162" s="64">
        <f t="shared" si="13"/>
        <v>2418640</v>
      </c>
      <c r="O162" s="24">
        <f t="shared" si="15"/>
        <v>7577.1929824561412</v>
      </c>
    </row>
    <row r="163" spans="2:15" ht="17.25" thickTop="1" thickBot="1">
      <c r="B163" s="10">
        <f t="shared" si="16"/>
        <v>13</v>
      </c>
      <c r="C163" s="70">
        <v>116394101318</v>
      </c>
      <c r="D163" s="71">
        <v>223567</v>
      </c>
      <c r="E163" s="65">
        <v>45264</v>
      </c>
      <c r="F163" s="65">
        <v>45297</v>
      </c>
      <c r="G163" s="65">
        <v>45304</v>
      </c>
      <c r="H163" s="61" t="s">
        <v>22</v>
      </c>
      <c r="I163" s="62">
        <f t="shared" si="11"/>
        <v>7</v>
      </c>
      <c r="J163" s="63">
        <v>40</v>
      </c>
      <c r="K163" s="58">
        <f t="shared" si="14"/>
        <v>280</v>
      </c>
      <c r="L163" s="59">
        <v>30.85</v>
      </c>
      <c r="M163" s="64">
        <f t="shared" si="12"/>
        <v>8638</v>
      </c>
      <c r="N163" s="64">
        <f t="shared" si="13"/>
        <v>2418640</v>
      </c>
      <c r="O163" s="24">
        <f t="shared" si="15"/>
        <v>7577.1929824561412</v>
      </c>
    </row>
    <row r="164" spans="2:15" ht="17.25" thickTop="1" thickBot="1">
      <c r="B164" s="10">
        <f t="shared" si="16"/>
        <v>14</v>
      </c>
      <c r="C164" s="70">
        <v>115394100086</v>
      </c>
      <c r="D164" s="71">
        <v>223584</v>
      </c>
      <c r="E164" s="65">
        <v>45286</v>
      </c>
      <c r="F164" s="65">
        <v>45295</v>
      </c>
      <c r="G164" s="65">
        <v>45305</v>
      </c>
      <c r="H164" s="61" t="s">
        <v>22</v>
      </c>
      <c r="I164" s="62">
        <f t="shared" si="11"/>
        <v>10</v>
      </c>
      <c r="J164" s="63" t="s">
        <v>45</v>
      </c>
      <c r="K164" s="58">
        <f>1*58+9*38</f>
        <v>400</v>
      </c>
      <c r="L164" s="59">
        <v>30.85</v>
      </c>
      <c r="M164" s="64">
        <f t="shared" si="12"/>
        <v>12340</v>
      </c>
      <c r="N164" s="64">
        <f t="shared" si="13"/>
        <v>4936000</v>
      </c>
      <c r="O164" s="24">
        <f t="shared" si="15"/>
        <v>10824.561403508773</v>
      </c>
    </row>
    <row r="165" spans="2:15" ht="17.25" thickTop="1" thickBot="1">
      <c r="B165" s="10">
        <f t="shared" si="16"/>
        <v>15</v>
      </c>
      <c r="C165" s="70">
        <v>116354101932</v>
      </c>
      <c r="D165" s="71">
        <v>223601</v>
      </c>
      <c r="E165" s="65">
        <v>45281</v>
      </c>
      <c r="F165" s="65">
        <v>45298</v>
      </c>
      <c r="G165" s="65">
        <v>45305</v>
      </c>
      <c r="H165" s="61" t="s">
        <v>22</v>
      </c>
      <c r="I165" s="62">
        <f t="shared" si="11"/>
        <v>7</v>
      </c>
      <c r="J165" s="63">
        <v>38</v>
      </c>
      <c r="K165" s="58">
        <f t="shared" si="14"/>
        <v>266</v>
      </c>
      <c r="L165" s="59">
        <v>30.85</v>
      </c>
      <c r="M165" s="64">
        <f t="shared" si="12"/>
        <v>8206.1</v>
      </c>
      <c r="N165" s="64">
        <f t="shared" si="13"/>
        <v>2182822.6</v>
      </c>
      <c r="O165" s="24">
        <f t="shared" si="15"/>
        <v>7198.3333333333339</v>
      </c>
    </row>
    <row r="166" spans="2:15" ht="17.25" thickTop="1" thickBot="1">
      <c r="B166" s="10">
        <f t="shared" si="16"/>
        <v>16</v>
      </c>
      <c r="C166" s="70">
        <v>116324104411</v>
      </c>
      <c r="D166" s="71">
        <v>223604</v>
      </c>
      <c r="E166" s="65">
        <v>45285</v>
      </c>
      <c r="F166" s="65">
        <v>45298</v>
      </c>
      <c r="G166" s="65">
        <v>45305</v>
      </c>
      <c r="H166" s="61" t="s">
        <v>20</v>
      </c>
      <c r="I166" s="62">
        <f t="shared" si="11"/>
        <v>7</v>
      </c>
      <c r="J166" s="63">
        <v>30</v>
      </c>
      <c r="K166" s="58">
        <f t="shared" si="14"/>
        <v>210</v>
      </c>
      <c r="L166" s="59">
        <v>30.85</v>
      </c>
      <c r="M166" s="64">
        <f t="shared" si="12"/>
        <v>6478.5</v>
      </c>
      <c r="N166" s="64">
        <f t="shared" si="13"/>
        <v>1360485</v>
      </c>
      <c r="O166" s="24">
        <f t="shared" si="15"/>
        <v>5682.8947368421059</v>
      </c>
    </row>
    <row r="167" spans="2:15" ht="17.25" thickTop="1" thickBot="1">
      <c r="B167" s="10">
        <f t="shared" si="16"/>
        <v>17</v>
      </c>
      <c r="C167" s="70">
        <v>115384100221</v>
      </c>
      <c r="D167" s="71">
        <v>223605</v>
      </c>
      <c r="E167" s="65">
        <v>45288</v>
      </c>
      <c r="F167" s="65">
        <v>45296</v>
      </c>
      <c r="G167" s="65">
        <v>45305</v>
      </c>
      <c r="H167" s="61" t="s">
        <v>22</v>
      </c>
      <c r="I167" s="62">
        <f t="shared" si="11"/>
        <v>9</v>
      </c>
      <c r="J167" s="63">
        <v>38</v>
      </c>
      <c r="K167" s="58">
        <f t="shared" si="14"/>
        <v>342</v>
      </c>
      <c r="L167" s="59">
        <v>30.85</v>
      </c>
      <c r="M167" s="64">
        <f t="shared" si="12"/>
        <v>10550.7</v>
      </c>
      <c r="N167" s="64">
        <f t="shared" si="13"/>
        <v>3608339.4000000004</v>
      </c>
      <c r="O167" s="24">
        <f t="shared" si="15"/>
        <v>9255.0000000000018</v>
      </c>
    </row>
    <row r="168" spans="2:15" ht="17.25" thickTop="1" thickBot="1">
      <c r="B168" s="10">
        <f t="shared" si="16"/>
        <v>18</v>
      </c>
      <c r="C168" s="70">
        <v>116384102246</v>
      </c>
      <c r="D168" s="71">
        <v>223606</v>
      </c>
      <c r="E168" s="65">
        <v>45281</v>
      </c>
      <c r="F168" s="65">
        <v>45298</v>
      </c>
      <c r="G168" s="65">
        <v>45305</v>
      </c>
      <c r="H168" s="61" t="s">
        <v>22</v>
      </c>
      <c r="I168" s="62">
        <f t="shared" si="11"/>
        <v>7</v>
      </c>
      <c r="J168" s="63">
        <v>38</v>
      </c>
      <c r="K168" s="58">
        <f t="shared" si="14"/>
        <v>266</v>
      </c>
      <c r="L168" s="59">
        <v>30.85</v>
      </c>
      <c r="M168" s="64">
        <f t="shared" si="12"/>
        <v>8206.1</v>
      </c>
      <c r="N168" s="64">
        <f t="shared" si="13"/>
        <v>2182822.6</v>
      </c>
      <c r="O168" s="24">
        <f t="shared" si="15"/>
        <v>7198.3333333333339</v>
      </c>
    </row>
    <row r="169" spans="2:15" ht="17.25" thickTop="1" thickBot="1">
      <c r="B169" s="10">
        <f t="shared" si="16"/>
        <v>19</v>
      </c>
      <c r="C169" s="70">
        <v>116324103131</v>
      </c>
      <c r="D169" s="71">
        <v>223627</v>
      </c>
      <c r="E169" s="65">
        <v>45281</v>
      </c>
      <c r="F169" s="65">
        <v>45298</v>
      </c>
      <c r="G169" s="65">
        <v>45305</v>
      </c>
      <c r="H169" s="61" t="s">
        <v>21</v>
      </c>
      <c r="I169" s="62">
        <f t="shared" si="11"/>
        <v>7</v>
      </c>
      <c r="J169" s="63">
        <v>33</v>
      </c>
      <c r="K169" s="58">
        <f t="shared" si="14"/>
        <v>231</v>
      </c>
      <c r="L169" s="59">
        <v>30.85</v>
      </c>
      <c r="M169" s="64">
        <f t="shared" si="12"/>
        <v>7126.35</v>
      </c>
      <c r="N169" s="64">
        <f t="shared" si="13"/>
        <v>1646186.85</v>
      </c>
      <c r="O169" s="24">
        <f t="shared" si="15"/>
        <v>6251.1842105263167</v>
      </c>
    </row>
    <row r="170" spans="2:15" ht="17.25" thickTop="1" thickBot="1">
      <c r="B170" s="10">
        <f t="shared" si="16"/>
        <v>20</v>
      </c>
      <c r="C170" s="70">
        <v>116314103642</v>
      </c>
      <c r="D170" s="71">
        <v>223630</v>
      </c>
      <c r="E170" s="65">
        <v>45281</v>
      </c>
      <c r="F170" s="65">
        <v>45298</v>
      </c>
      <c r="G170" s="65">
        <v>45305</v>
      </c>
      <c r="H170" s="61" t="s">
        <v>22</v>
      </c>
      <c r="I170" s="62">
        <f t="shared" si="11"/>
        <v>7</v>
      </c>
      <c r="J170" s="63">
        <v>38</v>
      </c>
      <c r="K170" s="58">
        <f t="shared" si="14"/>
        <v>266</v>
      </c>
      <c r="L170" s="59">
        <v>30.85</v>
      </c>
      <c r="M170" s="64">
        <f t="shared" si="12"/>
        <v>8206.1</v>
      </c>
      <c r="N170" s="64">
        <f t="shared" si="13"/>
        <v>2182822.6</v>
      </c>
      <c r="O170" s="24">
        <f t="shared" si="15"/>
        <v>7198.3333333333339</v>
      </c>
    </row>
    <row r="171" spans="2:15" ht="17.25" thickTop="1" thickBot="1">
      <c r="B171" s="10">
        <f t="shared" si="16"/>
        <v>21</v>
      </c>
      <c r="C171" s="70">
        <v>116394104562</v>
      </c>
      <c r="D171" s="71">
        <v>223648</v>
      </c>
      <c r="E171" s="65">
        <v>45287</v>
      </c>
      <c r="F171" s="65">
        <v>45295</v>
      </c>
      <c r="G171" s="65">
        <v>45305</v>
      </c>
      <c r="H171" s="61" t="s">
        <v>22</v>
      </c>
      <c r="I171" s="62">
        <f t="shared" si="11"/>
        <v>10</v>
      </c>
      <c r="J171" s="63" t="s">
        <v>45</v>
      </c>
      <c r="K171" s="58">
        <f>1*58+9*38</f>
        <v>400</v>
      </c>
      <c r="L171" s="59">
        <v>30.85</v>
      </c>
      <c r="M171" s="64">
        <f t="shared" si="12"/>
        <v>12340</v>
      </c>
      <c r="N171" s="64">
        <f t="shared" si="13"/>
        <v>4936000</v>
      </c>
      <c r="O171" s="24">
        <f t="shared" si="15"/>
        <v>10824.561403508773</v>
      </c>
    </row>
    <row r="172" spans="2:15" ht="17.25" thickTop="1" thickBot="1">
      <c r="B172" s="10">
        <f t="shared" si="16"/>
        <v>22</v>
      </c>
      <c r="C172" s="70">
        <v>116324107771</v>
      </c>
      <c r="D172" s="71">
        <v>223651</v>
      </c>
      <c r="E172" s="65">
        <v>45295</v>
      </c>
      <c r="F172" s="65">
        <v>45297</v>
      </c>
      <c r="G172" s="65">
        <v>45305</v>
      </c>
      <c r="H172" s="61" t="s">
        <v>20</v>
      </c>
      <c r="I172" s="62">
        <f t="shared" si="11"/>
        <v>8</v>
      </c>
      <c r="J172" s="63">
        <v>30</v>
      </c>
      <c r="K172" s="58">
        <f t="shared" si="14"/>
        <v>240</v>
      </c>
      <c r="L172" s="59">
        <v>30.85</v>
      </c>
      <c r="M172" s="64">
        <f t="shared" si="12"/>
        <v>7404</v>
      </c>
      <c r="N172" s="64">
        <f t="shared" si="13"/>
        <v>1776960</v>
      </c>
      <c r="O172" s="24">
        <f t="shared" si="15"/>
        <v>6494.7368421052633</v>
      </c>
    </row>
    <row r="173" spans="2:15" ht="17.25" thickTop="1" thickBot="1">
      <c r="B173" s="10">
        <f t="shared" si="16"/>
        <v>23</v>
      </c>
      <c r="C173" s="70">
        <v>116384104226</v>
      </c>
      <c r="D173" s="71">
        <v>223652</v>
      </c>
      <c r="E173" s="65">
        <v>45284</v>
      </c>
      <c r="F173" s="65">
        <v>45298</v>
      </c>
      <c r="G173" s="65">
        <v>45305</v>
      </c>
      <c r="H173" s="61" t="s">
        <v>20</v>
      </c>
      <c r="I173" s="62">
        <f t="shared" si="11"/>
        <v>7</v>
      </c>
      <c r="J173" s="63">
        <v>30</v>
      </c>
      <c r="K173" s="58">
        <f t="shared" si="14"/>
        <v>210</v>
      </c>
      <c r="L173" s="59">
        <v>30.85</v>
      </c>
      <c r="M173" s="64">
        <f t="shared" si="12"/>
        <v>6478.5</v>
      </c>
      <c r="N173" s="64">
        <f t="shared" si="13"/>
        <v>1360485</v>
      </c>
      <c r="O173" s="24">
        <f t="shared" si="15"/>
        <v>5682.8947368421059</v>
      </c>
    </row>
    <row r="174" spans="2:15" ht="17.25" thickTop="1" thickBot="1">
      <c r="B174" s="10">
        <f t="shared" si="16"/>
        <v>24</v>
      </c>
      <c r="C174" s="70">
        <v>116314104076</v>
      </c>
      <c r="D174" s="71">
        <v>223697</v>
      </c>
      <c r="E174" s="65">
        <v>45283</v>
      </c>
      <c r="F174" s="65">
        <v>45299</v>
      </c>
      <c r="G174" s="65">
        <v>45306</v>
      </c>
      <c r="H174" s="61" t="s">
        <v>22</v>
      </c>
      <c r="I174" s="62">
        <f t="shared" si="11"/>
        <v>7</v>
      </c>
      <c r="J174" s="63">
        <v>38</v>
      </c>
      <c r="K174" s="58">
        <f t="shared" si="14"/>
        <v>266</v>
      </c>
      <c r="L174" s="59">
        <v>30.85</v>
      </c>
      <c r="M174" s="64">
        <f t="shared" si="12"/>
        <v>8206.1</v>
      </c>
      <c r="N174" s="64">
        <f t="shared" si="13"/>
        <v>2182822.6</v>
      </c>
      <c r="O174" s="24">
        <f t="shared" si="15"/>
        <v>7198.3333333333339</v>
      </c>
    </row>
    <row r="175" spans="2:15" ht="17.25" thickTop="1" thickBot="1">
      <c r="B175" s="10">
        <f t="shared" si="16"/>
        <v>25</v>
      </c>
      <c r="C175" s="70">
        <v>116324102486</v>
      </c>
      <c r="D175" s="71">
        <v>223700</v>
      </c>
      <c r="E175" s="65">
        <v>45282</v>
      </c>
      <c r="F175" s="65">
        <v>45299</v>
      </c>
      <c r="G175" s="65">
        <v>45306</v>
      </c>
      <c r="H175" s="61" t="s">
        <v>22</v>
      </c>
      <c r="I175" s="62">
        <f t="shared" si="11"/>
        <v>7</v>
      </c>
      <c r="J175" s="63">
        <v>38</v>
      </c>
      <c r="K175" s="58">
        <f t="shared" si="14"/>
        <v>266</v>
      </c>
      <c r="L175" s="59">
        <v>30.85</v>
      </c>
      <c r="M175" s="64">
        <f t="shared" si="12"/>
        <v>8206.1</v>
      </c>
      <c r="N175" s="64">
        <f t="shared" si="13"/>
        <v>2182822.6</v>
      </c>
      <c r="O175" s="24">
        <f t="shared" si="15"/>
        <v>7198.3333333333339</v>
      </c>
    </row>
    <row r="176" spans="2:15" ht="17.25" thickTop="1" thickBot="1">
      <c r="B176" s="10">
        <f t="shared" si="16"/>
        <v>26</v>
      </c>
      <c r="C176" s="70">
        <v>116344105052</v>
      </c>
      <c r="D176" s="71">
        <v>223701</v>
      </c>
      <c r="E176" s="65">
        <v>45286</v>
      </c>
      <c r="F176" s="65">
        <v>45299</v>
      </c>
      <c r="G176" s="65">
        <v>45306</v>
      </c>
      <c r="H176" s="61" t="s">
        <v>20</v>
      </c>
      <c r="I176" s="62">
        <f t="shared" si="11"/>
        <v>7</v>
      </c>
      <c r="J176" s="63">
        <v>30</v>
      </c>
      <c r="K176" s="58">
        <f t="shared" si="14"/>
        <v>210</v>
      </c>
      <c r="L176" s="59">
        <v>30.85</v>
      </c>
      <c r="M176" s="64">
        <f t="shared" si="12"/>
        <v>6478.5</v>
      </c>
      <c r="N176" s="64">
        <f t="shared" si="13"/>
        <v>1360485</v>
      </c>
      <c r="O176" s="24">
        <f t="shared" si="15"/>
        <v>5682.8947368421059</v>
      </c>
    </row>
    <row r="177" spans="1:15" ht="17.25" thickTop="1" thickBot="1">
      <c r="B177" s="10">
        <f t="shared" si="16"/>
        <v>27</v>
      </c>
      <c r="C177" s="70">
        <v>116334107321</v>
      </c>
      <c r="D177" s="71">
        <v>223706</v>
      </c>
      <c r="E177" s="65">
        <v>45294</v>
      </c>
      <c r="F177" s="65">
        <v>45297</v>
      </c>
      <c r="G177" s="65">
        <v>45306</v>
      </c>
      <c r="H177" s="61" t="s">
        <v>20</v>
      </c>
      <c r="I177" s="62">
        <f t="shared" si="11"/>
        <v>9</v>
      </c>
      <c r="J177" s="63">
        <v>30</v>
      </c>
      <c r="K177" s="58">
        <f t="shared" si="14"/>
        <v>270</v>
      </c>
      <c r="L177" s="59">
        <v>30.85</v>
      </c>
      <c r="M177" s="64">
        <f t="shared" si="12"/>
        <v>8329.5</v>
      </c>
      <c r="N177" s="64">
        <f t="shared" si="13"/>
        <v>2248965</v>
      </c>
      <c r="O177" s="24">
        <f t="shared" si="15"/>
        <v>7306.5789473684217</v>
      </c>
    </row>
    <row r="178" spans="1:15" ht="17.25" thickTop="1" thickBot="1">
      <c r="B178" s="10">
        <f t="shared" si="16"/>
        <v>28</v>
      </c>
      <c r="C178" s="70">
        <v>116304102132</v>
      </c>
      <c r="D178" s="71">
        <v>223710</v>
      </c>
      <c r="E178" s="65">
        <v>45282</v>
      </c>
      <c r="F178" s="65">
        <v>45299</v>
      </c>
      <c r="G178" s="65">
        <v>45306</v>
      </c>
      <c r="H178" s="61" t="s">
        <v>22</v>
      </c>
      <c r="I178" s="62">
        <f t="shared" si="11"/>
        <v>7</v>
      </c>
      <c r="J178" s="63">
        <v>38</v>
      </c>
      <c r="K178" s="58">
        <f t="shared" si="14"/>
        <v>266</v>
      </c>
      <c r="L178" s="59">
        <v>30.85</v>
      </c>
      <c r="M178" s="64">
        <f t="shared" si="12"/>
        <v>8206.1</v>
      </c>
      <c r="N178" s="64">
        <f t="shared" si="13"/>
        <v>2182822.6</v>
      </c>
      <c r="O178" s="24">
        <f t="shared" si="15"/>
        <v>7198.3333333333339</v>
      </c>
    </row>
    <row r="179" spans="1:15" ht="17.25" thickTop="1" thickBot="1">
      <c r="B179" s="10">
        <f t="shared" si="16"/>
        <v>29</v>
      </c>
      <c r="C179" s="70">
        <v>116374106885</v>
      </c>
      <c r="D179" s="71">
        <v>223713</v>
      </c>
      <c r="E179" s="65">
        <v>45292</v>
      </c>
      <c r="F179" s="65">
        <v>45298</v>
      </c>
      <c r="G179" s="65">
        <v>45306</v>
      </c>
      <c r="H179" s="61" t="s">
        <v>20</v>
      </c>
      <c r="I179" s="62">
        <f t="shared" si="11"/>
        <v>8</v>
      </c>
      <c r="J179" s="63">
        <v>30</v>
      </c>
      <c r="K179" s="58">
        <f t="shared" si="14"/>
        <v>240</v>
      </c>
      <c r="L179" s="59">
        <v>30.85</v>
      </c>
      <c r="M179" s="64">
        <f t="shared" si="12"/>
        <v>7404</v>
      </c>
      <c r="N179" s="64">
        <f t="shared" si="13"/>
        <v>1776960</v>
      </c>
      <c r="O179" s="24">
        <f t="shared" si="15"/>
        <v>6494.7368421052633</v>
      </c>
    </row>
    <row r="180" spans="1:15" ht="17.25" thickTop="1" thickBot="1">
      <c r="A180" s="13"/>
      <c r="B180" s="10">
        <v>2</v>
      </c>
      <c r="C180" s="70">
        <v>116314103932</v>
      </c>
      <c r="D180" s="71">
        <v>223714</v>
      </c>
      <c r="E180" s="65">
        <v>45284</v>
      </c>
      <c r="F180" s="65">
        <v>45299</v>
      </c>
      <c r="G180" s="65">
        <v>45306</v>
      </c>
      <c r="H180" s="61" t="s">
        <v>20</v>
      </c>
      <c r="I180" s="62">
        <f t="shared" si="11"/>
        <v>7</v>
      </c>
      <c r="J180" s="63">
        <v>30</v>
      </c>
      <c r="K180" s="58">
        <f t="shared" si="14"/>
        <v>210</v>
      </c>
      <c r="L180" s="59">
        <v>30.85</v>
      </c>
      <c r="M180" s="64">
        <f t="shared" si="12"/>
        <v>6478.5</v>
      </c>
      <c r="N180" s="64">
        <f t="shared" si="13"/>
        <v>1360485</v>
      </c>
      <c r="O180" s="24">
        <f t="shared" si="15"/>
        <v>5682.8947368421059</v>
      </c>
    </row>
    <row r="181" spans="1:15" ht="17.25" thickTop="1" thickBot="1">
      <c r="A181" s="15"/>
      <c r="B181" s="10">
        <f>+B180+1</f>
        <v>3</v>
      </c>
      <c r="C181" s="70">
        <v>11634106808</v>
      </c>
      <c r="D181" s="71">
        <v>223716</v>
      </c>
      <c r="E181" s="65">
        <v>45291</v>
      </c>
      <c r="F181" s="65">
        <v>45297</v>
      </c>
      <c r="G181" s="65">
        <v>45306</v>
      </c>
      <c r="H181" s="61" t="s">
        <v>20</v>
      </c>
      <c r="I181" s="62">
        <f t="shared" si="11"/>
        <v>9</v>
      </c>
      <c r="J181" s="63">
        <v>30</v>
      </c>
      <c r="K181" s="58">
        <f t="shared" si="14"/>
        <v>270</v>
      </c>
      <c r="L181" s="59">
        <v>30.85</v>
      </c>
      <c r="M181" s="64">
        <f t="shared" si="12"/>
        <v>8329.5</v>
      </c>
      <c r="N181" s="64">
        <f t="shared" si="13"/>
        <v>2248965</v>
      </c>
      <c r="O181" s="24">
        <f t="shared" si="15"/>
        <v>7306.5789473684217</v>
      </c>
    </row>
    <row r="182" spans="1:15" ht="17.25" thickTop="1" thickBot="1">
      <c r="B182" s="10">
        <f>+B181+1</f>
        <v>4</v>
      </c>
      <c r="C182" s="70">
        <v>116374106571</v>
      </c>
      <c r="D182" s="71">
        <v>223724</v>
      </c>
      <c r="E182" s="65">
        <v>45290</v>
      </c>
      <c r="F182" s="65">
        <v>45300</v>
      </c>
      <c r="G182" s="65">
        <v>45306</v>
      </c>
      <c r="H182" s="61" t="s">
        <v>22</v>
      </c>
      <c r="I182" s="62">
        <f t="shared" si="11"/>
        <v>6</v>
      </c>
      <c r="J182" s="63">
        <v>38</v>
      </c>
      <c r="K182" s="58">
        <f t="shared" si="14"/>
        <v>228</v>
      </c>
      <c r="L182" s="59">
        <v>30.85</v>
      </c>
      <c r="M182" s="64">
        <f t="shared" si="12"/>
        <v>7033.8</v>
      </c>
      <c r="N182" s="64">
        <f t="shared" si="13"/>
        <v>1603706.4000000001</v>
      </c>
      <c r="O182" s="24">
        <f t="shared" si="15"/>
        <v>6170.0000000000009</v>
      </c>
    </row>
    <row r="183" spans="1:15" ht="17.25" thickTop="1" thickBot="1">
      <c r="B183" s="10">
        <f>+B182+1</f>
        <v>5</v>
      </c>
      <c r="C183" s="70">
        <v>116344106721</v>
      </c>
      <c r="D183" s="71">
        <v>223725</v>
      </c>
      <c r="E183" s="65">
        <v>45290</v>
      </c>
      <c r="F183" s="65">
        <v>45300</v>
      </c>
      <c r="G183" s="65">
        <v>45306</v>
      </c>
      <c r="H183" s="61" t="s">
        <v>20</v>
      </c>
      <c r="I183" s="62">
        <f t="shared" si="11"/>
        <v>6</v>
      </c>
      <c r="J183" s="63">
        <v>30</v>
      </c>
      <c r="K183" s="58">
        <f t="shared" si="14"/>
        <v>180</v>
      </c>
      <c r="L183" s="59">
        <v>30.85</v>
      </c>
      <c r="M183" s="64">
        <f t="shared" si="12"/>
        <v>5553</v>
      </c>
      <c r="N183" s="64">
        <f t="shared" si="13"/>
        <v>999540</v>
      </c>
      <c r="O183" s="24">
        <f t="shared" si="15"/>
        <v>4871.0526315789475</v>
      </c>
    </row>
    <row r="184" spans="1:15" ht="17.25" thickTop="1" thickBot="1">
      <c r="B184" s="10">
        <f t="shared" ref="B184:B207" si="17">+B183+1</f>
        <v>6</v>
      </c>
      <c r="C184" s="74">
        <v>116334101893</v>
      </c>
      <c r="D184" s="75">
        <v>223736</v>
      </c>
      <c r="E184" s="65">
        <v>45281</v>
      </c>
      <c r="F184" s="65">
        <v>45299</v>
      </c>
      <c r="G184" s="65">
        <v>45307</v>
      </c>
      <c r="H184" s="61" t="s">
        <v>22</v>
      </c>
      <c r="I184" s="62">
        <f>+G184-F184</f>
        <v>8</v>
      </c>
      <c r="J184" s="63">
        <v>38</v>
      </c>
      <c r="K184" s="58">
        <f t="shared" si="14"/>
        <v>304</v>
      </c>
      <c r="L184" s="59">
        <v>30.85</v>
      </c>
      <c r="M184" s="64">
        <f t="shared" si="12"/>
        <v>9378.4</v>
      </c>
      <c r="N184" s="64">
        <f t="shared" si="13"/>
        <v>2851033.6</v>
      </c>
      <c r="O184" s="24">
        <f t="shared" si="15"/>
        <v>8226.6666666666679</v>
      </c>
    </row>
    <row r="185" spans="1:15" ht="17.25" thickTop="1" thickBot="1">
      <c r="B185" s="10">
        <f t="shared" si="17"/>
        <v>7</v>
      </c>
      <c r="C185" s="74">
        <v>116364107508</v>
      </c>
      <c r="D185" s="75">
        <v>223737</v>
      </c>
      <c r="E185" s="65">
        <v>45296</v>
      </c>
      <c r="F185" s="65">
        <v>45298</v>
      </c>
      <c r="G185" s="65">
        <v>45307</v>
      </c>
      <c r="H185" s="61" t="s">
        <v>22</v>
      </c>
      <c r="I185" s="62">
        <f t="shared" si="11"/>
        <v>9</v>
      </c>
      <c r="J185" s="63">
        <v>38</v>
      </c>
      <c r="K185" s="58">
        <f t="shared" si="14"/>
        <v>342</v>
      </c>
      <c r="L185" s="59">
        <v>30.85</v>
      </c>
      <c r="M185" s="64">
        <f t="shared" si="12"/>
        <v>10550.7</v>
      </c>
      <c r="N185" s="64">
        <f t="shared" si="13"/>
        <v>3608339.4000000004</v>
      </c>
      <c r="O185" s="24">
        <f t="shared" si="15"/>
        <v>9255.0000000000018</v>
      </c>
    </row>
    <row r="186" spans="1:15" ht="17.25" thickTop="1" thickBot="1">
      <c r="B186" s="10">
        <f t="shared" si="17"/>
        <v>8</v>
      </c>
      <c r="C186" s="74">
        <v>116354106463</v>
      </c>
      <c r="D186" s="75">
        <v>223738</v>
      </c>
      <c r="E186" s="65">
        <v>45290</v>
      </c>
      <c r="F186" s="65">
        <v>45301</v>
      </c>
      <c r="G186" s="65">
        <v>45307</v>
      </c>
      <c r="H186" s="61" t="s">
        <v>22</v>
      </c>
      <c r="I186" s="62">
        <f t="shared" si="11"/>
        <v>6</v>
      </c>
      <c r="J186" s="63">
        <v>38</v>
      </c>
      <c r="K186" s="58">
        <f t="shared" si="14"/>
        <v>228</v>
      </c>
      <c r="L186" s="59">
        <v>30.85</v>
      </c>
      <c r="M186" s="64">
        <f t="shared" si="12"/>
        <v>7033.8</v>
      </c>
      <c r="N186" s="64">
        <f t="shared" si="13"/>
        <v>1603706.4000000001</v>
      </c>
      <c r="O186" s="24">
        <f t="shared" si="15"/>
        <v>6170.0000000000009</v>
      </c>
    </row>
    <row r="187" spans="1:15" ht="17.25" thickTop="1" thickBot="1">
      <c r="B187" s="10">
        <f t="shared" si="17"/>
        <v>9</v>
      </c>
      <c r="C187" s="74">
        <v>116334107345</v>
      </c>
      <c r="D187" s="75">
        <v>223741</v>
      </c>
      <c r="E187" s="65">
        <v>45298</v>
      </c>
      <c r="F187" s="65">
        <v>45300</v>
      </c>
      <c r="G187" s="65">
        <v>45307</v>
      </c>
      <c r="H187" s="61" t="s">
        <v>22</v>
      </c>
      <c r="I187" s="62">
        <f t="shared" si="11"/>
        <v>7</v>
      </c>
      <c r="J187" s="63">
        <v>38</v>
      </c>
      <c r="K187" s="58">
        <f t="shared" si="14"/>
        <v>266</v>
      </c>
      <c r="L187" s="59">
        <v>30.85</v>
      </c>
      <c r="M187" s="64">
        <f t="shared" si="12"/>
        <v>8206.1</v>
      </c>
      <c r="N187" s="64">
        <f t="shared" si="13"/>
        <v>2182822.6</v>
      </c>
      <c r="O187" s="24">
        <f t="shared" si="15"/>
        <v>7198.3333333333339</v>
      </c>
    </row>
    <row r="188" spans="1:15" ht="17.25" thickTop="1" thickBot="1">
      <c r="B188" s="10">
        <f t="shared" si="17"/>
        <v>10</v>
      </c>
      <c r="C188" s="74">
        <v>116374108797</v>
      </c>
      <c r="D188" s="75">
        <v>223748</v>
      </c>
      <c r="E188" s="65">
        <v>45300</v>
      </c>
      <c r="F188" s="65">
        <v>45301</v>
      </c>
      <c r="G188" s="65">
        <v>45307</v>
      </c>
      <c r="H188" s="61" t="s">
        <v>20</v>
      </c>
      <c r="I188" s="62">
        <f t="shared" si="11"/>
        <v>6</v>
      </c>
      <c r="J188" s="63">
        <v>30</v>
      </c>
      <c r="K188" s="58">
        <f t="shared" si="14"/>
        <v>180</v>
      </c>
      <c r="L188" s="59">
        <v>30.85</v>
      </c>
      <c r="M188" s="64">
        <f t="shared" si="12"/>
        <v>5553</v>
      </c>
      <c r="N188" s="64">
        <f t="shared" si="13"/>
        <v>999540</v>
      </c>
      <c r="O188" s="24">
        <f t="shared" si="15"/>
        <v>4871.0526315789475</v>
      </c>
    </row>
    <row r="189" spans="1:15" ht="17.25" thickTop="1" thickBot="1">
      <c r="B189" s="10">
        <f t="shared" si="17"/>
        <v>11</v>
      </c>
      <c r="C189" s="74">
        <v>116364107508</v>
      </c>
      <c r="D189" s="75">
        <v>223749</v>
      </c>
      <c r="E189" s="65">
        <v>45296</v>
      </c>
      <c r="F189" s="65">
        <v>45298</v>
      </c>
      <c r="G189" s="65">
        <v>45307</v>
      </c>
      <c r="H189" s="61" t="s">
        <v>22</v>
      </c>
      <c r="I189" s="62">
        <f t="shared" si="11"/>
        <v>9</v>
      </c>
      <c r="J189" s="63">
        <v>38</v>
      </c>
      <c r="K189" s="58">
        <f t="shared" si="14"/>
        <v>342</v>
      </c>
      <c r="L189" s="59">
        <v>30.85</v>
      </c>
      <c r="M189" s="64">
        <f t="shared" si="12"/>
        <v>10550.7</v>
      </c>
      <c r="N189" s="64">
        <f t="shared" si="13"/>
        <v>3608339.4000000004</v>
      </c>
      <c r="O189" s="24">
        <f t="shared" si="15"/>
        <v>9255.0000000000018</v>
      </c>
    </row>
    <row r="190" spans="1:15" ht="17.25" thickTop="1" thickBot="1">
      <c r="B190" s="10">
        <f t="shared" si="17"/>
        <v>12</v>
      </c>
      <c r="C190" s="74">
        <v>116334101893</v>
      </c>
      <c r="D190" s="75">
        <v>223750</v>
      </c>
      <c r="E190" s="65">
        <v>45281</v>
      </c>
      <c r="F190" s="65">
        <v>45299</v>
      </c>
      <c r="G190" s="65">
        <v>45307</v>
      </c>
      <c r="H190" s="61" t="s">
        <v>20</v>
      </c>
      <c r="I190" s="62">
        <f t="shared" si="11"/>
        <v>8</v>
      </c>
      <c r="J190" s="63">
        <v>30</v>
      </c>
      <c r="K190" s="58">
        <f t="shared" si="14"/>
        <v>240</v>
      </c>
      <c r="L190" s="59">
        <v>30.85</v>
      </c>
      <c r="M190" s="64">
        <f t="shared" si="12"/>
        <v>7404</v>
      </c>
      <c r="N190" s="64">
        <f t="shared" si="13"/>
        <v>1776960</v>
      </c>
      <c r="O190" s="24">
        <f t="shared" si="15"/>
        <v>6494.7368421052633</v>
      </c>
    </row>
    <row r="191" spans="1:15" ht="17.25" thickTop="1" thickBot="1">
      <c r="B191" s="10">
        <f t="shared" si="17"/>
        <v>13</v>
      </c>
      <c r="C191" s="74">
        <v>116374109299</v>
      </c>
      <c r="D191" s="75">
        <v>223783</v>
      </c>
      <c r="E191" s="65">
        <v>45298</v>
      </c>
      <c r="F191" s="65">
        <v>45300</v>
      </c>
      <c r="G191" s="65">
        <v>45308</v>
      </c>
      <c r="H191" s="61" t="s">
        <v>22</v>
      </c>
      <c r="I191" s="62">
        <f t="shared" si="11"/>
        <v>8</v>
      </c>
      <c r="J191" s="63">
        <v>38</v>
      </c>
      <c r="K191" s="58">
        <f t="shared" si="14"/>
        <v>304</v>
      </c>
      <c r="L191" s="59">
        <v>30.85</v>
      </c>
      <c r="M191" s="64">
        <f t="shared" si="12"/>
        <v>9378.4</v>
      </c>
      <c r="N191" s="64">
        <f t="shared" si="13"/>
        <v>2851033.6</v>
      </c>
      <c r="O191" s="24">
        <f t="shared" si="15"/>
        <v>8226.6666666666679</v>
      </c>
    </row>
    <row r="192" spans="1:15" ht="17.25" thickTop="1" thickBot="1">
      <c r="B192" s="10">
        <f t="shared" si="17"/>
        <v>14</v>
      </c>
      <c r="C192" s="74">
        <v>116374109299</v>
      </c>
      <c r="D192" s="75">
        <v>223784</v>
      </c>
      <c r="E192" s="65">
        <v>45298</v>
      </c>
      <c r="F192" s="65">
        <v>45300</v>
      </c>
      <c r="G192" s="65">
        <v>45308</v>
      </c>
      <c r="H192" s="61" t="s">
        <v>22</v>
      </c>
      <c r="I192" s="62">
        <f t="shared" si="11"/>
        <v>8</v>
      </c>
      <c r="J192" s="63">
        <v>38</v>
      </c>
      <c r="K192" s="58">
        <f t="shared" si="14"/>
        <v>304</v>
      </c>
      <c r="L192" s="59">
        <v>30.85</v>
      </c>
      <c r="M192" s="64">
        <f t="shared" si="12"/>
        <v>9378.4</v>
      </c>
      <c r="N192" s="64">
        <f t="shared" si="13"/>
        <v>2851033.6</v>
      </c>
      <c r="O192" s="24">
        <f t="shared" si="15"/>
        <v>8226.6666666666679</v>
      </c>
    </row>
    <row r="193" spans="1:15" ht="17.25" thickTop="1" thickBot="1">
      <c r="B193" s="10">
        <f t="shared" si="17"/>
        <v>15</v>
      </c>
      <c r="C193" s="74">
        <v>116334103729</v>
      </c>
      <c r="D193" s="75">
        <v>223789</v>
      </c>
      <c r="E193" s="65">
        <v>45284</v>
      </c>
      <c r="F193" s="65">
        <v>45301</v>
      </c>
      <c r="G193" s="65">
        <v>45308</v>
      </c>
      <c r="H193" s="61" t="s">
        <v>22</v>
      </c>
      <c r="I193" s="62">
        <f t="shared" si="11"/>
        <v>7</v>
      </c>
      <c r="J193" s="63">
        <v>38</v>
      </c>
      <c r="K193" s="58">
        <f t="shared" si="14"/>
        <v>266</v>
      </c>
      <c r="L193" s="59">
        <v>30.85</v>
      </c>
      <c r="M193" s="64">
        <f t="shared" si="12"/>
        <v>8206.1</v>
      </c>
      <c r="N193" s="64">
        <f t="shared" si="13"/>
        <v>2182822.6</v>
      </c>
      <c r="O193" s="24">
        <f t="shared" si="15"/>
        <v>7198.3333333333339</v>
      </c>
    </row>
    <row r="194" spans="1:15" ht="17.25" thickTop="1" thickBot="1">
      <c r="B194" s="10">
        <f t="shared" si="17"/>
        <v>16</v>
      </c>
      <c r="C194" s="74">
        <v>115364100250</v>
      </c>
      <c r="D194" s="75">
        <v>223790</v>
      </c>
      <c r="E194" s="65">
        <v>45290</v>
      </c>
      <c r="F194" s="65">
        <v>45296</v>
      </c>
      <c r="G194" s="65">
        <v>45308</v>
      </c>
      <c r="H194" s="61" t="s">
        <v>22</v>
      </c>
      <c r="I194" s="62">
        <f t="shared" ref="I194:I257" si="18">+G194-F194</f>
        <v>12</v>
      </c>
      <c r="J194" s="63">
        <v>38</v>
      </c>
      <c r="K194" s="58">
        <f t="shared" si="14"/>
        <v>456</v>
      </c>
      <c r="L194" s="59">
        <v>30.85</v>
      </c>
      <c r="M194" s="64">
        <f t="shared" ref="M194:M257" si="19">+K194*L194</f>
        <v>14067.6</v>
      </c>
      <c r="N194" s="64">
        <f t="shared" ref="N194:N233" si="20">+K194*M194</f>
        <v>6414825.6000000006</v>
      </c>
      <c r="O194" s="24">
        <f t="shared" si="15"/>
        <v>12340.000000000002</v>
      </c>
    </row>
    <row r="195" spans="1:15" ht="17.25" thickTop="1" thickBot="1">
      <c r="B195" s="10">
        <f t="shared" si="17"/>
        <v>17</v>
      </c>
      <c r="C195" s="74">
        <v>115384100450</v>
      </c>
      <c r="D195" s="75">
        <v>223792</v>
      </c>
      <c r="E195" s="65">
        <v>45301</v>
      </c>
      <c r="F195" s="65">
        <v>45301</v>
      </c>
      <c r="G195" s="65">
        <v>45308</v>
      </c>
      <c r="H195" s="61" t="s">
        <v>20</v>
      </c>
      <c r="I195" s="62">
        <f t="shared" si="18"/>
        <v>7</v>
      </c>
      <c r="J195" s="63">
        <v>30</v>
      </c>
      <c r="K195" s="58">
        <f t="shared" si="14"/>
        <v>210</v>
      </c>
      <c r="L195" s="59">
        <v>30.85</v>
      </c>
      <c r="M195" s="64">
        <f t="shared" si="19"/>
        <v>6478.5</v>
      </c>
      <c r="N195" s="64">
        <f t="shared" si="20"/>
        <v>1360485</v>
      </c>
      <c r="O195" s="24">
        <f t="shared" si="15"/>
        <v>5682.8947368421059</v>
      </c>
    </row>
    <row r="196" spans="1:15" ht="17.25" thickTop="1" thickBot="1">
      <c r="B196" s="10">
        <f t="shared" si="17"/>
        <v>18</v>
      </c>
      <c r="C196" s="74">
        <v>116304108097</v>
      </c>
      <c r="D196" s="75">
        <v>223795</v>
      </c>
      <c r="E196" s="65">
        <v>45295</v>
      </c>
      <c r="F196" s="65">
        <v>45301</v>
      </c>
      <c r="G196" s="65">
        <v>45308</v>
      </c>
      <c r="H196" s="61" t="s">
        <v>22</v>
      </c>
      <c r="I196" s="62">
        <f t="shared" si="18"/>
        <v>7</v>
      </c>
      <c r="J196" s="63">
        <v>38</v>
      </c>
      <c r="K196" s="58">
        <f t="shared" si="14"/>
        <v>266</v>
      </c>
      <c r="L196" s="59">
        <v>30.85</v>
      </c>
      <c r="M196" s="64">
        <f t="shared" si="19"/>
        <v>8206.1</v>
      </c>
      <c r="N196" s="64">
        <f t="shared" si="20"/>
        <v>2182822.6</v>
      </c>
      <c r="O196" s="24">
        <f t="shared" si="15"/>
        <v>7198.3333333333339</v>
      </c>
    </row>
    <row r="197" spans="1:15" ht="17.25" thickTop="1" thickBot="1">
      <c r="B197" s="10">
        <f t="shared" si="17"/>
        <v>19</v>
      </c>
      <c r="C197" s="74">
        <v>116324102806</v>
      </c>
      <c r="D197" s="79">
        <v>223826</v>
      </c>
      <c r="E197" s="80">
        <v>45282</v>
      </c>
      <c r="F197" s="65">
        <v>45299</v>
      </c>
      <c r="G197" s="65">
        <v>45309</v>
      </c>
      <c r="H197" s="61" t="s">
        <v>20</v>
      </c>
      <c r="I197" s="62">
        <f t="shared" si="18"/>
        <v>10</v>
      </c>
      <c r="J197" s="63">
        <v>30</v>
      </c>
      <c r="K197" s="58">
        <f t="shared" si="14"/>
        <v>300</v>
      </c>
      <c r="L197" s="59">
        <v>30.85</v>
      </c>
      <c r="M197" s="64">
        <f t="shared" si="19"/>
        <v>9255</v>
      </c>
      <c r="N197" s="64">
        <f t="shared" si="20"/>
        <v>2776500</v>
      </c>
      <c r="O197" s="24">
        <f t="shared" si="15"/>
        <v>8118.4210526315801</v>
      </c>
    </row>
    <row r="198" spans="1:15" ht="17.25" thickTop="1" thickBot="1">
      <c r="B198" s="10">
        <f t="shared" si="17"/>
        <v>20</v>
      </c>
      <c r="C198" s="74">
        <v>116364108123</v>
      </c>
      <c r="D198" s="75">
        <v>223838</v>
      </c>
      <c r="E198" s="65">
        <v>45297</v>
      </c>
      <c r="F198" s="65">
        <v>45305</v>
      </c>
      <c r="G198" s="65">
        <v>45309</v>
      </c>
      <c r="H198" s="61" t="s">
        <v>22</v>
      </c>
      <c r="I198" s="62">
        <f t="shared" si="18"/>
        <v>4</v>
      </c>
      <c r="J198" s="63">
        <v>38</v>
      </c>
      <c r="K198" s="58">
        <f t="shared" si="14"/>
        <v>152</v>
      </c>
      <c r="L198" s="59">
        <v>30.85</v>
      </c>
      <c r="M198" s="64">
        <f t="shared" si="19"/>
        <v>4689.2</v>
      </c>
      <c r="N198" s="64">
        <f t="shared" si="20"/>
        <v>712758.4</v>
      </c>
      <c r="O198" s="24">
        <f t="shared" si="15"/>
        <v>4113.3333333333339</v>
      </c>
    </row>
    <row r="199" spans="1:15" ht="17.25" thickTop="1" thickBot="1">
      <c r="B199" s="10">
        <f t="shared" si="17"/>
        <v>21</v>
      </c>
      <c r="C199" s="74">
        <v>116344100439</v>
      </c>
      <c r="D199" s="79">
        <v>223841</v>
      </c>
      <c r="E199" s="80">
        <v>45241</v>
      </c>
      <c r="F199" s="65">
        <v>45295</v>
      </c>
      <c r="G199" s="65">
        <v>45309</v>
      </c>
      <c r="H199" s="61" t="s">
        <v>22</v>
      </c>
      <c r="I199" s="62">
        <f t="shared" si="18"/>
        <v>14</v>
      </c>
      <c r="J199" s="63" t="s">
        <v>55</v>
      </c>
      <c r="K199" s="58">
        <f>1*70+13*44</f>
        <v>642</v>
      </c>
      <c r="L199" s="59">
        <v>30.85</v>
      </c>
      <c r="M199" s="64">
        <f t="shared" si="19"/>
        <v>19805.7</v>
      </c>
      <c r="N199" s="64">
        <f t="shared" si="20"/>
        <v>12715259.4</v>
      </c>
      <c r="O199" s="24">
        <f t="shared" si="15"/>
        <v>17373.42105263158</v>
      </c>
    </row>
    <row r="200" spans="1:15" ht="17.25" thickTop="1" thickBot="1">
      <c r="B200" s="10">
        <f t="shared" si="17"/>
        <v>22</v>
      </c>
      <c r="C200" s="74">
        <v>116334105983</v>
      </c>
      <c r="D200" s="75">
        <v>223858</v>
      </c>
      <c r="E200" s="65">
        <v>45290</v>
      </c>
      <c r="F200" s="65">
        <v>45302</v>
      </c>
      <c r="G200" s="65">
        <v>45310</v>
      </c>
      <c r="H200" s="61" t="s">
        <v>22</v>
      </c>
      <c r="I200" s="62">
        <f t="shared" si="18"/>
        <v>8</v>
      </c>
      <c r="J200" s="63">
        <v>38</v>
      </c>
      <c r="K200" s="58">
        <f t="shared" ref="K200:K259" si="21">+J200*I200</f>
        <v>304</v>
      </c>
      <c r="L200" s="59">
        <v>30.85</v>
      </c>
      <c r="M200" s="64">
        <f t="shared" si="19"/>
        <v>9378.4</v>
      </c>
      <c r="N200" s="64">
        <f t="shared" si="20"/>
        <v>2851033.6</v>
      </c>
      <c r="O200" s="24">
        <f t="shared" si="15"/>
        <v>8226.6666666666679</v>
      </c>
    </row>
    <row r="201" spans="1:15" ht="17.25" thickTop="1" thickBot="1">
      <c r="B201" s="10">
        <f t="shared" si="17"/>
        <v>23</v>
      </c>
      <c r="C201" s="74">
        <v>116344103638</v>
      </c>
      <c r="D201" s="75">
        <v>223892</v>
      </c>
      <c r="E201" s="65">
        <v>45282</v>
      </c>
      <c r="F201" s="65">
        <v>45300</v>
      </c>
      <c r="G201" s="65">
        <v>45310</v>
      </c>
      <c r="H201" s="61" t="s">
        <v>21</v>
      </c>
      <c r="I201" s="62">
        <f t="shared" si="18"/>
        <v>10</v>
      </c>
      <c r="J201" s="63">
        <v>33</v>
      </c>
      <c r="K201" s="58">
        <f t="shared" si="21"/>
        <v>330</v>
      </c>
      <c r="L201" s="59">
        <v>30.85</v>
      </c>
      <c r="M201" s="64">
        <f t="shared" si="19"/>
        <v>10180.5</v>
      </c>
      <c r="N201" s="64">
        <f t="shared" si="20"/>
        <v>3359565</v>
      </c>
      <c r="O201" s="24">
        <f t="shared" si="15"/>
        <v>8930.2631578947385</v>
      </c>
    </row>
    <row r="202" spans="1:15" ht="17.25" thickTop="1" thickBot="1">
      <c r="B202" s="10">
        <f t="shared" si="17"/>
        <v>24</v>
      </c>
      <c r="C202" s="74">
        <v>115394100628</v>
      </c>
      <c r="D202" s="75">
        <v>223947</v>
      </c>
      <c r="E202" s="65">
        <v>45306</v>
      </c>
      <c r="F202" s="65">
        <v>45307</v>
      </c>
      <c r="G202" s="65">
        <v>45311</v>
      </c>
      <c r="H202" s="61" t="s">
        <v>20</v>
      </c>
      <c r="I202" s="62">
        <f t="shared" si="18"/>
        <v>4</v>
      </c>
      <c r="J202" s="63">
        <v>30</v>
      </c>
      <c r="K202" s="58">
        <f t="shared" si="21"/>
        <v>120</v>
      </c>
      <c r="L202" s="59">
        <v>30.85</v>
      </c>
      <c r="M202" s="64">
        <f t="shared" si="19"/>
        <v>3702</v>
      </c>
      <c r="N202" s="64">
        <f t="shared" si="20"/>
        <v>444240</v>
      </c>
      <c r="O202" s="24">
        <f t="shared" si="15"/>
        <v>3247.3684210526317</v>
      </c>
    </row>
    <row r="203" spans="1:15" ht="17.25" thickTop="1" thickBot="1">
      <c r="B203" s="10">
        <f t="shared" si="17"/>
        <v>25</v>
      </c>
      <c r="C203" s="74">
        <v>116344106868</v>
      </c>
      <c r="D203" s="75">
        <v>223971</v>
      </c>
      <c r="E203" s="65">
        <v>45292</v>
      </c>
      <c r="F203" s="65">
        <v>45304</v>
      </c>
      <c r="G203" s="65">
        <v>45311</v>
      </c>
      <c r="H203" s="61" t="s">
        <v>22</v>
      </c>
      <c r="I203" s="62">
        <f t="shared" si="18"/>
        <v>7</v>
      </c>
      <c r="J203" s="63">
        <v>38</v>
      </c>
      <c r="K203" s="58">
        <f t="shared" si="21"/>
        <v>266</v>
      </c>
      <c r="L203" s="59">
        <v>30.85</v>
      </c>
      <c r="M203" s="64">
        <f t="shared" si="19"/>
        <v>8206.1</v>
      </c>
      <c r="N203" s="64">
        <f t="shared" si="20"/>
        <v>2182822.6</v>
      </c>
      <c r="O203" s="24">
        <f t="shared" si="15"/>
        <v>7198.3333333333339</v>
      </c>
    </row>
    <row r="204" spans="1:15" ht="17.25" thickTop="1" thickBot="1">
      <c r="B204" s="10">
        <f t="shared" si="17"/>
        <v>26</v>
      </c>
      <c r="C204" s="74">
        <v>116324106323</v>
      </c>
      <c r="D204" s="75">
        <v>224020</v>
      </c>
      <c r="E204" s="65">
        <v>45293</v>
      </c>
      <c r="F204" s="65">
        <v>45305</v>
      </c>
      <c r="G204" s="65">
        <v>45312</v>
      </c>
      <c r="H204" s="61" t="s">
        <v>22</v>
      </c>
      <c r="I204" s="62">
        <f t="shared" si="18"/>
        <v>7</v>
      </c>
      <c r="J204" s="63">
        <v>38</v>
      </c>
      <c r="K204" s="58">
        <f t="shared" si="21"/>
        <v>266</v>
      </c>
      <c r="L204" s="59">
        <v>30.85</v>
      </c>
      <c r="M204" s="64">
        <f t="shared" si="19"/>
        <v>8206.1</v>
      </c>
      <c r="N204" s="64">
        <f t="shared" si="20"/>
        <v>2182822.6</v>
      </c>
      <c r="O204" s="24">
        <f t="shared" si="15"/>
        <v>7198.3333333333339</v>
      </c>
    </row>
    <row r="205" spans="1:15" ht="17.25" thickTop="1" thickBot="1">
      <c r="B205" s="10">
        <f t="shared" si="17"/>
        <v>27</v>
      </c>
      <c r="C205" s="74">
        <v>116334109646</v>
      </c>
      <c r="D205" s="75">
        <v>224022</v>
      </c>
      <c r="E205" s="65">
        <v>45299</v>
      </c>
      <c r="F205" s="65">
        <v>45304</v>
      </c>
      <c r="G205" s="65">
        <v>45312</v>
      </c>
      <c r="H205" s="61" t="s">
        <v>22</v>
      </c>
      <c r="I205" s="62">
        <f t="shared" si="18"/>
        <v>8</v>
      </c>
      <c r="J205" s="63">
        <v>38</v>
      </c>
      <c r="K205" s="58">
        <f t="shared" si="21"/>
        <v>304</v>
      </c>
      <c r="L205" s="59">
        <v>30.85</v>
      </c>
      <c r="M205" s="64">
        <f t="shared" si="19"/>
        <v>9378.4</v>
      </c>
      <c r="N205" s="64">
        <f t="shared" si="20"/>
        <v>2851033.6</v>
      </c>
      <c r="O205" s="24">
        <f t="shared" si="15"/>
        <v>8226.6666666666679</v>
      </c>
    </row>
    <row r="206" spans="1:15" ht="17.25" thickTop="1" thickBot="1">
      <c r="B206" s="10">
        <f t="shared" si="17"/>
        <v>28</v>
      </c>
      <c r="C206" s="74">
        <v>116364105801</v>
      </c>
      <c r="D206" s="75">
        <v>224025</v>
      </c>
      <c r="E206" s="65">
        <v>45288</v>
      </c>
      <c r="F206" s="65">
        <v>45305</v>
      </c>
      <c r="G206" s="65">
        <v>45312</v>
      </c>
      <c r="H206" s="61" t="s">
        <v>22</v>
      </c>
      <c r="I206" s="62">
        <f t="shared" si="18"/>
        <v>7</v>
      </c>
      <c r="J206" s="63">
        <v>38</v>
      </c>
      <c r="K206" s="58">
        <f t="shared" si="21"/>
        <v>266</v>
      </c>
      <c r="L206" s="59">
        <v>30.85</v>
      </c>
      <c r="M206" s="64">
        <f t="shared" si="19"/>
        <v>8206.1</v>
      </c>
      <c r="N206" s="64">
        <f t="shared" si="20"/>
        <v>2182822.6</v>
      </c>
      <c r="O206" s="24">
        <f t="shared" si="15"/>
        <v>7198.3333333333339</v>
      </c>
    </row>
    <row r="207" spans="1:15" ht="17.25" thickTop="1" thickBot="1">
      <c r="B207" s="10">
        <f t="shared" si="17"/>
        <v>29</v>
      </c>
      <c r="C207" s="74">
        <v>116364106730</v>
      </c>
      <c r="D207" s="75">
        <v>224044</v>
      </c>
      <c r="E207" s="65">
        <v>45296</v>
      </c>
      <c r="F207" s="65">
        <v>45305</v>
      </c>
      <c r="G207" s="65">
        <v>45312</v>
      </c>
      <c r="H207" s="61" t="s">
        <v>22</v>
      </c>
      <c r="I207" s="62">
        <f t="shared" si="18"/>
        <v>7</v>
      </c>
      <c r="J207" s="63">
        <v>38</v>
      </c>
      <c r="K207" s="58">
        <f t="shared" si="21"/>
        <v>266</v>
      </c>
      <c r="L207" s="59">
        <v>30.85</v>
      </c>
      <c r="M207" s="64">
        <f t="shared" si="19"/>
        <v>8206.1</v>
      </c>
      <c r="N207" s="64">
        <f t="shared" si="20"/>
        <v>2182822.6</v>
      </c>
      <c r="O207" s="24">
        <f t="shared" si="15"/>
        <v>7198.3333333333339</v>
      </c>
    </row>
    <row r="208" spans="1:15" ht="17.25" thickTop="1" thickBot="1">
      <c r="A208" s="13"/>
      <c r="B208" s="10">
        <v>2</v>
      </c>
      <c r="C208" s="74">
        <v>116394108218</v>
      </c>
      <c r="D208" s="75">
        <v>224046</v>
      </c>
      <c r="E208" s="65">
        <v>45296</v>
      </c>
      <c r="F208" s="65">
        <v>45304</v>
      </c>
      <c r="G208" s="65">
        <v>45312</v>
      </c>
      <c r="H208" s="61" t="s">
        <v>22</v>
      </c>
      <c r="I208" s="62">
        <f t="shared" si="18"/>
        <v>8</v>
      </c>
      <c r="J208" s="63">
        <v>38</v>
      </c>
      <c r="K208" s="58">
        <f t="shared" si="21"/>
        <v>304</v>
      </c>
      <c r="L208" s="59">
        <v>30.85</v>
      </c>
      <c r="M208" s="64">
        <f t="shared" si="19"/>
        <v>9378.4</v>
      </c>
      <c r="N208" s="64">
        <f t="shared" si="20"/>
        <v>2851033.6</v>
      </c>
      <c r="O208" s="24">
        <f t="shared" si="15"/>
        <v>8226.6666666666679</v>
      </c>
    </row>
    <row r="209" spans="1:15" ht="17.25" thickTop="1" thickBot="1">
      <c r="A209" s="15"/>
      <c r="B209" s="10">
        <f>+B208+1</f>
        <v>3</v>
      </c>
      <c r="C209" s="74">
        <v>116394108942</v>
      </c>
      <c r="D209" s="75">
        <v>224050</v>
      </c>
      <c r="E209" s="65">
        <v>45300</v>
      </c>
      <c r="F209" s="65">
        <v>45305</v>
      </c>
      <c r="G209" s="65">
        <v>45312</v>
      </c>
      <c r="H209" s="61" t="s">
        <v>22</v>
      </c>
      <c r="I209" s="62">
        <f t="shared" si="18"/>
        <v>7</v>
      </c>
      <c r="J209" s="63">
        <v>38</v>
      </c>
      <c r="K209" s="58">
        <f t="shared" si="21"/>
        <v>266</v>
      </c>
      <c r="L209" s="59">
        <v>30.85</v>
      </c>
      <c r="M209" s="64">
        <f t="shared" si="19"/>
        <v>8206.1</v>
      </c>
      <c r="N209" s="64">
        <f t="shared" si="20"/>
        <v>2182822.6</v>
      </c>
      <c r="O209" s="24">
        <f t="shared" si="15"/>
        <v>7198.3333333333339</v>
      </c>
    </row>
    <row r="210" spans="1:15" ht="17.25" thickTop="1" thickBot="1">
      <c r="B210" s="10">
        <f>+B209+1</f>
        <v>4</v>
      </c>
      <c r="C210" s="74">
        <v>116344105236</v>
      </c>
      <c r="D210" s="75">
        <v>224062</v>
      </c>
      <c r="E210" s="65">
        <v>45288</v>
      </c>
      <c r="F210" s="65">
        <v>45304</v>
      </c>
      <c r="G210" s="65">
        <v>45312</v>
      </c>
      <c r="H210" s="61" t="s">
        <v>22</v>
      </c>
      <c r="I210" s="62">
        <f t="shared" si="18"/>
        <v>8</v>
      </c>
      <c r="J210" s="63">
        <v>38</v>
      </c>
      <c r="K210" s="58">
        <f t="shared" si="21"/>
        <v>304</v>
      </c>
      <c r="L210" s="59">
        <v>30.85</v>
      </c>
      <c r="M210" s="64">
        <f t="shared" si="19"/>
        <v>9378.4</v>
      </c>
      <c r="N210" s="64">
        <f t="shared" si="20"/>
        <v>2851033.6</v>
      </c>
      <c r="O210" s="24">
        <f t="shared" si="15"/>
        <v>8226.6666666666679</v>
      </c>
    </row>
    <row r="211" spans="1:15" ht="17.25" thickTop="1" thickBot="1">
      <c r="B211" s="10">
        <f>+B210+1</f>
        <v>5</v>
      </c>
      <c r="C211" s="74">
        <v>116314111296</v>
      </c>
      <c r="D211" s="75">
        <v>224091</v>
      </c>
      <c r="E211" s="65">
        <v>45302</v>
      </c>
      <c r="F211" s="65">
        <v>45305</v>
      </c>
      <c r="G211" s="65">
        <v>45312</v>
      </c>
      <c r="H211" s="61" t="s">
        <v>20</v>
      </c>
      <c r="I211" s="62">
        <f t="shared" si="18"/>
        <v>7</v>
      </c>
      <c r="J211" s="63">
        <v>30</v>
      </c>
      <c r="K211" s="58">
        <f t="shared" si="21"/>
        <v>210</v>
      </c>
      <c r="L211" s="59">
        <v>30.85</v>
      </c>
      <c r="M211" s="64">
        <f t="shared" si="19"/>
        <v>6478.5</v>
      </c>
      <c r="N211" s="64">
        <f t="shared" si="20"/>
        <v>1360485</v>
      </c>
      <c r="O211" s="24">
        <f t="shared" si="15"/>
        <v>5682.8947368421059</v>
      </c>
    </row>
    <row r="212" spans="1:15" ht="17.25" thickTop="1" thickBot="1">
      <c r="B212" s="10">
        <f t="shared" ref="B212:B231" si="22">+B211+1</f>
        <v>6</v>
      </c>
      <c r="C212" s="74">
        <v>116364105993</v>
      </c>
      <c r="D212" s="75">
        <v>224045</v>
      </c>
      <c r="E212" s="65">
        <v>45291</v>
      </c>
      <c r="F212" s="65">
        <v>45303</v>
      </c>
      <c r="G212" s="65">
        <v>45313</v>
      </c>
      <c r="H212" s="61" t="s">
        <v>23</v>
      </c>
      <c r="I212" s="62">
        <f>+G212-F212</f>
        <v>10</v>
      </c>
      <c r="J212" s="63">
        <v>44</v>
      </c>
      <c r="K212" s="58">
        <f t="shared" si="21"/>
        <v>440</v>
      </c>
      <c r="L212" s="59">
        <v>30.85</v>
      </c>
      <c r="M212" s="64">
        <f t="shared" si="19"/>
        <v>13574</v>
      </c>
      <c r="N212" s="64">
        <f t="shared" si="20"/>
        <v>5972560</v>
      </c>
      <c r="O212" s="24">
        <f t="shared" si="15"/>
        <v>11907.017543859651</v>
      </c>
    </row>
    <row r="213" spans="1:15" ht="17.25" thickTop="1" thickBot="1">
      <c r="B213" s="10">
        <f t="shared" si="22"/>
        <v>7</v>
      </c>
      <c r="C213" s="74">
        <v>116304109162</v>
      </c>
      <c r="D213" s="75">
        <v>224115</v>
      </c>
      <c r="E213" s="65">
        <v>45301</v>
      </c>
      <c r="F213" s="65">
        <v>45306</v>
      </c>
      <c r="G213" s="65">
        <v>45313</v>
      </c>
      <c r="H213" s="61" t="s">
        <v>22</v>
      </c>
      <c r="I213" s="62">
        <f t="shared" si="18"/>
        <v>7</v>
      </c>
      <c r="J213" s="63">
        <v>38</v>
      </c>
      <c r="K213" s="58">
        <f t="shared" si="21"/>
        <v>266</v>
      </c>
      <c r="L213" s="59">
        <v>30.85</v>
      </c>
      <c r="M213" s="64">
        <f t="shared" si="19"/>
        <v>8206.1</v>
      </c>
      <c r="N213" s="64">
        <f t="shared" si="20"/>
        <v>2182822.6</v>
      </c>
      <c r="O213" s="24">
        <f t="shared" si="15"/>
        <v>7198.3333333333339</v>
      </c>
    </row>
    <row r="214" spans="1:15" ht="17.25" thickTop="1" thickBot="1">
      <c r="B214" s="10">
        <f t="shared" si="22"/>
        <v>8</v>
      </c>
      <c r="C214" s="74">
        <v>116314108104</v>
      </c>
      <c r="D214" s="75">
        <v>224119</v>
      </c>
      <c r="E214" s="65">
        <v>45298</v>
      </c>
      <c r="F214" s="65">
        <v>45306</v>
      </c>
      <c r="G214" s="65">
        <v>45313</v>
      </c>
      <c r="H214" s="61" t="s">
        <v>22</v>
      </c>
      <c r="I214" s="62">
        <f t="shared" si="18"/>
        <v>7</v>
      </c>
      <c r="J214" s="63">
        <v>38</v>
      </c>
      <c r="K214" s="58">
        <f t="shared" si="21"/>
        <v>266</v>
      </c>
      <c r="L214" s="59">
        <v>30.85</v>
      </c>
      <c r="M214" s="64">
        <f t="shared" si="19"/>
        <v>8206.1</v>
      </c>
      <c r="N214" s="64">
        <f t="shared" si="20"/>
        <v>2182822.6</v>
      </c>
      <c r="O214" s="24">
        <f t="shared" si="15"/>
        <v>7198.3333333333339</v>
      </c>
    </row>
    <row r="215" spans="1:15" ht="17.25" thickTop="1" thickBot="1">
      <c r="B215" s="10">
        <f t="shared" si="22"/>
        <v>9</v>
      </c>
      <c r="C215" s="74">
        <v>116394104333</v>
      </c>
      <c r="D215" s="75">
        <v>224121</v>
      </c>
      <c r="E215" s="65">
        <v>45286</v>
      </c>
      <c r="F215" s="65">
        <v>45306</v>
      </c>
      <c r="G215" s="65">
        <v>45313</v>
      </c>
      <c r="H215" s="61" t="s">
        <v>22</v>
      </c>
      <c r="I215" s="62">
        <f t="shared" si="18"/>
        <v>7</v>
      </c>
      <c r="J215" s="63">
        <v>38</v>
      </c>
      <c r="K215" s="58">
        <f t="shared" si="21"/>
        <v>266</v>
      </c>
      <c r="L215" s="59">
        <v>30.85</v>
      </c>
      <c r="M215" s="64">
        <f t="shared" si="19"/>
        <v>8206.1</v>
      </c>
      <c r="N215" s="64">
        <f t="shared" si="20"/>
        <v>2182822.6</v>
      </c>
      <c r="O215" s="24">
        <f t="shared" ref="O215:O231" si="23">+M215/1.14</f>
        <v>7198.3333333333339</v>
      </c>
    </row>
    <row r="216" spans="1:15" ht="17.25" thickTop="1" thickBot="1">
      <c r="B216" s="10">
        <f t="shared" si="22"/>
        <v>10</v>
      </c>
      <c r="C216" s="74">
        <v>116304101876</v>
      </c>
      <c r="D216" s="75">
        <v>224124</v>
      </c>
      <c r="E216" s="65">
        <v>45281</v>
      </c>
      <c r="F216" s="65">
        <v>45306</v>
      </c>
      <c r="G216" s="65">
        <v>45313</v>
      </c>
      <c r="H216" s="61" t="s">
        <v>20</v>
      </c>
      <c r="I216" s="62">
        <f t="shared" si="18"/>
        <v>7</v>
      </c>
      <c r="J216" s="63">
        <v>30</v>
      </c>
      <c r="K216" s="58">
        <f t="shared" si="21"/>
        <v>210</v>
      </c>
      <c r="L216" s="59">
        <v>30.85</v>
      </c>
      <c r="M216" s="64">
        <f t="shared" si="19"/>
        <v>6478.5</v>
      </c>
      <c r="N216" s="64">
        <f t="shared" si="20"/>
        <v>1360485</v>
      </c>
      <c r="O216" s="24">
        <f t="shared" si="23"/>
        <v>5682.8947368421059</v>
      </c>
    </row>
    <row r="217" spans="1:15" ht="17.25" thickTop="1" thickBot="1">
      <c r="B217" s="10">
        <f t="shared" si="22"/>
        <v>11</v>
      </c>
      <c r="C217" s="74">
        <v>116314111531</v>
      </c>
      <c r="D217" s="75">
        <v>224136</v>
      </c>
      <c r="E217" s="65">
        <v>45306</v>
      </c>
      <c r="F217" s="65">
        <v>45307</v>
      </c>
      <c r="G217" s="65">
        <v>45314</v>
      </c>
      <c r="H217" s="61" t="s">
        <v>22</v>
      </c>
      <c r="I217" s="62">
        <f t="shared" si="18"/>
        <v>7</v>
      </c>
      <c r="J217" s="63">
        <v>38</v>
      </c>
      <c r="K217" s="58">
        <f t="shared" si="21"/>
        <v>266</v>
      </c>
      <c r="L217" s="59">
        <v>30.85</v>
      </c>
      <c r="M217" s="64">
        <f t="shared" si="19"/>
        <v>8206.1</v>
      </c>
      <c r="N217" s="64">
        <f t="shared" si="20"/>
        <v>2182822.6</v>
      </c>
      <c r="O217" s="24">
        <f t="shared" si="23"/>
        <v>7198.3333333333339</v>
      </c>
    </row>
    <row r="218" spans="1:15" ht="17.25" thickTop="1" thickBot="1">
      <c r="B218" s="10">
        <f t="shared" si="22"/>
        <v>12</v>
      </c>
      <c r="C218" s="74">
        <v>116374110516</v>
      </c>
      <c r="D218" s="75">
        <v>224138</v>
      </c>
      <c r="E218" s="65">
        <v>45302</v>
      </c>
      <c r="F218" s="65">
        <v>45306</v>
      </c>
      <c r="G218" s="65">
        <v>45314</v>
      </c>
      <c r="H218" s="61" t="s">
        <v>20</v>
      </c>
      <c r="I218" s="62">
        <f t="shared" si="18"/>
        <v>8</v>
      </c>
      <c r="J218" s="63">
        <v>30</v>
      </c>
      <c r="K218" s="58">
        <f t="shared" si="21"/>
        <v>240</v>
      </c>
      <c r="L218" s="59">
        <v>30.85</v>
      </c>
      <c r="M218" s="64">
        <f t="shared" si="19"/>
        <v>7404</v>
      </c>
      <c r="N218" s="64">
        <f t="shared" si="20"/>
        <v>1776960</v>
      </c>
      <c r="O218" s="24">
        <f t="shared" si="23"/>
        <v>6494.7368421052633</v>
      </c>
    </row>
    <row r="219" spans="1:15" ht="17.25" thickTop="1" thickBot="1">
      <c r="B219" s="10">
        <f t="shared" si="22"/>
        <v>13</v>
      </c>
      <c r="C219" s="74">
        <v>116314110633</v>
      </c>
      <c r="D219" s="75">
        <v>224143</v>
      </c>
      <c r="E219" s="65">
        <v>45302</v>
      </c>
      <c r="F219" s="65">
        <v>45306</v>
      </c>
      <c r="G219" s="65">
        <v>45314</v>
      </c>
      <c r="H219" s="61" t="s">
        <v>22</v>
      </c>
      <c r="I219" s="62">
        <f t="shared" si="18"/>
        <v>8</v>
      </c>
      <c r="J219" s="63">
        <v>38</v>
      </c>
      <c r="K219" s="58">
        <f t="shared" si="21"/>
        <v>304</v>
      </c>
      <c r="L219" s="59">
        <v>30.85</v>
      </c>
      <c r="M219" s="64">
        <f t="shared" si="19"/>
        <v>9378.4</v>
      </c>
      <c r="N219" s="64">
        <f t="shared" si="20"/>
        <v>2851033.6</v>
      </c>
      <c r="O219" s="24">
        <f t="shared" si="23"/>
        <v>8226.6666666666679</v>
      </c>
    </row>
    <row r="220" spans="1:15" ht="17.25" thickTop="1" thickBot="1">
      <c r="B220" s="10">
        <f t="shared" si="22"/>
        <v>14</v>
      </c>
      <c r="C220" s="74">
        <v>116324109546</v>
      </c>
      <c r="D220" s="75">
        <v>224147</v>
      </c>
      <c r="E220" s="65">
        <v>45300</v>
      </c>
      <c r="F220" s="65">
        <v>45307</v>
      </c>
      <c r="G220" s="65">
        <v>45314</v>
      </c>
      <c r="H220" s="61" t="s">
        <v>22</v>
      </c>
      <c r="I220" s="62">
        <f t="shared" si="18"/>
        <v>7</v>
      </c>
      <c r="J220" s="63">
        <v>38</v>
      </c>
      <c r="K220" s="58">
        <f t="shared" si="21"/>
        <v>266</v>
      </c>
      <c r="L220" s="59">
        <v>30.85</v>
      </c>
      <c r="M220" s="64">
        <f t="shared" si="19"/>
        <v>8206.1</v>
      </c>
      <c r="N220" s="64">
        <f t="shared" si="20"/>
        <v>2182822.6</v>
      </c>
      <c r="O220" s="24">
        <f t="shared" si="23"/>
        <v>7198.3333333333339</v>
      </c>
    </row>
    <row r="221" spans="1:15" ht="17.25" thickTop="1" thickBot="1">
      <c r="B221" s="10">
        <f t="shared" si="22"/>
        <v>15</v>
      </c>
      <c r="C221" s="74">
        <v>116394109802</v>
      </c>
      <c r="D221" s="75">
        <v>224164</v>
      </c>
      <c r="E221" s="65">
        <v>45300</v>
      </c>
      <c r="F221" s="65">
        <v>45307</v>
      </c>
      <c r="G221" s="65">
        <v>45315</v>
      </c>
      <c r="H221" s="61" t="s">
        <v>22</v>
      </c>
      <c r="I221" s="62">
        <f t="shared" si="18"/>
        <v>8</v>
      </c>
      <c r="J221" s="63">
        <v>38</v>
      </c>
      <c r="K221" s="58">
        <f t="shared" si="21"/>
        <v>304</v>
      </c>
      <c r="L221" s="59">
        <v>30.85</v>
      </c>
      <c r="M221" s="64">
        <f t="shared" si="19"/>
        <v>9378.4</v>
      </c>
      <c r="N221" s="64">
        <f t="shared" si="20"/>
        <v>2851033.6</v>
      </c>
      <c r="O221" s="24">
        <f t="shared" si="23"/>
        <v>8226.6666666666679</v>
      </c>
    </row>
    <row r="222" spans="1:15" ht="17.25" thickTop="1" thickBot="1">
      <c r="B222" s="10">
        <f t="shared" si="22"/>
        <v>16</v>
      </c>
      <c r="C222" s="74">
        <v>116384111071</v>
      </c>
      <c r="D222" s="75">
        <v>224165</v>
      </c>
      <c r="E222" s="65">
        <v>45302</v>
      </c>
      <c r="F222" s="65">
        <v>45308</v>
      </c>
      <c r="G222" s="65">
        <v>45315</v>
      </c>
      <c r="H222" s="61" t="s">
        <v>22</v>
      </c>
      <c r="I222" s="62">
        <f t="shared" si="18"/>
        <v>7</v>
      </c>
      <c r="J222" s="63">
        <v>38</v>
      </c>
      <c r="K222" s="58">
        <f t="shared" si="21"/>
        <v>266</v>
      </c>
      <c r="L222" s="59">
        <v>30.85</v>
      </c>
      <c r="M222" s="64">
        <f t="shared" si="19"/>
        <v>8206.1</v>
      </c>
      <c r="N222" s="64">
        <f t="shared" si="20"/>
        <v>2182822.6</v>
      </c>
      <c r="O222" s="24">
        <f t="shared" si="23"/>
        <v>7198.3333333333339</v>
      </c>
    </row>
    <row r="223" spans="1:15" ht="17.25" thickTop="1" thickBot="1">
      <c r="B223" s="10">
        <f t="shared" si="22"/>
        <v>17</v>
      </c>
      <c r="C223" s="74">
        <v>116384111637</v>
      </c>
      <c r="D223" s="75">
        <v>224171</v>
      </c>
      <c r="E223" s="65">
        <v>45303</v>
      </c>
      <c r="F223" s="65">
        <v>45304</v>
      </c>
      <c r="G223" s="65">
        <v>45315</v>
      </c>
      <c r="H223" s="61" t="s">
        <v>22</v>
      </c>
      <c r="I223" s="62">
        <f t="shared" si="18"/>
        <v>11</v>
      </c>
      <c r="J223" s="63">
        <v>38</v>
      </c>
      <c r="K223" s="58">
        <f t="shared" si="21"/>
        <v>418</v>
      </c>
      <c r="L223" s="59">
        <v>30.85</v>
      </c>
      <c r="M223" s="64">
        <f t="shared" si="19"/>
        <v>12895.300000000001</v>
      </c>
      <c r="N223" s="64">
        <f t="shared" si="20"/>
        <v>5390235.4000000004</v>
      </c>
      <c r="O223" s="24">
        <f t="shared" si="23"/>
        <v>11311.666666666668</v>
      </c>
    </row>
    <row r="224" spans="1:15" ht="17.25" thickTop="1" thickBot="1">
      <c r="B224" s="10">
        <f t="shared" si="22"/>
        <v>18</v>
      </c>
      <c r="C224" s="74">
        <v>116374108469</v>
      </c>
      <c r="D224" s="75">
        <v>224173</v>
      </c>
      <c r="E224" s="65">
        <v>45296</v>
      </c>
      <c r="F224" s="65">
        <v>45305</v>
      </c>
      <c r="G224" s="65">
        <v>45315</v>
      </c>
      <c r="H224" s="61" t="s">
        <v>21</v>
      </c>
      <c r="I224" s="62">
        <f t="shared" si="18"/>
        <v>10</v>
      </c>
      <c r="J224" s="63">
        <v>33</v>
      </c>
      <c r="K224" s="58">
        <f t="shared" si="21"/>
        <v>330</v>
      </c>
      <c r="L224" s="59">
        <v>30.85</v>
      </c>
      <c r="M224" s="64">
        <f t="shared" si="19"/>
        <v>10180.5</v>
      </c>
      <c r="N224" s="64">
        <f t="shared" si="20"/>
        <v>3359565</v>
      </c>
      <c r="O224" s="24">
        <f t="shared" si="23"/>
        <v>8930.2631578947385</v>
      </c>
    </row>
    <row r="225" spans="2:15" ht="17.25" thickTop="1" thickBot="1">
      <c r="B225" s="10">
        <f t="shared" si="22"/>
        <v>19</v>
      </c>
      <c r="C225" s="74">
        <v>116364110973</v>
      </c>
      <c r="D225" s="75">
        <v>224177</v>
      </c>
      <c r="E225" s="65">
        <v>45304</v>
      </c>
      <c r="F225" s="65">
        <v>45308</v>
      </c>
      <c r="G225" s="65">
        <v>45315</v>
      </c>
      <c r="H225" s="61" t="s">
        <v>20</v>
      </c>
      <c r="I225" s="62">
        <f t="shared" si="18"/>
        <v>7</v>
      </c>
      <c r="J225" s="63">
        <v>30</v>
      </c>
      <c r="K225" s="58">
        <f t="shared" si="21"/>
        <v>210</v>
      </c>
      <c r="L225" s="59">
        <v>30.85</v>
      </c>
      <c r="M225" s="64">
        <f t="shared" si="19"/>
        <v>6478.5</v>
      </c>
      <c r="N225" s="64">
        <f t="shared" si="20"/>
        <v>1360485</v>
      </c>
      <c r="O225" s="24">
        <f t="shared" si="23"/>
        <v>5682.8947368421059</v>
      </c>
    </row>
    <row r="226" spans="2:15" ht="17.25" thickTop="1" thickBot="1">
      <c r="B226" s="10">
        <f t="shared" si="22"/>
        <v>20</v>
      </c>
      <c r="C226" s="74">
        <v>116374112299</v>
      </c>
      <c r="D226" s="75">
        <v>224178</v>
      </c>
      <c r="E226" s="65">
        <v>45304</v>
      </c>
      <c r="F226" s="65">
        <v>45308</v>
      </c>
      <c r="G226" s="65">
        <v>45315</v>
      </c>
      <c r="H226" s="61" t="s">
        <v>20</v>
      </c>
      <c r="I226" s="62">
        <f t="shared" si="18"/>
        <v>7</v>
      </c>
      <c r="J226" s="63">
        <v>30</v>
      </c>
      <c r="K226" s="58">
        <f t="shared" si="21"/>
        <v>210</v>
      </c>
      <c r="L226" s="59">
        <v>30.85</v>
      </c>
      <c r="M226" s="64">
        <f t="shared" si="19"/>
        <v>6478.5</v>
      </c>
      <c r="N226" s="64">
        <f t="shared" si="20"/>
        <v>1360485</v>
      </c>
      <c r="O226" s="24">
        <f t="shared" si="23"/>
        <v>5682.8947368421059</v>
      </c>
    </row>
    <row r="227" spans="2:15" ht="17.25" thickTop="1" thickBot="1">
      <c r="B227" s="10">
        <f t="shared" si="22"/>
        <v>21</v>
      </c>
      <c r="C227" s="74">
        <v>116394106900</v>
      </c>
      <c r="D227" s="75">
        <v>224181</v>
      </c>
      <c r="E227" s="65">
        <v>45296</v>
      </c>
      <c r="F227" s="65">
        <v>45306</v>
      </c>
      <c r="G227" s="65">
        <v>45315</v>
      </c>
      <c r="H227" s="61" t="s">
        <v>22</v>
      </c>
      <c r="I227" s="62">
        <f t="shared" si="18"/>
        <v>9</v>
      </c>
      <c r="J227" s="63">
        <v>38</v>
      </c>
      <c r="K227" s="58">
        <f t="shared" si="21"/>
        <v>342</v>
      </c>
      <c r="L227" s="59">
        <v>30.85</v>
      </c>
      <c r="M227" s="64">
        <f t="shared" si="19"/>
        <v>10550.7</v>
      </c>
      <c r="N227" s="64">
        <f t="shared" si="20"/>
        <v>3608339.4000000004</v>
      </c>
      <c r="O227" s="24">
        <f t="shared" si="23"/>
        <v>9255.0000000000018</v>
      </c>
    </row>
    <row r="228" spans="2:15" ht="17.25" thickTop="1" thickBot="1">
      <c r="B228" s="10">
        <f t="shared" si="22"/>
        <v>22</v>
      </c>
      <c r="C228" s="74">
        <v>116364109663</v>
      </c>
      <c r="D228" s="75">
        <v>224186</v>
      </c>
      <c r="E228" s="65">
        <v>45300</v>
      </c>
      <c r="F228" s="65">
        <v>45308</v>
      </c>
      <c r="G228" s="65">
        <v>45315</v>
      </c>
      <c r="H228" s="61" t="s">
        <v>22</v>
      </c>
      <c r="I228" s="62">
        <f t="shared" si="18"/>
        <v>7</v>
      </c>
      <c r="J228" s="63">
        <v>38</v>
      </c>
      <c r="K228" s="58">
        <f t="shared" si="21"/>
        <v>266</v>
      </c>
      <c r="L228" s="59">
        <v>30.85</v>
      </c>
      <c r="M228" s="64">
        <f t="shared" si="19"/>
        <v>8206.1</v>
      </c>
      <c r="N228" s="64">
        <f t="shared" si="20"/>
        <v>2182822.6</v>
      </c>
      <c r="O228" s="24">
        <f t="shared" si="23"/>
        <v>7198.3333333333339</v>
      </c>
    </row>
    <row r="229" spans="2:15" ht="17.25" thickTop="1" thickBot="1">
      <c r="B229" s="10">
        <f t="shared" si="22"/>
        <v>23</v>
      </c>
      <c r="C229" s="74">
        <v>116304113428</v>
      </c>
      <c r="D229" s="75">
        <v>224207</v>
      </c>
      <c r="E229" s="65">
        <v>45308</v>
      </c>
      <c r="F229" s="65">
        <v>45309</v>
      </c>
      <c r="G229" s="65">
        <v>45316</v>
      </c>
      <c r="H229" s="61" t="s">
        <v>22</v>
      </c>
      <c r="I229" s="62">
        <f t="shared" si="18"/>
        <v>7</v>
      </c>
      <c r="J229" s="63">
        <v>38</v>
      </c>
      <c r="K229" s="58">
        <f t="shared" si="21"/>
        <v>266</v>
      </c>
      <c r="L229" s="59">
        <v>30.85</v>
      </c>
      <c r="M229" s="64">
        <f t="shared" si="19"/>
        <v>8206.1</v>
      </c>
      <c r="N229" s="64">
        <f t="shared" si="20"/>
        <v>2182822.6</v>
      </c>
      <c r="O229" s="24">
        <f t="shared" si="23"/>
        <v>7198.3333333333339</v>
      </c>
    </row>
    <row r="230" spans="2:15" ht="17.25" thickTop="1" thickBot="1">
      <c r="B230" s="10">
        <f t="shared" si="22"/>
        <v>24</v>
      </c>
      <c r="C230" s="74">
        <v>115354100709</v>
      </c>
      <c r="D230" s="75">
        <v>224209</v>
      </c>
      <c r="E230" s="65">
        <v>45307</v>
      </c>
      <c r="F230" s="65">
        <v>45309</v>
      </c>
      <c r="G230" s="65">
        <v>45316</v>
      </c>
      <c r="H230" s="61" t="s">
        <v>23</v>
      </c>
      <c r="I230" s="62">
        <f t="shared" si="18"/>
        <v>7</v>
      </c>
      <c r="J230" s="63">
        <v>44</v>
      </c>
      <c r="K230" s="58">
        <f t="shared" si="21"/>
        <v>308</v>
      </c>
      <c r="L230" s="59">
        <v>30.85</v>
      </c>
      <c r="M230" s="64">
        <f t="shared" si="19"/>
        <v>9501.8000000000011</v>
      </c>
      <c r="N230" s="64">
        <f t="shared" si="20"/>
        <v>2926554.4000000004</v>
      </c>
      <c r="O230" s="24">
        <f t="shared" si="23"/>
        <v>8334.9122807017557</v>
      </c>
    </row>
    <row r="231" spans="2:15" ht="17.25" thickTop="1" thickBot="1">
      <c r="B231" s="10">
        <f t="shared" si="22"/>
        <v>25</v>
      </c>
      <c r="C231" s="74">
        <v>116344113651</v>
      </c>
      <c r="D231" s="75">
        <v>224216</v>
      </c>
      <c r="E231" s="65">
        <v>45307</v>
      </c>
      <c r="F231" s="65">
        <v>45309</v>
      </c>
      <c r="G231" s="65">
        <v>45316</v>
      </c>
      <c r="H231" s="61" t="s">
        <v>21</v>
      </c>
      <c r="I231" s="62">
        <f t="shared" si="18"/>
        <v>7</v>
      </c>
      <c r="J231" s="63">
        <v>33</v>
      </c>
      <c r="K231" s="58">
        <f t="shared" si="21"/>
        <v>231</v>
      </c>
      <c r="L231" s="59">
        <v>30.85</v>
      </c>
      <c r="M231" s="64">
        <f t="shared" si="19"/>
        <v>7126.35</v>
      </c>
      <c r="N231" s="64">
        <f t="shared" si="20"/>
        <v>1646186.85</v>
      </c>
      <c r="O231" s="24">
        <f t="shared" si="23"/>
        <v>6251.1842105263167</v>
      </c>
    </row>
    <row r="232" spans="2:15" ht="17.25" thickTop="1" thickBot="1">
      <c r="C232" s="74">
        <v>116364107225</v>
      </c>
      <c r="D232" s="75">
        <v>224218</v>
      </c>
      <c r="E232" s="65">
        <v>45294</v>
      </c>
      <c r="F232" s="65">
        <v>45309</v>
      </c>
      <c r="G232" s="65">
        <v>45316</v>
      </c>
      <c r="H232" s="61" t="s">
        <v>23</v>
      </c>
      <c r="I232" s="62">
        <f t="shared" si="18"/>
        <v>7</v>
      </c>
      <c r="J232" s="63">
        <v>44</v>
      </c>
      <c r="K232" s="58">
        <f t="shared" si="21"/>
        <v>308</v>
      </c>
      <c r="L232" s="59">
        <v>30.85</v>
      </c>
      <c r="M232" s="64">
        <f t="shared" si="19"/>
        <v>9501.8000000000011</v>
      </c>
      <c r="N232" s="64">
        <f t="shared" si="20"/>
        <v>2926554.4000000004</v>
      </c>
    </row>
    <row r="233" spans="2:15" ht="17.25" thickTop="1" thickBot="1">
      <c r="C233" s="74">
        <v>116384108781</v>
      </c>
      <c r="D233" s="75">
        <v>224219</v>
      </c>
      <c r="E233" s="65">
        <v>45298</v>
      </c>
      <c r="F233" s="65">
        <v>45309</v>
      </c>
      <c r="G233" s="65">
        <v>45316</v>
      </c>
      <c r="H233" s="61" t="s">
        <v>20</v>
      </c>
      <c r="I233" s="62">
        <f t="shared" si="18"/>
        <v>7</v>
      </c>
      <c r="J233" s="63">
        <v>30</v>
      </c>
      <c r="K233" s="58">
        <f t="shared" si="21"/>
        <v>210</v>
      </c>
      <c r="L233" s="59">
        <v>30.85</v>
      </c>
      <c r="M233" s="64">
        <f t="shared" si="19"/>
        <v>6478.5</v>
      </c>
      <c r="N233" s="64">
        <f t="shared" si="20"/>
        <v>1360485</v>
      </c>
    </row>
    <row r="234" spans="2:15" ht="17.25" thickTop="1" thickBot="1">
      <c r="C234" s="74">
        <v>116324106880</v>
      </c>
      <c r="D234" s="75">
        <v>224220</v>
      </c>
      <c r="E234" s="65">
        <v>45292</v>
      </c>
      <c r="F234" s="65">
        <v>45309</v>
      </c>
      <c r="G234" s="65">
        <v>45316</v>
      </c>
      <c r="H234" s="61" t="s">
        <v>23</v>
      </c>
      <c r="I234" s="62">
        <f t="shared" si="18"/>
        <v>7</v>
      </c>
      <c r="J234" s="63">
        <v>44</v>
      </c>
      <c r="K234" s="58">
        <f t="shared" si="21"/>
        <v>308</v>
      </c>
      <c r="L234" s="59">
        <v>30.85</v>
      </c>
      <c r="M234" s="64">
        <f t="shared" si="19"/>
        <v>9501.8000000000011</v>
      </c>
    </row>
    <row r="235" spans="2:15" ht="17.25" thickTop="1" thickBot="1">
      <c r="C235" s="74">
        <v>116304104730</v>
      </c>
      <c r="D235" s="75">
        <v>224226</v>
      </c>
      <c r="E235" s="65">
        <v>45288</v>
      </c>
      <c r="F235" s="65">
        <v>45308</v>
      </c>
      <c r="G235" s="65">
        <v>45316</v>
      </c>
      <c r="H235" s="61" t="s">
        <v>20</v>
      </c>
      <c r="I235" s="62">
        <f t="shared" si="18"/>
        <v>8</v>
      </c>
      <c r="J235" s="63">
        <v>30</v>
      </c>
      <c r="K235" s="58">
        <f t="shared" si="21"/>
        <v>240</v>
      </c>
      <c r="L235" s="59">
        <v>30.85</v>
      </c>
      <c r="M235" s="64">
        <f t="shared" si="19"/>
        <v>7404</v>
      </c>
    </row>
    <row r="236" spans="2:15" ht="17.25" thickTop="1" thickBot="1">
      <c r="C236" s="74">
        <v>116304111189</v>
      </c>
      <c r="D236" s="75">
        <v>224227</v>
      </c>
      <c r="E236" s="65">
        <v>45304</v>
      </c>
      <c r="F236" s="65">
        <v>45309</v>
      </c>
      <c r="G236" s="65">
        <v>45316</v>
      </c>
      <c r="H236" s="61" t="s">
        <v>22</v>
      </c>
      <c r="I236" s="62">
        <f t="shared" si="18"/>
        <v>7</v>
      </c>
      <c r="J236" s="63">
        <v>38</v>
      </c>
      <c r="K236" s="58">
        <f t="shared" si="21"/>
        <v>266</v>
      </c>
      <c r="L236" s="59">
        <v>30.85</v>
      </c>
      <c r="M236" s="64">
        <f t="shared" si="19"/>
        <v>8206.1</v>
      </c>
    </row>
    <row r="237" spans="2:15" ht="17.25" thickTop="1" thickBot="1">
      <c r="C237" s="74">
        <v>116394111959</v>
      </c>
      <c r="D237" s="75">
        <v>224234</v>
      </c>
      <c r="E237" s="65">
        <v>45307</v>
      </c>
      <c r="F237" s="65">
        <v>45309</v>
      </c>
      <c r="G237" s="65">
        <v>45316</v>
      </c>
      <c r="H237" s="61" t="s">
        <v>21</v>
      </c>
      <c r="I237" s="62">
        <f t="shared" si="18"/>
        <v>7</v>
      </c>
      <c r="J237" s="63">
        <v>33</v>
      </c>
      <c r="K237" s="58">
        <f t="shared" si="21"/>
        <v>231</v>
      </c>
      <c r="L237" s="59">
        <v>30.85</v>
      </c>
      <c r="M237" s="64">
        <f t="shared" si="19"/>
        <v>7126.35</v>
      </c>
    </row>
    <row r="238" spans="2:15" ht="17.25" thickTop="1" thickBot="1">
      <c r="C238" s="74">
        <v>116384110326</v>
      </c>
      <c r="D238" s="75">
        <v>224235</v>
      </c>
      <c r="E238" s="65">
        <v>45302</v>
      </c>
      <c r="F238" s="65">
        <v>45308</v>
      </c>
      <c r="G238" s="65">
        <v>45316</v>
      </c>
      <c r="H238" s="61" t="s">
        <v>22</v>
      </c>
      <c r="I238" s="62">
        <f t="shared" si="18"/>
        <v>8</v>
      </c>
      <c r="J238" s="63">
        <v>38</v>
      </c>
      <c r="K238" s="58">
        <f t="shared" si="21"/>
        <v>304</v>
      </c>
      <c r="L238" s="59">
        <v>30.85</v>
      </c>
      <c r="M238" s="64">
        <f t="shared" si="19"/>
        <v>9378.4</v>
      </c>
    </row>
    <row r="239" spans="2:15" ht="17.25" thickTop="1" thickBot="1">
      <c r="C239" s="76">
        <v>116304109032</v>
      </c>
      <c r="D239" s="77">
        <v>224285</v>
      </c>
      <c r="E239" s="65">
        <v>45298</v>
      </c>
      <c r="F239" s="65">
        <v>45310</v>
      </c>
      <c r="G239" s="65">
        <v>45317</v>
      </c>
      <c r="H239" s="61" t="s">
        <v>22</v>
      </c>
      <c r="I239" s="62">
        <f t="shared" si="18"/>
        <v>7</v>
      </c>
      <c r="J239" s="63">
        <v>38</v>
      </c>
      <c r="K239" s="58">
        <f t="shared" si="21"/>
        <v>266</v>
      </c>
      <c r="L239" s="59">
        <v>30.85</v>
      </c>
      <c r="M239" s="64">
        <f t="shared" si="19"/>
        <v>8206.1</v>
      </c>
    </row>
    <row r="240" spans="2:15" ht="17.25" thickTop="1" thickBot="1">
      <c r="C240" s="76">
        <v>116324111129</v>
      </c>
      <c r="D240" s="77">
        <v>224287</v>
      </c>
      <c r="E240" s="65">
        <v>45304</v>
      </c>
      <c r="F240" s="65">
        <v>45308</v>
      </c>
      <c r="G240" s="65">
        <v>45317</v>
      </c>
      <c r="H240" s="61" t="s">
        <v>20</v>
      </c>
      <c r="I240" s="62">
        <f t="shared" si="18"/>
        <v>9</v>
      </c>
      <c r="J240" s="63">
        <v>30</v>
      </c>
      <c r="K240" s="58">
        <f t="shared" si="21"/>
        <v>270</v>
      </c>
      <c r="L240" s="59">
        <v>30.85</v>
      </c>
      <c r="M240" s="64">
        <f t="shared" si="19"/>
        <v>8329.5</v>
      </c>
    </row>
    <row r="241" spans="3:13" ht="17.25" thickTop="1" thickBot="1">
      <c r="C241" s="76">
        <v>116314109118</v>
      </c>
      <c r="D241" s="77">
        <v>224326</v>
      </c>
      <c r="E241" s="65">
        <v>45300</v>
      </c>
      <c r="F241" s="65">
        <v>45304</v>
      </c>
      <c r="G241" s="65">
        <v>45317</v>
      </c>
      <c r="H241" s="61" t="s">
        <v>22</v>
      </c>
      <c r="I241" s="62">
        <f t="shared" si="18"/>
        <v>13</v>
      </c>
      <c r="J241" s="63">
        <v>38</v>
      </c>
      <c r="K241" s="58">
        <f t="shared" si="21"/>
        <v>494</v>
      </c>
      <c r="L241" s="59">
        <v>30.85</v>
      </c>
      <c r="M241" s="64">
        <f t="shared" si="19"/>
        <v>15239.900000000001</v>
      </c>
    </row>
    <row r="242" spans="3:13" ht="17.25" thickTop="1" thickBot="1">
      <c r="C242" s="76">
        <v>116344111787</v>
      </c>
      <c r="D242" s="77">
        <v>224403</v>
      </c>
      <c r="E242" s="65">
        <v>45307</v>
      </c>
      <c r="F242" s="65">
        <v>45313</v>
      </c>
      <c r="G242" s="65">
        <v>45319</v>
      </c>
      <c r="H242" s="61" t="s">
        <v>20</v>
      </c>
      <c r="I242" s="62">
        <f t="shared" si="18"/>
        <v>6</v>
      </c>
      <c r="J242" s="63">
        <v>30</v>
      </c>
      <c r="K242" s="58">
        <f t="shared" si="21"/>
        <v>180</v>
      </c>
      <c r="L242" s="59">
        <v>30.85</v>
      </c>
      <c r="M242" s="64">
        <f t="shared" si="19"/>
        <v>5553</v>
      </c>
    </row>
    <row r="243" spans="3:13" ht="17.25" thickTop="1" thickBot="1">
      <c r="C243" s="76">
        <v>116354103165</v>
      </c>
      <c r="D243" s="77">
        <v>224407</v>
      </c>
      <c r="E243" s="65">
        <v>45281</v>
      </c>
      <c r="F243" s="65">
        <v>45305</v>
      </c>
      <c r="G243" s="65">
        <v>45319</v>
      </c>
      <c r="H243" s="61" t="s">
        <v>22</v>
      </c>
      <c r="I243" s="62">
        <f t="shared" si="18"/>
        <v>14</v>
      </c>
      <c r="J243" s="63">
        <v>38</v>
      </c>
      <c r="K243" s="58">
        <f t="shared" si="21"/>
        <v>532</v>
      </c>
      <c r="L243" s="59">
        <v>30.85</v>
      </c>
      <c r="M243" s="64">
        <f t="shared" si="19"/>
        <v>16412.2</v>
      </c>
    </row>
    <row r="244" spans="3:13" ht="17.25" thickTop="1" thickBot="1">
      <c r="C244" s="76">
        <v>116334112127</v>
      </c>
      <c r="D244" s="77">
        <v>224408</v>
      </c>
      <c r="E244" s="65">
        <v>45308</v>
      </c>
      <c r="F244" s="65">
        <v>45312</v>
      </c>
      <c r="G244" s="65">
        <v>45319</v>
      </c>
      <c r="H244" s="61" t="s">
        <v>22</v>
      </c>
      <c r="I244" s="62">
        <f t="shared" si="18"/>
        <v>7</v>
      </c>
      <c r="J244" s="63">
        <v>38</v>
      </c>
      <c r="K244" s="58">
        <f t="shared" si="21"/>
        <v>266</v>
      </c>
      <c r="L244" s="59">
        <v>30.85</v>
      </c>
      <c r="M244" s="64">
        <f t="shared" si="19"/>
        <v>8206.1</v>
      </c>
    </row>
    <row r="245" spans="3:13" ht="17.25" thickTop="1" thickBot="1">
      <c r="C245" s="76">
        <v>116314100443</v>
      </c>
      <c r="D245" s="77">
        <v>224409</v>
      </c>
      <c r="E245" s="65">
        <v>45240</v>
      </c>
      <c r="F245" s="65">
        <v>45305</v>
      </c>
      <c r="G245" s="65">
        <v>45319</v>
      </c>
      <c r="H245" s="61" t="s">
        <v>22</v>
      </c>
      <c r="I245" s="62">
        <f t="shared" si="18"/>
        <v>14</v>
      </c>
      <c r="J245" s="63">
        <v>44</v>
      </c>
      <c r="K245" s="58">
        <f t="shared" si="21"/>
        <v>616</v>
      </c>
      <c r="L245" s="59">
        <v>30.85</v>
      </c>
      <c r="M245" s="64">
        <f t="shared" si="19"/>
        <v>19003.600000000002</v>
      </c>
    </row>
    <row r="246" spans="3:13" ht="17.25" thickTop="1" thickBot="1">
      <c r="C246" s="76">
        <v>116394114486</v>
      </c>
      <c r="D246" s="77">
        <v>224413</v>
      </c>
      <c r="E246" s="65">
        <v>45310</v>
      </c>
      <c r="F246" s="65">
        <v>45312</v>
      </c>
      <c r="G246" s="65">
        <v>45319</v>
      </c>
      <c r="H246" s="61" t="s">
        <v>22</v>
      </c>
      <c r="I246" s="62">
        <f t="shared" si="18"/>
        <v>7</v>
      </c>
      <c r="J246" s="63">
        <v>38</v>
      </c>
      <c r="K246" s="58">
        <f t="shared" si="21"/>
        <v>266</v>
      </c>
      <c r="L246" s="59">
        <v>30.85</v>
      </c>
      <c r="M246" s="64">
        <f t="shared" si="19"/>
        <v>8206.1</v>
      </c>
    </row>
    <row r="247" spans="3:13" ht="17.25" thickTop="1" thickBot="1">
      <c r="C247" s="76">
        <v>116324109942</v>
      </c>
      <c r="D247" s="77">
        <v>224416</v>
      </c>
      <c r="E247" s="65">
        <v>45308</v>
      </c>
      <c r="F247" s="65">
        <v>45312</v>
      </c>
      <c r="G247" s="65">
        <v>45319</v>
      </c>
      <c r="H247" s="61" t="s">
        <v>22</v>
      </c>
      <c r="I247" s="62">
        <f t="shared" si="18"/>
        <v>7</v>
      </c>
      <c r="J247" s="63">
        <v>38</v>
      </c>
      <c r="K247" s="58">
        <f t="shared" si="21"/>
        <v>266</v>
      </c>
      <c r="L247" s="59">
        <v>30.85</v>
      </c>
      <c r="M247" s="64">
        <f t="shared" si="19"/>
        <v>8206.1</v>
      </c>
    </row>
    <row r="248" spans="3:13" ht="17.25" thickTop="1" thickBot="1">
      <c r="C248" s="76">
        <v>115304100223</v>
      </c>
      <c r="D248" s="77">
        <v>224430</v>
      </c>
      <c r="E248" s="65">
        <v>45284</v>
      </c>
      <c r="F248" s="65">
        <v>45312</v>
      </c>
      <c r="G248" s="65">
        <v>45319</v>
      </c>
      <c r="H248" s="61" t="s">
        <v>22</v>
      </c>
      <c r="I248" s="62">
        <f t="shared" si="18"/>
        <v>7</v>
      </c>
      <c r="J248" s="63">
        <v>38</v>
      </c>
      <c r="K248" s="58">
        <f t="shared" si="21"/>
        <v>266</v>
      </c>
      <c r="L248" s="59">
        <v>30.85</v>
      </c>
      <c r="M248" s="64">
        <f t="shared" si="19"/>
        <v>8206.1</v>
      </c>
    </row>
    <row r="249" spans="3:13" ht="17.25" thickTop="1" thickBot="1">
      <c r="C249" s="76">
        <v>116314110237</v>
      </c>
      <c r="D249" s="77">
        <v>224445</v>
      </c>
      <c r="E249" s="65">
        <v>45300</v>
      </c>
      <c r="F249" s="65">
        <v>45311</v>
      </c>
      <c r="G249" s="65">
        <v>45319</v>
      </c>
      <c r="H249" s="61" t="s">
        <v>20</v>
      </c>
      <c r="I249" s="62">
        <f t="shared" si="18"/>
        <v>8</v>
      </c>
      <c r="J249" s="63">
        <v>30</v>
      </c>
      <c r="K249" s="58">
        <f t="shared" si="21"/>
        <v>240</v>
      </c>
      <c r="L249" s="59">
        <v>30.85</v>
      </c>
      <c r="M249" s="64">
        <f t="shared" si="19"/>
        <v>7404</v>
      </c>
    </row>
    <row r="250" spans="3:13" ht="17.25" thickTop="1" thickBot="1">
      <c r="C250" s="76">
        <v>116314104915</v>
      </c>
      <c r="D250" s="77">
        <v>224453</v>
      </c>
      <c r="E250" s="65">
        <v>45288</v>
      </c>
      <c r="F250" s="65">
        <v>45312</v>
      </c>
      <c r="G250" s="65">
        <v>45319</v>
      </c>
      <c r="H250" s="61" t="s">
        <v>22</v>
      </c>
      <c r="I250" s="62">
        <f t="shared" si="18"/>
        <v>7</v>
      </c>
      <c r="J250" s="63">
        <v>38</v>
      </c>
      <c r="K250" s="58">
        <f t="shared" si="21"/>
        <v>266</v>
      </c>
      <c r="L250" s="59">
        <v>30.85</v>
      </c>
      <c r="M250" s="64">
        <f t="shared" si="19"/>
        <v>8206.1</v>
      </c>
    </row>
    <row r="251" spans="3:13" ht="17.25" thickTop="1" thickBot="1">
      <c r="C251" s="76">
        <v>116384112924</v>
      </c>
      <c r="D251" s="77">
        <v>224471</v>
      </c>
      <c r="E251" s="65">
        <v>45309</v>
      </c>
      <c r="F251" s="65">
        <v>45312</v>
      </c>
      <c r="G251" s="65">
        <v>45319</v>
      </c>
      <c r="H251" s="61" t="s">
        <v>22</v>
      </c>
      <c r="I251" s="62">
        <f t="shared" si="18"/>
        <v>7</v>
      </c>
      <c r="J251" s="63">
        <v>38</v>
      </c>
      <c r="K251" s="58">
        <f t="shared" si="21"/>
        <v>266</v>
      </c>
      <c r="L251" s="59">
        <v>30.85</v>
      </c>
      <c r="M251" s="64">
        <f t="shared" si="19"/>
        <v>8206.1</v>
      </c>
    </row>
    <row r="252" spans="3:13" ht="17.25" thickTop="1" thickBot="1">
      <c r="C252" s="76">
        <v>116304114227</v>
      </c>
      <c r="D252" s="77">
        <v>224476</v>
      </c>
      <c r="E252" s="65">
        <v>45311</v>
      </c>
      <c r="F252" s="65">
        <v>45312</v>
      </c>
      <c r="G252" s="65">
        <v>45319</v>
      </c>
      <c r="H252" s="61" t="s">
        <v>23</v>
      </c>
      <c r="I252" s="62">
        <f t="shared" si="18"/>
        <v>7</v>
      </c>
      <c r="J252" s="63">
        <v>44</v>
      </c>
      <c r="K252" s="58">
        <f t="shared" si="21"/>
        <v>308</v>
      </c>
      <c r="L252" s="59">
        <v>30.85</v>
      </c>
      <c r="M252" s="64">
        <f t="shared" si="19"/>
        <v>9501.8000000000011</v>
      </c>
    </row>
    <row r="253" spans="3:13" ht="17.25" thickTop="1" thickBot="1">
      <c r="C253" s="70">
        <v>116354110873</v>
      </c>
      <c r="D253" s="71">
        <v>224504</v>
      </c>
      <c r="E253" s="65">
        <v>45302</v>
      </c>
      <c r="F253" s="65">
        <v>45313</v>
      </c>
      <c r="G253" s="65">
        <v>45320</v>
      </c>
      <c r="H253" s="61" t="s">
        <v>20</v>
      </c>
      <c r="I253" s="62">
        <f t="shared" si="18"/>
        <v>7</v>
      </c>
      <c r="J253" s="63">
        <v>30</v>
      </c>
      <c r="K253" s="58">
        <f t="shared" si="21"/>
        <v>210</v>
      </c>
      <c r="L253" s="59">
        <v>30.85</v>
      </c>
      <c r="M253" s="64">
        <f t="shared" si="19"/>
        <v>6478.5</v>
      </c>
    </row>
    <row r="254" spans="3:13" ht="17.25" thickTop="1" thickBot="1">
      <c r="C254" s="70">
        <v>116364107164</v>
      </c>
      <c r="D254" s="71">
        <v>224508</v>
      </c>
      <c r="E254" s="65">
        <v>45295</v>
      </c>
      <c r="F254" s="65">
        <v>45313</v>
      </c>
      <c r="G254" s="65">
        <v>45320</v>
      </c>
      <c r="H254" s="61" t="s">
        <v>22</v>
      </c>
      <c r="I254" s="62">
        <f t="shared" si="18"/>
        <v>7</v>
      </c>
      <c r="J254" s="63">
        <v>38</v>
      </c>
      <c r="K254" s="58">
        <f t="shared" si="21"/>
        <v>266</v>
      </c>
      <c r="L254" s="59">
        <v>30.85</v>
      </c>
      <c r="M254" s="64">
        <f t="shared" si="19"/>
        <v>8206.1</v>
      </c>
    </row>
    <row r="255" spans="3:13" ht="17.25" thickTop="1" thickBot="1">
      <c r="C255" s="76">
        <v>116394113694</v>
      </c>
      <c r="D255" s="77">
        <v>224542</v>
      </c>
      <c r="E255" s="65">
        <v>45309</v>
      </c>
      <c r="F255" s="65">
        <v>45313</v>
      </c>
      <c r="G255" s="65">
        <v>45321</v>
      </c>
      <c r="H255" s="61" t="s">
        <v>22</v>
      </c>
      <c r="I255" s="62">
        <f t="shared" si="18"/>
        <v>8</v>
      </c>
      <c r="J255" s="63">
        <v>38</v>
      </c>
      <c r="K255" s="58">
        <f t="shared" si="21"/>
        <v>304</v>
      </c>
      <c r="L255" s="59">
        <v>30.85</v>
      </c>
      <c r="M255" s="64">
        <f t="shared" si="19"/>
        <v>9378.4</v>
      </c>
    </row>
    <row r="256" spans="3:13" ht="17.25" thickTop="1" thickBot="1">
      <c r="C256" s="76">
        <v>116324111990</v>
      </c>
      <c r="D256" s="77">
        <v>224551</v>
      </c>
      <c r="E256" s="65">
        <v>45312</v>
      </c>
      <c r="F256" s="65">
        <v>45313</v>
      </c>
      <c r="G256" s="65">
        <v>45321</v>
      </c>
      <c r="H256" s="61" t="s">
        <v>20</v>
      </c>
      <c r="I256" s="62">
        <f t="shared" si="18"/>
        <v>8</v>
      </c>
      <c r="J256" s="63">
        <v>30</v>
      </c>
      <c r="K256" s="58">
        <f t="shared" si="21"/>
        <v>240</v>
      </c>
      <c r="L256" s="59">
        <v>30.85</v>
      </c>
      <c r="M256" s="64">
        <f t="shared" si="19"/>
        <v>7404</v>
      </c>
    </row>
    <row r="257" spans="3:13" ht="17.25" thickTop="1" thickBot="1">
      <c r="C257" s="76">
        <v>115354100297</v>
      </c>
      <c r="D257" s="77">
        <v>224552</v>
      </c>
      <c r="E257" s="65">
        <v>45296</v>
      </c>
      <c r="F257" s="65">
        <v>45314</v>
      </c>
      <c r="G257" s="65">
        <v>45321</v>
      </c>
      <c r="H257" s="61" t="s">
        <v>22</v>
      </c>
      <c r="I257" s="62">
        <f t="shared" si="18"/>
        <v>7</v>
      </c>
      <c r="J257" s="63">
        <v>38</v>
      </c>
      <c r="K257" s="58">
        <f t="shared" si="21"/>
        <v>266</v>
      </c>
      <c r="L257" s="59">
        <v>30.85</v>
      </c>
      <c r="M257" s="64">
        <f t="shared" si="19"/>
        <v>8206.1</v>
      </c>
    </row>
    <row r="258" spans="3:13" ht="17.25" thickTop="1" thickBot="1">
      <c r="C258" s="76">
        <v>116354112310</v>
      </c>
      <c r="D258" s="77">
        <v>224586</v>
      </c>
      <c r="E258" s="65">
        <v>45314</v>
      </c>
      <c r="F258" s="65">
        <v>45316</v>
      </c>
      <c r="G258" s="65">
        <v>45322</v>
      </c>
      <c r="H258" s="61" t="s">
        <v>22</v>
      </c>
      <c r="I258" s="62">
        <f t="shared" ref="I258:I259" si="24">+G258-F258</f>
        <v>6</v>
      </c>
      <c r="J258" s="63">
        <v>38</v>
      </c>
      <c r="K258" s="58">
        <f t="shared" si="21"/>
        <v>228</v>
      </c>
      <c r="L258" s="59">
        <v>30.85</v>
      </c>
      <c r="M258" s="64">
        <f t="shared" ref="M258:M259" si="25">+K258*L258</f>
        <v>7033.8</v>
      </c>
    </row>
    <row r="259" spans="3:13" ht="16.5" thickTop="1">
      <c r="C259" s="76">
        <v>116314111098</v>
      </c>
      <c r="D259" s="77">
        <v>224605</v>
      </c>
      <c r="E259" s="65">
        <v>45302</v>
      </c>
      <c r="F259" s="65">
        <v>45315</v>
      </c>
      <c r="G259" s="65">
        <v>45322</v>
      </c>
      <c r="H259" s="61" t="s">
        <v>22</v>
      </c>
      <c r="I259" s="62">
        <f t="shared" si="24"/>
        <v>7</v>
      </c>
      <c r="J259" s="63">
        <v>38</v>
      </c>
      <c r="K259" s="58">
        <f t="shared" si="21"/>
        <v>266</v>
      </c>
      <c r="L259" s="59">
        <v>30.85</v>
      </c>
      <c r="M259" s="64">
        <f t="shared" si="25"/>
        <v>8206.1</v>
      </c>
    </row>
  </sheetData>
  <autoFilter ref="B1:O259">
    <filterColumn colId="3"/>
    <filterColumn colId="6"/>
  </autoFilter>
  <dataValidations count="3">
    <dataValidation type="list" allowBlank="1" showInputMessage="1" showErrorMessage="1" sqref="H2:H69 H256 H87:H252">
      <formula1>'[1]rate code'!$A$1:$A$15</formula1>
    </dataValidation>
    <dataValidation type="list" allowBlank="1" showInputMessage="1" showErrorMessage="1" sqref="H253:H255 H257:H259">
      <formula1>'[2]rate code'!$A$1:$A$15</formula1>
    </dataValidation>
    <dataValidation type="list" allowBlank="1" showInputMessage="1" showErrorMessage="1" sqref="H70:H86">
      <formula1>'[3]rate code'!$A$1:$A$15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A2" sqref="A2:XFD2"/>
    </sheetView>
  </sheetViews>
  <sheetFormatPr defaultRowHeight="12.75"/>
  <cols>
    <col min="1" max="1" width="11.28515625" bestFit="1" customWidth="1"/>
    <col min="2" max="2" width="13.5703125" bestFit="1" customWidth="1"/>
    <col min="3" max="13" width="15.7109375" customWidth="1"/>
  </cols>
  <sheetData>
    <row r="1" spans="1:13" ht="16.5" thickTop="1">
      <c r="A1" s="34" t="s">
        <v>9</v>
      </c>
      <c r="B1" s="35" t="s">
        <v>10</v>
      </c>
      <c r="C1" s="55" t="s">
        <v>20</v>
      </c>
      <c r="D1" s="61" t="s">
        <v>21</v>
      </c>
      <c r="E1" s="38" t="s">
        <v>11</v>
      </c>
      <c r="F1" s="38" t="s">
        <v>16</v>
      </c>
      <c r="G1" s="55" t="s">
        <v>22</v>
      </c>
      <c r="H1" s="55" t="s">
        <v>23</v>
      </c>
      <c r="I1" s="61" t="s">
        <v>26</v>
      </c>
      <c r="J1" s="61" t="s">
        <v>38</v>
      </c>
      <c r="K1" s="39" t="s">
        <v>24</v>
      </c>
      <c r="L1" s="55" t="s">
        <v>25</v>
      </c>
      <c r="M1" s="40" t="s">
        <v>12</v>
      </c>
    </row>
    <row r="2" spans="1:13" ht="14.25">
      <c r="A2" s="31">
        <v>45255</v>
      </c>
      <c r="B2" s="31">
        <v>45288</v>
      </c>
      <c r="C2" s="27">
        <v>32</v>
      </c>
      <c r="D2" s="27">
        <f>+C2+3</f>
        <v>35</v>
      </c>
      <c r="E2" s="27">
        <f>+C2+10</f>
        <v>42</v>
      </c>
      <c r="F2" s="28">
        <v>20</v>
      </c>
      <c r="G2" s="29">
        <f>+F2*2</f>
        <v>40</v>
      </c>
      <c r="H2" s="33">
        <f>+(F2+3)*2</f>
        <v>46</v>
      </c>
      <c r="I2" s="33">
        <f>+(F2+10)*2</f>
        <v>60</v>
      </c>
      <c r="J2" s="33">
        <f>+(F2+15)*2</f>
        <v>70</v>
      </c>
      <c r="K2" s="30">
        <v>18</v>
      </c>
      <c r="L2" s="32">
        <f>+(K2+10)*3</f>
        <v>84</v>
      </c>
      <c r="M2" s="32">
        <f>+(K2+15)*3</f>
        <v>99</v>
      </c>
    </row>
    <row r="3" spans="1:13" ht="14.25">
      <c r="A3" s="31">
        <v>45289</v>
      </c>
      <c r="B3" s="31">
        <v>45295</v>
      </c>
      <c r="C3" s="27">
        <v>48</v>
      </c>
      <c r="D3" s="27">
        <f t="shared" ref="D3:D4" si="0">+C3+3</f>
        <v>51</v>
      </c>
      <c r="E3" s="27">
        <f t="shared" ref="E3:E4" si="1">+C3+10</f>
        <v>58</v>
      </c>
      <c r="F3" s="28">
        <v>30</v>
      </c>
      <c r="G3" s="29">
        <f t="shared" ref="G3:G4" si="2">+F3*2</f>
        <v>60</v>
      </c>
      <c r="H3" s="33">
        <f t="shared" ref="H3:H4" si="3">+(F3+3)*2</f>
        <v>66</v>
      </c>
      <c r="I3" s="33">
        <f t="shared" ref="I3:I4" si="4">+(F3+10)*2</f>
        <v>80</v>
      </c>
      <c r="J3" s="33">
        <f t="shared" ref="J3:J4" si="5">+(F3+15)*2</f>
        <v>90</v>
      </c>
      <c r="K3" s="30">
        <v>28</v>
      </c>
      <c r="L3" s="32">
        <f t="shared" ref="L3:L4" si="6">+(K3+10)*3</f>
        <v>114</v>
      </c>
      <c r="M3" s="32">
        <f t="shared" ref="M3:M4" si="7">+(K3+15)*3</f>
        <v>129</v>
      </c>
    </row>
    <row r="4" spans="1:13" ht="14.25">
      <c r="A4" s="31">
        <v>45296</v>
      </c>
      <c r="B4" s="31">
        <v>45337</v>
      </c>
      <c r="C4" s="27">
        <v>32</v>
      </c>
      <c r="D4" s="27">
        <f t="shared" si="0"/>
        <v>35</v>
      </c>
      <c r="E4" s="27">
        <f t="shared" si="1"/>
        <v>42</v>
      </c>
      <c r="F4" s="28">
        <v>20</v>
      </c>
      <c r="G4" s="29">
        <f t="shared" si="2"/>
        <v>40</v>
      </c>
      <c r="H4" s="33">
        <f t="shared" si="3"/>
        <v>46</v>
      </c>
      <c r="I4" s="33">
        <f t="shared" si="4"/>
        <v>60</v>
      </c>
      <c r="J4" s="33">
        <f t="shared" si="5"/>
        <v>70</v>
      </c>
      <c r="K4" s="30">
        <v>18</v>
      </c>
      <c r="L4" s="32">
        <f t="shared" si="6"/>
        <v>84</v>
      </c>
      <c r="M4" s="32">
        <f t="shared" si="7"/>
        <v>99</v>
      </c>
    </row>
  </sheetData>
  <dataValidations count="2">
    <dataValidation type="list" allowBlank="1" showInputMessage="1" showErrorMessage="1" sqref="I1">
      <formula1>'[4]rate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E18" sqref="E18"/>
    </sheetView>
  </sheetViews>
  <sheetFormatPr defaultRowHeight="12.75"/>
  <cols>
    <col min="1" max="1" width="11.28515625" bestFit="1" customWidth="1"/>
    <col min="2" max="2" width="13.5703125" bestFit="1" customWidth="1"/>
    <col min="3" max="13" width="15.7109375" customWidth="1"/>
  </cols>
  <sheetData>
    <row r="1" spans="1:13" ht="16.5" thickTop="1">
      <c r="A1" s="34" t="s">
        <v>9</v>
      </c>
      <c r="B1" s="35" t="s">
        <v>10</v>
      </c>
      <c r="C1" s="55" t="s">
        <v>20</v>
      </c>
      <c r="D1" s="61" t="s">
        <v>21</v>
      </c>
      <c r="E1" s="38" t="s">
        <v>11</v>
      </c>
      <c r="F1" s="38" t="s">
        <v>16</v>
      </c>
      <c r="G1" s="55" t="s">
        <v>22</v>
      </c>
      <c r="H1" s="55" t="s">
        <v>23</v>
      </c>
      <c r="I1" s="61" t="s">
        <v>26</v>
      </c>
      <c r="J1" s="61" t="s">
        <v>38</v>
      </c>
      <c r="K1" s="39" t="s">
        <v>24</v>
      </c>
      <c r="L1" s="55" t="s">
        <v>25</v>
      </c>
      <c r="M1" s="40" t="s">
        <v>12</v>
      </c>
    </row>
    <row r="2" spans="1:13" ht="14.25">
      <c r="A2" s="31">
        <v>45255</v>
      </c>
      <c r="B2" s="31">
        <v>45288</v>
      </c>
      <c r="C2" s="27">
        <v>32</v>
      </c>
      <c r="D2" s="27">
        <f>+C2+3</f>
        <v>35</v>
      </c>
      <c r="E2" s="27">
        <f>+C2+10</f>
        <v>42</v>
      </c>
      <c r="F2" s="28">
        <v>20</v>
      </c>
      <c r="G2" s="29">
        <f>+F2*2</f>
        <v>40</v>
      </c>
      <c r="H2" s="33">
        <f>+(F2+3)*2</f>
        <v>46</v>
      </c>
      <c r="I2" s="33">
        <f>+(F2+10)*2</f>
        <v>60</v>
      </c>
      <c r="J2" s="33">
        <f>+(F2+15)*2</f>
        <v>70</v>
      </c>
      <c r="K2" s="30">
        <v>18</v>
      </c>
      <c r="L2" s="32">
        <f>+(K2+10)*3</f>
        <v>84</v>
      </c>
      <c r="M2" s="32">
        <f>+(K2+15)*3</f>
        <v>99</v>
      </c>
    </row>
    <row r="3" spans="1:13" ht="14.25">
      <c r="A3" s="31">
        <v>45289</v>
      </c>
      <c r="B3" s="31">
        <v>45295</v>
      </c>
      <c r="C3" s="27">
        <v>46</v>
      </c>
      <c r="D3" s="27">
        <f>+C3+3</f>
        <v>49</v>
      </c>
      <c r="E3" s="27">
        <f>+C3+10</f>
        <v>56</v>
      </c>
      <c r="F3" s="28">
        <v>29</v>
      </c>
      <c r="G3" s="29">
        <f>+F3*2</f>
        <v>58</v>
      </c>
      <c r="H3" s="33">
        <f>+(F3+3)*2</f>
        <v>64</v>
      </c>
      <c r="I3" s="33">
        <f>+(F3+10)*2</f>
        <v>78</v>
      </c>
      <c r="J3" s="33">
        <f>+(F3+15)*2</f>
        <v>88</v>
      </c>
      <c r="K3" s="30">
        <v>27</v>
      </c>
      <c r="L3" s="32">
        <f>+(K3+10)*3</f>
        <v>111</v>
      </c>
      <c r="M3" s="32">
        <f>+(K3+15)*3</f>
        <v>126</v>
      </c>
    </row>
    <row r="4" spans="1:13" ht="14.25">
      <c r="A4" s="31">
        <v>45296</v>
      </c>
      <c r="B4" s="31">
        <v>45322</v>
      </c>
      <c r="C4" s="27">
        <v>30</v>
      </c>
      <c r="D4" s="27">
        <f t="shared" ref="D4" si="0">+C4+3</f>
        <v>33</v>
      </c>
      <c r="E4" s="27">
        <f t="shared" ref="E4" si="1">+C4+10</f>
        <v>40</v>
      </c>
      <c r="F4" s="28">
        <v>19</v>
      </c>
      <c r="G4" s="29">
        <f t="shared" ref="G4" si="2">+F4*2</f>
        <v>38</v>
      </c>
      <c r="H4" s="33">
        <f t="shared" ref="H4" si="3">+(F4+3)*2</f>
        <v>44</v>
      </c>
      <c r="I4" s="33">
        <f t="shared" ref="I4" si="4">+(F4+10)*2</f>
        <v>58</v>
      </c>
      <c r="J4" s="33">
        <f t="shared" ref="J4" si="5">+(F4+15)*2</f>
        <v>68</v>
      </c>
      <c r="K4" s="30">
        <v>17</v>
      </c>
      <c r="L4" s="32">
        <f t="shared" ref="L4" si="6">+(K4+10)*3</f>
        <v>81</v>
      </c>
      <c r="M4" s="32">
        <f t="shared" ref="M4" si="7">+(K4+15)*3</f>
        <v>96</v>
      </c>
    </row>
  </sheetData>
  <dataValidations count="2">
    <dataValidation type="list" allowBlank="1" showInputMessage="1" showErrorMessage="1" sqref="I1">
      <formula1>'[4]rate code'!$A$1:$A$15</formula1>
    </dataValidation>
    <dataValidation type="list" allowBlank="1" showInputMessage="1" showErrorMessage="1" sqref="G1:H1 C1:D1 L1 J1">
      <formula1>'[1]rate code'!$A$1:$A$15</formula1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selection activeCell="D15" sqref="D15"/>
    </sheetView>
  </sheetViews>
  <sheetFormatPr defaultRowHeight="12.75"/>
  <cols>
    <col min="1" max="1" width="11.28515625" bestFit="1" customWidth="1"/>
    <col min="2" max="2" width="13.5703125" bestFit="1" customWidth="1"/>
    <col min="3" max="13" width="15.7109375" customWidth="1"/>
  </cols>
  <sheetData>
    <row r="1" spans="1:13" ht="16.5" thickTop="1">
      <c r="A1" s="34" t="s">
        <v>9</v>
      </c>
      <c r="B1" s="35" t="s">
        <v>10</v>
      </c>
      <c r="C1" s="55" t="s">
        <v>20</v>
      </c>
      <c r="D1" s="61" t="s">
        <v>21</v>
      </c>
      <c r="E1" s="38" t="s">
        <v>11</v>
      </c>
      <c r="F1" s="38" t="s">
        <v>16</v>
      </c>
      <c r="G1" s="55" t="s">
        <v>22</v>
      </c>
      <c r="H1" s="55" t="s">
        <v>23</v>
      </c>
      <c r="I1" s="61" t="s">
        <v>26</v>
      </c>
      <c r="J1" s="61" t="s">
        <v>38</v>
      </c>
      <c r="K1" s="39" t="s">
        <v>24</v>
      </c>
      <c r="L1" s="55" t="s">
        <v>25</v>
      </c>
      <c r="M1" s="40" t="s">
        <v>12</v>
      </c>
    </row>
    <row r="2" spans="1:13" ht="14.25">
      <c r="A2" s="31">
        <v>45323</v>
      </c>
      <c r="B2" s="31">
        <v>45295</v>
      </c>
      <c r="C2" s="27">
        <v>48</v>
      </c>
      <c r="D2" s="27">
        <f t="shared" ref="D2:D3" si="0">+C2+3</f>
        <v>51</v>
      </c>
      <c r="E2" s="27">
        <f t="shared" ref="E2:E3" si="1">+C2+10</f>
        <v>58</v>
      </c>
      <c r="F2" s="28">
        <v>30</v>
      </c>
      <c r="G2" s="29">
        <f t="shared" ref="G2:G3" si="2">+F2*2</f>
        <v>60</v>
      </c>
      <c r="H2" s="33">
        <f t="shared" ref="H2:H3" si="3">+(F2+3)*2</f>
        <v>66</v>
      </c>
      <c r="I2" s="33">
        <f t="shared" ref="I2:I3" si="4">+(F2+10)*2</f>
        <v>80</v>
      </c>
      <c r="J2" s="33">
        <f t="shared" ref="J2:J3" si="5">+(F2+15)*2</f>
        <v>90</v>
      </c>
      <c r="K2" s="30">
        <v>28</v>
      </c>
      <c r="L2" s="32">
        <f t="shared" ref="L2:L3" si="6">+(K2+10)*3</f>
        <v>114</v>
      </c>
      <c r="M2" s="32">
        <f t="shared" ref="M2:M3" si="7">+(K2+15)*3</f>
        <v>129</v>
      </c>
    </row>
    <row r="3" spans="1:13" ht="14.25">
      <c r="A3" s="31">
        <v>45296</v>
      </c>
      <c r="B3" s="31">
        <v>45337</v>
      </c>
      <c r="C3" s="27">
        <v>32</v>
      </c>
      <c r="D3" s="27">
        <f t="shared" si="0"/>
        <v>35</v>
      </c>
      <c r="E3" s="27">
        <f t="shared" si="1"/>
        <v>42</v>
      </c>
      <c r="F3" s="28">
        <v>20</v>
      </c>
      <c r="G3" s="29">
        <f t="shared" si="2"/>
        <v>40</v>
      </c>
      <c r="H3" s="33">
        <f t="shared" si="3"/>
        <v>46</v>
      </c>
      <c r="I3" s="33">
        <f t="shared" si="4"/>
        <v>60</v>
      </c>
      <c r="J3" s="33">
        <f t="shared" si="5"/>
        <v>70</v>
      </c>
      <c r="K3" s="30">
        <v>18</v>
      </c>
      <c r="L3" s="32">
        <f t="shared" si="6"/>
        <v>84</v>
      </c>
      <c r="M3" s="32">
        <f t="shared" si="7"/>
        <v>99</v>
      </c>
    </row>
  </sheetData>
  <dataValidations count="2">
    <dataValidation type="list" allowBlank="1" showInputMessage="1" showErrorMessage="1" sqref="I1">
      <formula1>'[4]rate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C1" sqref="C1:M1"/>
    </sheetView>
  </sheetViews>
  <sheetFormatPr defaultRowHeight="12.75"/>
  <cols>
    <col min="1" max="11" width="15.7109375" customWidth="1"/>
  </cols>
  <sheetData>
    <row r="1" spans="1:13" ht="17.25" thickTop="1" thickBot="1">
      <c r="A1" s="36" t="s">
        <v>9</v>
      </c>
      <c r="B1" s="37" t="s">
        <v>10</v>
      </c>
      <c r="C1" s="55" t="s">
        <v>20</v>
      </c>
      <c r="D1" s="61" t="s">
        <v>21</v>
      </c>
      <c r="E1" s="38" t="s">
        <v>11</v>
      </c>
      <c r="F1" s="38" t="s">
        <v>16</v>
      </c>
      <c r="G1" s="55" t="s">
        <v>22</v>
      </c>
      <c r="H1" s="55" t="s">
        <v>23</v>
      </c>
      <c r="I1" s="61" t="s">
        <v>26</v>
      </c>
      <c r="J1" s="61" t="s">
        <v>38</v>
      </c>
      <c r="K1" s="39" t="s">
        <v>24</v>
      </c>
      <c r="L1" s="55" t="s">
        <v>25</v>
      </c>
      <c r="M1" s="40" t="s">
        <v>12</v>
      </c>
    </row>
    <row r="2" spans="1:13" ht="15" thickTop="1">
      <c r="A2" s="41">
        <v>45006</v>
      </c>
      <c r="B2" s="41">
        <v>45046</v>
      </c>
      <c r="C2" s="42">
        <v>50</v>
      </c>
      <c r="D2" s="42">
        <v>53</v>
      </c>
      <c r="E2" s="42">
        <v>60</v>
      </c>
      <c r="F2" s="42"/>
      <c r="G2" s="42">
        <v>62</v>
      </c>
      <c r="H2" s="43">
        <v>68</v>
      </c>
      <c r="I2" s="43">
        <v>82</v>
      </c>
      <c r="J2" s="43">
        <v>92</v>
      </c>
      <c r="K2" s="43"/>
      <c r="L2" s="44">
        <v>117</v>
      </c>
      <c r="M2" s="44">
        <v>132</v>
      </c>
    </row>
    <row r="3" spans="1:13" ht="14.25">
      <c r="A3" s="45">
        <v>45047</v>
      </c>
      <c r="B3" s="45">
        <v>45061</v>
      </c>
      <c r="C3" s="46">
        <v>79</v>
      </c>
      <c r="D3" s="46">
        <v>82</v>
      </c>
      <c r="E3" s="46">
        <v>89</v>
      </c>
      <c r="F3" s="46"/>
      <c r="G3" s="46">
        <v>98</v>
      </c>
      <c r="H3" s="47">
        <v>104</v>
      </c>
      <c r="I3" s="47">
        <v>118</v>
      </c>
      <c r="J3" s="47">
        <v>128</v>
      </c>
      <c r="K3" s="47"/>
      <c r="L3" s="48">
        <v>171</v>
      </c>
      <c r="M3" s="48">
        <v>186</v>
      </c>
    </row>
    <row r="4" spans="1:13" ht="14.25">
      <c r="A4" s="45">
        <v>45062</v>
      </c>
      <c r="B4" s="45">
        <v>45077</v>
      </c>
      <c r="C4" s="46">
        <v>61</v>
      </c>
      <c r="D4" s="46">
        <v>64</v>
      </c>
      <c r="E4" s="46">
        <v>71</v>
      </c>
      <c r="F4" s="46"/>
      <c r="G4" s="46">
        <v>76</v>
      </c>
      <c r="H4" s="47">
        <v>82</v>
      </c>
      <c r="I4" s="47">
        <v>96</v>
      </c>
      <c r="J4" s="47">
        <v>106</v>
      </c>
      <c r="K4" s="47"/>
      <c r="L4" s="48">
        <v>138</v>
      </c>
      <c r="M4" s="48">
        <v>153</v>
      </c>
    </row>
    <row r="5" spans="1:13" ht="14.25">
      <c r="A5" s="45">
        <v>45078</v>
      </c>
      <c r="B5" s="45">
        <v>45107</v>
      </c>
      <c r="C5" s="46">
        <v>65</v>
      </c>
      <c r="D5" s="46">
        <v>68</v>
      </c>
      <c r="E5" s="46">
        <v>75</v>
      </c>
      <c r="F5" s="46"/>
      <c r="G5" s="46">
        <v>82</v>
      </c>
      <c r="H5" s="47">
        <v>88</v>
      </c>
      <c r="I5" s="47">
        <v>102</v>
      </c>
      <c r="J5" s="47">
        <v>112</v>
      </c>
      <c r="K5" s="47"/>
      <c r="L5" s="48">
        <v>117</v>
      </c>
      <c r="M5" s="48">
        <v>162</v>
      </c>
    </row>
    <row r="6" spans="1:13" ht="14.25">
      <c r="A6" s="45">
        <v>45108</v>
      </c>
      <c r="B6" s="45">
        <v>45138</v>
      </c>
      <c r="C6" s="46">
        <v>75</v>
      </c>
      <c r="D6" s="46">
        <v>78</v>
      </c>
      <c r="E6" s="46">
        <v>85</v>
      </c>
      <c r="F6" s="46"/>
      <c r="G6" s="46">
        <v>94</v>
      </c>
      <c r="H6" s="47">
        <v>100</v>
      </c>
      <c r="I6" s="47">
        <v>114</v>
      </c>
      <c r="J6" s="47">
        <v>124</v>
      </c>
      <c r="K6" s="47"/>
      <c r="L6" s="48">
        <v>165</v>
      </c>
      <c r="M6" s="48">
        <v>180</v>
      </c>
    </row>
    <row r="7" spans="1:13" ht="14.25">
      <c r="A7" s="45">
        <v>45139</v>
      </c>
      <c r="B7" s="45">
        <v>45169</v>
      </c>
      <c r="C7" s="46">
        <v>84</v>
      </c>
      <c r="D7" s="46">
        <v>87</v>
      </c>
      <c r="E7" s="46">
        <v>94</v>
      </c>
      <c r="F7" s="46"/>
      <c r="G7" s="46">
        <v>106</v>
      </c>
      <c r="H7" s="47">
        <v>112</v>
      </c>
      <c r="I7" s="47">
        <v>126</v>
      </c>
      <c r="J7" s="47">
        <v>136</v>
      </c>
      <c r="K7" s="47"/>
      <c r="L7" s="48">
        <v>183</v>
      </c>
      <c r="M7" s="48">
        <v>198</v>
      </c>
    </row>
    <row r="8" spans="1:13" ht="14.25">
      <c r="A8" s="45">
        <v>45170</v>
      </c>
      <c r="B8" s="45">
        <v>45199</v>
      </c>
      <c r="C8" s="46">
        <v>75</v>
      </c>
      <c r="D8" s="46">
        <v>78</v>
      </c>
      <c r="E8" s="46">
        <v>85</v>
      </c>
      <c r="F8" s="46"/>
      <c r="G8" s="46">
        <v>94</v>
      </c>
      <c r="H8" s="47">
        <v>100</v>
      </c>
      <c r="I8" s="47">
        <v>114</v>
      </c>
      <c r="J8" s="47">
        <v>124</v>
      </c>
      <c r="K8" s="47"/>
      <c r="L8" s="48">
        <v>165</v>
      </c>
      <c r="M8" s="48">
        <v>180</v>
      </c>
    </row>
    <row r="9" spans="1:13" ht="14.25">
      <c r="A9" s="45">
        <v>45200</v>
      </c>
      <c r="B9" s="45">
        <v>45230</v>
      </c>
      <c r="C9" s="46">
        <v>84</v>
      </c>
      <c r="D9" s="46">
        <v>87</v>
      </c>
      <c r="E9" s="46">
        <v>94</v>
      </c>
      <c r="F9" s="46"/>
      <c r="G9" s="46">
        <v>106</v>
      </c>
      <c r="H9" s="47">
        <v>112</v>
      </c>
      <c r="I9" s="47">
        <v>126</v>
      </c>
      <c r="J9" s="47">
        <v>136</v>
      </c>
      <c r="K9" s="47"/>
      <c r="L9" s="48">
        <v>183</v>
      </c>
      <c r="M9" s="48">
        <v>198</v>
      </c>
    </row>
    <row r="10" spans="1:13" ht="14.25">
      <c r="A10" s="49">
        <v>45231</v>
      </c>
      <c r="B10" s="49">
        <v>45245</v>
      </c>
      <c r="C10" s="46">
        <v>94</v>
      </c>
      <c r="D10" s="46">
        <f>+C10+3</f>
        <v>97</v>
      </c>
      <c r="E10" s="46">
        <f>+C10+10</f>
        <v>104</v>
      </c>
      <c r="F10" s="46">
        <v>59</v>
      </c>
      <c r="G10" s="46">
        <f>+F10*2</f>
        <v>118</v>
      </c>
      <c r="H10" s="47">
        <f>+(F10+3)*2</f>
        <v>124</v>
      </c>
      <c r="I10" s="47">
        <f>+(F10+10)*2</f>
        <v>138</v>
      </c>
      <c r="J10" s="47">
        <f>+(F10+15)*2</f>
        <v>148</v>
      </c>
      <c r="K10" s="47">
        <v>57</v>
      </c>
      <c r="L10" s="48">
        <f>+(K10+10)*3</f>
        <v>201</v>
      </c>
      <c r="M10" s="48">
        <f>+(K10+15)*3</f>
        <v>216</v>
      </c>
    </row>
    <row r="11" spans="1:13" ht="14.25">
      <c r="A11" s="49">
        <v>45246</v>
      </c>
      <c r="B11" s="49">
        <v>45288</v>
      </c>
      <c r="C11" s="46">
        <v>93</v>
      </c>
      <c r="D11" s="46">
        <f t="shared" ref="D11:D14" si="0">+C11+3</f>
        <v>96</v>
      </c>
      <c r="E11" s="46">
        <f t="shared" ref="E11:E14" si="1">+C11+10</f>
        <v>103</v>
      </c>
      <c r="F11" s="46">
        <v>58</v>
      </c>
      <c r="G11" s="46">
        <f t="shared" ref="G11:G14" si="2">+F11*2</f>
        <v>116</v>
      </c>
      <c r="H11" s="47">
        <f t="shared" ref="H11:H14" si="3">+(F11+3)*2</f>
        <v>122</v>
      </c>
      <c r="I11" s="47">
        <f t="shared" ref="I11:I14" si="4">+(F11+10)*2</f>
        <v>136</v>
      </c>
      <c r="J11" s="47">
        <f t="shared" ref="J11:J14" si="5">+(F11+15)*2</f>
        <v>146</v>
      </c>
      <c r="K11" s="47">
        <v>56</v>
      </c>
      <c r="L11" s="48">
        <f t="shared" ref="L11:L14" si="6">+(K11+10)*3</f>
        <v>198</v>
      </c>
      <c r="M11" s="48">
        <f t="shared" ref="M11:M14" si="7">+(K11+15)*3</f>
        <v>213</v>
      </c>
    </row>
    <row r="12" spans="1:13" ht="14.25">
      <c r="A12" s="49">
        <v>45289</v>
      </c>
      <c r="B12" s="49">
        <v>45301</v>
      </c>
      <c r="C12" s="46">
        <v>142</v>
      </c>
      <c r="D12" s="46">
        <f t="shared" si="0"/>
        <v>145</v>
      </c>
      <c r="E12" s="46">
        <f t="shared" si="1"/>
        <v>152</v>
      </c>
      <c r="F12" s="46">
        <v>89</v>
      </c>
      <c r="G12" s="46">
        <f t="shared" si="2"/>
        <v>178</v>
      </c>
      <c r="H12" s="47">
        <f t="shared" si="3"/>
        <v>184</v>
      </c>
      <c r="I12" s="47">
        <f t="shared" si="4"/>
        <v>198</v>
      </c>
      <c r="J12" s="47">
        <f t="shared" si="5"/>
        <v>208</v>
      </c>
      <c r="K12" s="47">
        <v>87</v>
      </c>
      <c r="L12" s="48">
        <f t="shared" si="6"/>
        <v>291</v>
      </c>
      <c r="M12" s="48">
        <f t="shared" si="7"/>
        <v>306</v>
      </c>
    </row>
    <row r="13" spans="1:13" ht="14.25">
      <c r="A13" s="49">
        <v>45302</v>
      </c>
      <c r="B13" s="49">
        <v>45337</v>
      </c>
      <c r="C13" s="46">
        <v>77</v>
      </c>
      <c r="D13" s="46">
        <f t="shared" si="0"/>
        <v>80</v>
      </c>
      <c r="E13" s="46">
        <f t="shared" si="1"/>
        <v>87</v>
      </c>
      <c r="F13" s="46">
        <v>48</v>
      </c>
      <c r="G13" s="46">
        <f t="shared" si="2"/>
        <v>96</v>
      </c>
      <c r="H13" s="47">
        <f t="shared" si="3"/>
        <v>102</v>
      </c>
      <c r="I13" s="47">
        <f t="shared" si="4"/>
        <v>116</v>
      </c>
      <c r="J13" s="47">
        <f t="shared" si="5"/>
        <v>126</v>
      </c>
      <c r="K13" s="47">
        <v>46</v>
      </c>
      <c r="L13" s="48">
        <f t="shared" si="6"/>
        <v>168</v>
      </c>
      <c r="M13" s="48">
        <f t="shared" si="7"/>
        <v>183</v>
      </c>
    </row>
    <row r="14" spans="1:13" ht="15" thickBot="1">
      <c r="A14" s="50">
        <v>45338</v>
      </c>
      <c r="B14" s="50">
        <v>45412</v>
      </c>
      <c r="C14" s="51">
        <v>88</v>
      </c>
      <c r="D14" s="46">
        <f t="shared" si="0"/>
        <v>91</v>
      </c>
      <c r="E14" s="46">
        <f t="shared" si="1"/>
        <v>98</v>
      </c>
      <c r="F14" s="52">
        <v>55</v>
      </c>
      <c r="G14" s="46">
        <f t="shared" si="2"/>
        <v>110</v>
      </c>
      <c r="H14" s="47">
        <f t="shared" si="3"/>
        <v>116</v>
      </c>
      <c r="I14" s="47">
        <f t="shared" si="4"/>
        <v>130</v>
      </c>
      <c r="J14" s="47">
        <f t="shared" si="5"/>
        <v>140</v>
      </c>
      <c r="K14" s="53">
        <v>53</v>
      </c>
      <c r="L14" s="48">
        <f t="shared" si="6"/>
        <v>189</v>
      </c>
      <c r="M14" s="48">
        <f t="shared" si="7"/>
        <v>204</v>
      </c>
    </row>
    <row r="15" spans="1:13" ht="13.5" thickTop="1"/>
  </sheetData>
  <dataValidations count="2">
    <dataValidation type="list" allowBlank="1" showInputMessage="1" showErrorMessage="1" sqref="I1">
      <formula1>'[4]rate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"/>
  <sheetViews>
    <sheetView workbookViewId="0">
      <selection activeCell="C1" sqref="C1:M1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5" ht="17.25" thickTop="1" thickBot="1">
      <c r="A1" s="2" t="s">
        <v>9</v>
      </c>
      <c r="B1" s="3" t="s">
        <v>10</v>
      </c>
      <c r="C1" s="55" t="s">
        <v>20</v>
      </c>
      <c r="D1" s="61" t="s">
        <v>21</v>
      </c>
      <c r="E1" s="38" t="s">
        <v>11</v>
      </c>
      <c r="F1" s="38" t="s">
        <v>16</v>
      </c>
      <c r="G1" s="55" t="s">
        <v>22</v>
      </c>
      <c r="H1" s="55" t="s">
        <v>23</v>
      </c>
      <c r="I1" s="61" t="s">
        <v>26</v>
      </c>
      <c r="J1" s="61" t="s">
        <v>38</v>
      </c>
      <c r="K1" s="39" t="s">
        <v>24</v>
      </c>
      <c r="L1" s="55" t="s">
        <v>25</v>
      </c>
      <c r="M1" s="40" t="s">
        <v>12</v>
      </c>
      <c r="N1" s="21" t="s">
        <v>12</v>
      </c>
      <c r="O1" s="22" t="s">
        <v>19</v>
      </c>
    </row>
    <row r="2" spans="1:15" ht="15" thickTop="1">
      <c r="A2" s="4">
        <v>45119</v>
      </c>
      <c r="B2" s="4">
        <v>45138</v>
      </c>
      <c r="C2" s="5">
        <v>56</v>
      </c>
      <c r="D2" s="5">
        <v>58</v>
      </c>
      <c r="E2" s="5">
        <v>62</v>
      </c>
      <c r="F2" s="16">
        <v>35</v>
      </c>
      <c r="G2" s="17">
        <v>70</v>
      </c>
      <c r="H2" s="17">
        <v>74</v>
      </c>
      <c r="I2" s="17">
        <v>82</v>
      </c>
      <c r="J2" s="17">
        <v>110</v>
      </c>
      <c r="K2" s="6">
        <v>33</v>
      </c>
      <c r="L2" s="20">
        <v>105</v>
      </c>
      <c r="M2" s="20">
        <v>117</v>
      </c>
      <c r="N2" s="21">
        <v>159</v>
      </c>
      <c r="O2">
        <f>+(F2+6)*2.5</f>
        <v>102.5</v>
      </c>
    </row>
    <row r="3" spans="1:15" ht="14.25">
      <c r="A3" s="7">
        <v>45139</v>
      </c>
      <c r="B3" s="7">
        <v>45169</v>
      </c>
      <c r="C3" s="8">
        <v>62</v>
      </c>
      <c r="D3" s="8">
        <v>64</v>
      </c>
      <c r="E3" s="8">
        <v>68</v>
      </c>
      <c r="F3" s="18">
        <v>39</v>
      </c>
      <c r="G3" s="19">
        <v>78</v>
      </c>
      <c r="H3" s="19">
        <v>82</v>
      </c>
      <c r="I3" s="19">
        <v>90</v>
      </c>
      <c r="J3" s="19">
        <v>118</v>
      </c>
      <c r="K3" s="9">
        <v>37</v>
      </c>
      <c r="L3" s="20">
        <v>117</v>
      </c>
      <c r="M3" s="20">
        <v>129</v>
      </c>
      <c r="N3" s="21">
        <v>171</v>
      </c>
      <c r="O3">
        <f t="shared" ref="O3:O4" si="0">+(F3+6)*2.5</f>
        <v>112.5</v>
      </c>
    </row>
    <row r="4" spans="1:15" ht="14.25">
      <c r="A4" s="7">
        <v>45170</v>
      </c>
      <c r="B4" s="7">
        <v>45179</v>
      </c>
      <c r="C4" s="8">
        <v>62</v>
      </c>
      <c r="D4" s="8">
        <v>64</v>
      </c>
      <c r="E4" s="8">
        <v>68</v>
      </c>
      <c r="F4" s="18">
        <v>39</v>
      </c>
      <c r="G4" s="19">
        <v>78</v>
      </c>
      <c r="H4" s="19">
        <v>82</v>
      </c>
      <c r="I4" s="19">
        <v>90</v>
      </c>
      <c r="J4" s="19">
        <v>118</v>
      </c>
      <c r="K4" s="9">
        <v>37</v>
      </c>
      <c r="L4" s="20">
        <v>117</v>
      </c>
      <c r="M4" s="20">
        <v>129</v>
      </c>
      <c r="N4" s="21">
        <v>171</v>
      </c>
      <c r="O4">
        <f t="shared" si="0"/>
        <v>112.5</v>
      </c>
    </row>
  </sheetData>
  <dataValidations count="2">
    <dataValidation type="list" allowBlank="1" showInputMessage="1" showErrorMessage="1" sqref="I1">
      <formula1>'[4]rate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N37" sqref="N37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3" ht="16.5" thickTop="1">
      <c r="A1" s="2" t="s">
        <v>9</v>
      </c>
      <c r="B1" s="3" t="s">
        <v>10</v>
      </c>
      <c r="C1" s="55" t="s">
        <v>20</v>
      </c>
      <c r="D1" s="61" t="s">
        <v>21</v>
      </c>
      <c r="E1" s="38" t="s">
        <v>11</v>
      </c>
      <c r="F1" s="38" t="s">
        <v>16</v>
      </c>
      <c r="G1" s="55" t="s">
        <v>22</v>
      </c>
      <c r="H1" s="55" t="s">
        <v>23</v>
      </c>
      <c r="I1" s="61" t="s">
        <v>26</v>
      </c>
      <c r="J1" s="61" t="s">
        <v>38</v>
      </c>
      <c r="K1" s="39" t="s">
        <v>24</v>
      </c>
      <c r="L1" s="55" t="s">
        <v>25</v>
      </c>
      <c r="M1" s="40" t="s">
        <v>12</v>
      </c>
    </row>
    <row r="2" spans="1:13" ht="14.25">
      <c r="A2" s="7">
        <v>45139</v>
      </c>
      <c r="B2" s="7">
        <v>45169</v>
      </c>
      <c r="C2" s="8">
        <v>59</v>
      </c>
      <c r="D2" s="8">
        <v>61</v>
      </c>
      <c r="E2" s="8">
        <v>65</v>
      </c>
      <c r="F2" s="18">
        <v>37</v>
      </c>
      <c r="G2" s="19">
        <v>74</v>
      </c>
      <c r="H2" s="19">
        <v>78</v>
      </c>
      <c r="I2" s="19">
        <v>86</v>
      </c>
      <c r="J2" s="19">
        <v>114</v>
      </c>
      <c r="K2" s="9">
        <v>35</v>
      </c>
      <c r="L2" s="20">
        <v>111</v>
      </c>
      <c r="M2" s="20">
        <v>123</v>
      </c>
    </row>
  </sheetData>
  <dataValidations count="2">
    <dataValidation type="list" allowBlank="1" showInputMessage="1" showErrorMessage="1" sqref="I1">
      <formula1>'[4]rate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C1" sqref="C1:M1"/>
    </sheetView>
  </sheetViews>
  <sheetFormatPr defaultRowHeight="12.75"/>
  <cols>
    <col min="1" max="2" width="11.28515625" bestFit="1" customWidth="1"/>
    <col min="3" max="13" width="15.7109375" customWidth="1"/>
  </cols>
  <sheetData>
    <row r="1" spans="1:13" ht="16.5" thickTop="1">
      <c r="A1" s="34" t="s">
        <v>9</v>
      </c>
      <c r="B1" s="35" t="s">
        <v>10</v>
      </c>
      <c r="C1" s="55" t="s">
        <v>20</v>
      </c>
      <c r="D1" s="61" t="s">
        <v>21</v>
      </c>
      <c r="E1" s="38" t="s">
        <v>11</v>
      </c>
      <c r="F1" s="38" t="s">
        <v>16</v>
      </c>
      <c r="G1" s="55" t="s">
        <v>22</v>
      </c>
      <c r="H1" s="55" t="s">
        <v>23</v>
      </c>
      <c r="I1" s="61" t="s">
        <v>26</v>
      </c>
      <c r="J1" s="61" t="s">
        <v>38</v>
      </c>
      <c r="K1" s="39" t="s">
        <v>24</v>
      </c>
      <c r="L1" s="55" t="s">
        <v>25</v>
      </c>
      <c r="M1" s="40" t="s">
        <v>12</v>
      </c>
    </row>
    <row r="2" spans="1:13" ht="14.25">
      <c r="A2" s="31">
        <v>45261</v>
      </c>
      <c r="B2" s="31">
        <v>45288</v>
      </c>
      <c r="C2" s="27">
        <v>68</v>
      </c>
      <c r="D2" s="27">
        <f>+C2+3</f>
        <v>71</v>
      </c>
      <c r="E2" s="27">
        <f>+C2+10</f>
        <v>78</v>
      </c>
      <c r="F2" s="28">
        <v>42</v>
      </c>
      <c r="G2" s="29">
        <f>+F2*2</f>
        <v>84</v>
      </c>
      <c r="H2" s="33">
        <f>+(F2+3)*2</f>
        <v>90</v>
      </c>
      <c r="I2" s="33">
        <f>+(F2+10)*2</f>
        <v>104</v>
      </c>
      <c r="J2" s="33">
        <f>+(F2+15)*2</f>
        <v>114</v>
      </c>
      <c r="K2" s="30">
        <v>40</v>
      </c>
      <c r="L2" s="32">
        <f>+(K2+10)*3</f>
        <v>150</v>
      </c>
      <c r="M2" s="32">
        <f>+(K2+15)*3</f>
        <v>165</v>
      </c>
    </row>
    <row r="3" spans="1:13" ht="14.25">
      <c r="A3" s="31">
        <v>45289</v>
      </c>
      <c r="B3" s="31">
        <v>45301</v>
      </c>
      <c r="C3" s="27">
        <v>103</v>
      </c>
      <c r="D3" s="27">
        <f t="shared" ref="D3:D4" si="0">+C3+3</f>
        <v>106</v>
      </c>
      <c r="E3" s="27">
        <f t="shared" ref="E3:E4" si="1">+C3+10</f>
        <v>113</v>
      </c>
      <c r="F3" s="28">
        <v>64</v>
      </c>
      <c r="G3" s="29">
        <f t="shared" ref="G3:G4" si="2">+F3*2</f>
        <v>128</v>
      </c>
      <c r="H3" s="33">
        <f t="shared" ref="H3:H4" si="3">+(F3+3)*2</f>
        <v>134</v>
      </c>
      <c r="I3" s="33">
        <f t="shared" ref="I3:I4" si="4">+(F3+10)*2</f>
        <v>148</v>
      </c>
      <c r="J3" s="33">
        <f t="shared" ref="J3:J4" si="5">+(F3+15)*2</f>
        <v>158</v>
      </c>
      <c r="K3" s="30">
        <v>62</v>
      </c>
      <c r="L3" s="32">
        <f t="shared" ref="L3:L4" si="6">+(K3+10)*3</f>
        <v>216</v>
      </c>
      <c r="M3" s="32">
        <f t="shared" ref="M3:M4" si="7">+(K3+15)*3</f>
        <v>231</v>
      </c>
    </row>
    <row r="4" spans="1:13" ht="14.25">
      <c r="A4" s="31">
        <v>45302</v>
      </c>
      <c r="B4" s="31">
        <v>45337</v>
      </c>
      <c r="C4" s="27">
        <v>57</v>
      </c>
      <c r="D4" s="27">
        <f t="shared" si="0"/>
        <v>60</v>
      </c>
      <c r="E4" s="27">
        <f t="shared" si="1"/>
        <v>67</v>
      </c>
      <c r="F4" s="28">
        <v>35</v>
      </c>
      <c r="G4" s="29">
        <f t="shared" si="2"/>
        <v>70</v>
      </c>
      <c r="H4" s="33">
        <f t="shared" si="3"/>
        <v>76</v>
      </c>
      <c r="I4" s="33">
        <f t="shared" si="4"/>
        <v>90</v>
      </c>
      <c r="J4" s="33">
        <f t="shared" si="5"/>
        <v>100</v>
      </c>
      <c r="K4" s="30">
        <v>33</v>
      </c>
      <c r="L4" s="32">
        <f t="shared" si="6"/>
        <v>129</v>
      </c>
      <c r="M4" s="32">
        <f t="shared" si="7"/>
        <v>144</v>
      </c>
    </row>
  </sheetData>
  <dataValidations count="2">
    <dataValidation type="list" allowBlank="1" showInputMessage="1" showErrorMessage="1" sqref="I1">
      <formula1>'[4]rate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C1" sqref="C1:M1"/>
    </sheetView>
  </sheetViews>
  <sheetFormatPr defaultRowHeight="12.75"/>
  <cols>
    <col min="1" max="2" width="11.28515625" bestFit="1" customWidth="1"/>
    <col min="3" max="13" width="15.7109375" customWidth="1"/>
  </cols>
  <sheetData>
    <row r="1" spans="1:13" ht="16.5" thickTop="1">
      <c r="A1" s="34" t="s">
        <v>9</v>
      </c>
      <c r="B1" s="35" t="s">
        <v>10</v>
      </c>
      <c r="C1" s="55" t="s">
        <v>20</v>
      </c>
      <c r="D1" s="61" t="s">
        <v>21</v>
      </c>
      <c r="E1" s="38" t="s">
        <v>11</v>
      </c>
      <c r="F1" s="38" t="s">
        <v>16</v>
      </c>
      <c r="G1" s="55" t="s">
        <v>22</v>
      </c>
      <c r="H1" s="55" t="s">
        <v>23</v>
      </c>
      <c r="I1" s="61" t="s">
        <v>26</v>
      </c>
      <c r="J1" s="61" t="s">
        <v>38</v>
      </c>
      <c r="K1" s="39" t="s">
        <v>24</v>
      </c>
      <c r="L1" s="55" t="s">
        <v>25</v>
      </c>
      <c r="M1" s="40" t="s">
        <v>12</v>
      </c>
    </row>
    <row r="2" spans="1:13" ht="14.25">
      <c r="A2" s="31">
        <v>45224</v>
      </c>
      <c r="B2" s="31">
        <v>45288</v>
      </c>
      <c r="C2" s="27">
        <v>38</v>
      </c>
      <c r="D2" s="27">
        <f>+C2+3</f>
        <v>41</v>
      </c>
      <c r="E2" s="27">
        <f>+C2+10</f>
        <v>48</v>
      </c>
      <c r="F2" s="28">
        <v>24</v>
      </c>
      <c r="G2" s="29">
        <f>+F2*2</f>
        <v>48</v>
      </c>
      <c r="H2" s="33">
        <f>+(F2+3)*2</f>
        <v>54</v>
      </c>
      <c r="I2" s="33">
        <f>+(F2+10)*2</f>
        <v>68</v>
      </c>
      <c r="J2" s="33">
        <f>+(F2+15)*2</f>
        <v>78</v>
      </c>
      <c r="K2" s="30">
        <v>22</v>
      </c>
      <c r="L2" s="32">
        <f>+(K2+10)*3</f>
        <v>96</v>
      </c>
      <c r="M2" s="32">
        <f>+(K2+15)*3</f>
        <v>111</v>
      </c>
    </row>
    <row r="3" spans="1:13" ht="14.25">
      <c r="A3" s="31">
        <v>45289</v>
      </c>
      <c r="B3" s="31">
        <v>45295</v>
      </c>
      <c r="C3" s="27">
        <v>60</v>
      </c>
      <c r="D3" s="27">
        <f t="shared" ref="D3:D4" si="0">+C3+3</f>
        <v>63</v>
      </c>
      <c r="E3" s="27">
        <f t="shared" ref="E3:E4" si="1">+C3+10</f>
        <v>70</v>
      </c>
      <c r="F3" s="28">
        <v>37</v>
      </c>
      <c r="G3" s="29">
        <f t="shared" ref="G3:G4" si="2">+F3*2</f>
        <v>74</v>
      </c>
      <c r="H3" s="33">
        <f t="shared" ref="H3:H4" si="3">+(F3+3)*2</f>
        <v>80</v>
      </c>
      <c r="I3" s="33">
        <f t="shared" ref="I3:I4" si="4">+(F3+10)*2</f>
        <v>94</v>
      </c>
      <c r="J3" s="33">
        <f t="shared" ref="J3:J4" si="5">+(F3+15)*2</f>
        <v>104</v>
      </c>
      <c r="K3" s="30">
        <v>35</v>
      </c>
      <c r="L3" s="32">
        <f t="shared" ref="L3:L4" si="6">+(K3+10)*3</f>
        <v>135</v>
      </c>
      <c r="M3" s="32">
        <f t="shared" ref="M3:M4" si="7">+(K3+15)*3</f>
        <v>150</v>
      </c>
    </row>
    <row r="4" spans="1:13" ht="14.25">
      <c r="A4" s="31">
        <v>45296</v>
      </c>
      <c r="B4" s="31">
        <v>45337</v>
      </c>
      <c r="C4" s="27">
        <v>38</v>
      </c>
      <c r="D4" s="27">
        <f t="shared" si="0"/>
        <v>41</v>
      </c>
      <c r="E4" s="27">
        <f t="shared" si="1"/>
        <v>48</v>
      </c>
      <c r="F4" s="28">
        <v>24</v>
      </c>
      <c r="G4" s="29">
        <f t="shared" si="2"/>
        <v>48</v>
      </c>
      <c r="H4" s="33">
        <f t="shared" si="3"/>
        <v>54</v>
      </c>
      <c r="I4" s="33">
        <f t="shared" si="4"/>
        <v>68</v>
      </c>
      <c r="J4" s="33">
        <f t="shared" si="5"/>
        <v>78</v>
      </c>
      <c r="K4" s="30">
        <v>22</v>
      </c>
      <c r="L4" s="32">
        <f t="shared" si="6"/>
        <v>96</v>
      </c>
      <c r="M4" s="32">
        <f t="shared" si="7"/>
        <v>111</v>
      </c>
    </row>
  </sheetData>
  <dataValidations count="2">
    <dataValidation type="list" allowBlank="1" showInputMessage="1" showErrorMessage="1" sqref="I1">
      <formula1>'[4]rate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C1" sqref="C1:M1"/>
    </sheetView>
  </sheetViews>
  <sheetFormatPr defaultRowHeight="12.75"/>
  <cols>
    <col min="1" max="2" width="11.28515625" bestFit="1" customWidth="1"/>
    <col min="3" max="13" width="15.7109375" customWidth="1"/>
  </cols>
  <sheetData>
    <row r="1" spans="1:13" ht="16.5" thickTop="1">
      <c r="A1" s="34" t="s">
        <v>9</v>
      </c>
      <c r="B1" s="35" t="s">
        <v>10</v>
      </c>
      <c r="C1" s="55" t="s">
        <v>20</v>
      </c>
      <c r="D1" s="61" t="s">
        <v>21</v>
      </c>
      <c r="E1" s="38" t="s">
        <v>11</v>
      </c>
      <c r="F1" s="38" t="s">
        <v>16</v>
      </c>
      <c r="G1" s="55" t="s">
        <v>22</v>
      </c>
      <c r="H1" s="55" t="s">
        <v>23</v>
      </c>
      <c r="I1" s="61" t="s">
        <v>26</v>
      </c>
      <c r="J1" s="61" t="s">
        <v>38</v>
      </c>
      <c r="K1" s="39" t="s">
        <v>24</v>
      </c>
      <c r="L1" s="55" t="s">
        <v>25</v>
      </c>
      <c r="M1" s="40" t="s">
        <v>12</v>
      </c>
    </row>
    <row r="2" spans="1:13" ht="14.25">
      <c r="A2" s="31">
        <v>45234</v>
      </c>
      <c r="B2" s="31">
        <v>45288</v>
      </c>
      <c r="C2" s="27">
        <v>35</v>
      </c>
      <c r="D2" s="27">
        <f>+C2+3</f>
        <v>38</v>
      </c>
      <c r="E2" s="27">
        <f>+C2+10</f>
        <v>45</v>
      </c>
      <c r="F2" s="28">
        <v>22</v>
      </c>
      <c r="G2" s="29">
        <f>+F2*2</f>
        <v>44</v>
      </c>
      <c r="H2" s="33">
        <f>+(F2+3)*2</f>
        <v>50</v>
      </c>
      <c r="I2" s="33">
        <f>+(F2+10)*2</f>
        <v>64</v>
      </c>
      <c r="J2" s="33">
        <f>+(F2+15)*2</f>
        <v>74</v>
      </c>
      <c r="K2" s="30">
        <v>20</v>
      </c>
      <c r="L2" s="32">
        <f>+(K2+10)*3</f>
        <v>90</v>
      </c>
      <c r="M2" s="32">
        <f>+(K2+15)*3</f>
        <v>105</v>
      </c>
    </row>
    <row r="3" spans="1:13" ht="14.25">
      <c r="A3" s="31">
        <v>45289</v>
      </c>
      <c r="B3" s="31">
        <v>45295</v>
      </c>
      <c r="C3" s="27">
        <v>56</v>
      </c>
      <c r="D3" s="27">
        <f t="shared" ref="D3:D4" si="0">+C3+3</f>
        <v>59</v>
      </c>
      <c r="E3" s="27">
        <f t="shared" ref="E3:E4" si="1">+C3+10</f>
        <v>66</v>
      </c>
      <c r="F3" s="28">
        <v>35</v>
      </c>
      <c r="G3" s="29">
        <f t="shared" ref="G3:G4" si="2">+F3*2</f>
        <v>70</v>
      </c>
      <c r="H3" s="33">
        <f t="shared" ref="H3:H4" si="3">+(F3+3)*2</f>
        <v>76</v>
      </c>
      <c r="I3" s="33">
        <f t="shared" ref="I3:I4" si="4">+(F3+10)*2</f>
        <v>90</v>
      </c>
      <c r="J3" s="33">
        <f t="shared" ref="J3:J4" si="5">+(F3+15)*2</f>
        <v>100</v>
      </c>
      <c r="K3" s="30">
        <v>33</v>
      </c>
      <c r="L3" s="32">
        <f t="shared" ref="L3:L4" si="6">+(K3+10)*3</f>
        <v>129</v>
      </c>
      <c r="M3" s="32">
        <f t="shared" ref="M3:M4" si="7">+(K3+15)*3</f>
        <v>144</v>
      </c>
    </row>
    <row r="4" spans="1:13" ht="14.25">
      <c r="A4" s="31">
        <v>45296</v>
      </c>
      <c r="B4" s="31">
        <v>45337</v>
      </c>
      <c r="C4" s="27">
        <v>35</v>
      </c>
      <c r="D4" s="27">
        <f t="shared" si="0"/>
        <v>38</v>
      </c>
      <c r="E4" s="27">
        <f t="shared" si="1"/>
        <v>45</v>
      </c>
      <c r="F4" s="28">
        <v>22</v>
      </c>
      <c r="G4" s="29">
        <f t="shared" si="2"/>
        <v>44</v>
      </c>
      <c r="H4" s="33">
        <f t="shared" si="3"/>
        <v>50</v>
      </c>
      <c r="I4" s="33">
        <f t="shared" si="4"/>
        <v>64</v>
      </c>
      <c r="J4" s="33">
        <f t="shared" si="5"/>
        <v>74</v>
      </c>
      <c r="K4" s="30">
        <v>20</v>
      </c>
      <c r="L4" s="32">
        <f t="shared" si="6"/>
        <v>90</v>
      </c>
      <c r="M4" s="32">
        <f t="shared" si="7"/>
        <v>105</v>
      </c>
    </row>
  </sheetData>
  <dataValidations count="2">
    <dataValidation type="list" allowBlank="1" showInputMessage="1" showErrorMessage="1" sqref="I1">
      <formula1>'[4]rate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C1" sqref="C1:M1"/>
    </sheetView>
  </sheetViews>
  <sheetFormatPr defaultRowHeight="12.75"/>
  <cols>
    <col min="1" max="1" width="11.28515625" bestFit="1" customWidth="1"/>
    <col min="2" max="2" width="13.5703125" bestFit="1" customWidth="1"/>
    <col min="3" max="13" width="15.7109375" customWidth="1"/>
  </cols>
  <sheetData>
    <row r="1" spans="1:13" ht="16.5" thickTop="1">
      <c r="A1" s="34" t="s">
        <v>9</v>
      </c>
      <c r="B1" s="35" t="s">
        <v>10</v>
      </c>
      <c r="C1" s="55" t="s">
        <v>20</v>
      </c>
      <c r="D1" s="61" t="s">
        <v>21</v>
      </c>
      <c r="E1" s="38" t="s">
        <v>11</v>
      </c>
      <c r="F1" s="38" t="s">
        <v>16</v>
      </c>
      <c r="G1" s="55" t="s">
        <v>22</v>
      </c>
      <c r="H1" s="55" t="s">
        <v>23</v>
      </c>
      <c r="I1" s="61" t="s">
        <v>26</v>
      </c>
      <c r="J1" s="61" t="s">
        <v>38</v>
      </c>
      <c r="K1" s="39" t="s">
        <v>24</v>
      </c>
      <c r="L1" s="55" t="s">
        <v>25</v>
      </c>
      <c r="M1" s="40" t="s">
        <v>12</v>
      </c>
    </row>
    <row r="2" spans="1:13" ht="14.25">
      <c r="A2" s="31">
        <v>45247</v>
      </c>
      <c r="B2" s="31">
        <v>45288</v>
      </c>
      <c r="C2" s="27">
        <v>32</v>
      </c>
      <c r="D2" s="27">
        <f>+C2+3</f>
        <v>35</v>
      </c>
      <c r="E2" s="27">
        <f>+C2+10</f>
        <v>42</v>
      </c>
      <c r="F2" s="28">
        <v>20</v>
      </c>
      <c r="G2" s="29">
        <f>+F2*2</f>
        <v>40</v>
      </c>
      <c r="H2" s="33">
        <f>+(F2+3)*2</f>
        <v>46</v>
      </c>
      <c r="I2" s="33">
        <f>+(F2+10)*2</f>
        <v>60</v>
      </c>
      <c r="J2" s="33">
        <f>+(F2+15)*2</f>
        <v>70</v>
      </c>
      <c r="K2" s="30">
        <v>18</v>
      </c>
      <c r="L2" s="32">
        <f>+(K2+10)*3</f>
        <v>84</v>
      </c>
      <c r="M2" s="32">
        <f>+(K2+15)*3</f>
        <v>99</v>
      </c>
    </row>
    <row r="3" spans="1:13" ht="14.25">
      <c r="A3" s="31">
        <v>45289</v>
      </c>
      <c r="B3" s="31">
        <v>45295</v>
      </c>
      <c r="C3" s="27">
        <v>48</v>
      </c>
      <c r="D3" s="27">
        <f t="shared" ref="D3:D4" si="0">+C3+3</f>
        <v>51</v>
      </c>
      <c r="E3" s="27">
        <f t="shared" ref="E3:E4" si="1">+C3+10</f>
        <v>58</v>
      </c>
      <c r="F3" s="28">
        <v>30</v>
      </c>
      <c r="G3" s="29">
        <f t="shared" ref="G3:G4" si="2">+F3*2</f>
        <v>60</v>
      </c>
      <c r="H3" s="33">
        <f t="shared" ref="H3:H4" si="3">+(F3+3)*2</f>
        <v>66</v>
      </c>
      <c r="I3" s="33">
        <f t="shared" ref="I3:I4" si="4">+(F3+10)*2</f>
        <v>80</v>
      </c>
      <c r="J3" s="33">
        <f t="shared" ref="J3:J4" si="5">+(F3+15)*2</f>
        <v>90</v>
      </c>
      <c r="K3" s="30">
        <v>28</v>
      </c>
      <c r="L3" s="32">
        <f t="shared" ref="L3:L4" si="6">+(K3+10)*3</f>
        <v>114</v>
      </c>
      <c r="M3" s="32">
        <f t="shared" ref="M3:M4" si="7">+(K3+15)*3</f>
        <v>129</v>
      </c>
    </row>
    <row r="4" spans="1:13" ht="14.25">
      <c r="A4" s="31">
        <v>45296</v>
      </c>
      <c r="B4" s="31">
        <v>45337</v>
      </c>
      <c r="C4" s="27">
        <v>32</v>
      </c>
      <c r="D4" s="27">
        <f t="shared" si="0"/>
        <v>35</v>
      </c>
      <c r="E4" s="27">
        <f t="shared" si="1"/>
        <v>42</v>
      </c>
      <c r="F4" s="28">
        <v>20</v>
      </c>
      <c r="G4" s="29">
        <f t="shared" si="2"/>
        <v>40</v>
      </c>
      <c r="H4" s="33">
        <f t="shared" si="3"/>
        <v>46</v>
      </c>
      <c r="I4" s="33">
        <f t="shared" si="4"/>
        <v>60</v>
      </c>
      <c r="J4" s="33">
        <f t="shared" si="5"/>
        <v>70</v>
      </c>
      <c r="K4" s="30">
        <v>18</v>
      </c>
      <c r="L4" s="32">
        <f t="shared" si="6"/>
        <v>84</v>
      </c>
      <c r="M4" s="32">
        <f t="shared" si="7"/>
        <v>99</v>
      </c>
    </row>
  </sheetData>
  <dataValidations count="2">
    <dataValidation type="list" allowBlank="1" showInputMessage="1" showErrorMessage="1" sqref="I1">
      <formula1>'[4]rate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C1" sqref="C1:M1"/>
    </sheetView>
  </sheetViews>
  <sheetFormatPr defaultRowHeight="12.75"/>
  <cols>
    <col min="1" max="1" width="11.28515625" bestFit="1" customWidth="1"/>
    <col min="2" max="2" width="13.5703125" bestFit="1" customWidth="1"/>
    <col min="3" max="13" width="15.7109375" customWidth="1"/>
  </cols>
  <sheetData>
    <row r="1" spans="1:13" ht="16.5" thickTop="1">
      <c r="A1" s="34" t="s">
        <v>9</v>
      </c>
      <c r="B1" s="35" t="s">
        <v>10</v>
      </c>
      <c r="C1" s="55" t="s">
        <v>20</v>
      </c>
      <c r="D1" s="61" t="s">
        <v>21</v>
      </c>
      <c r="E1" s="38" t="s">
        <v>11</v>
      </c>
      <c r="F1" s="38" t="s">
        <v>16</v>
      </c>
      <c r="G1" s="55" t="s">
        <v>22</v>
      </c>
      <c r="H1" s="55" t="s">
        <v>23</v>
      </c>
      <c r="I1" s="61" t="s">
        <v>26</v>
      </c>
      <c r="J1" s="61" t="s">
        <v>38</v>
      </c>
      <c r="K1" s="39" t="s">
        <v>24</v>
      </c>
      <c r="L1" s="55" t="s">
        <v>25</v>
      </c>
      <c r="M1" s="40" t="s">
        <v>12</v>
      </c>
    </row>
    <row r="2" spans="1:13" ht="14.25">
      <c r="A2" s="31">
        <v>45254</v>
      </c>
      <c r="B2" s="31">
        <v>45288</v>
      </c>
      <c r="C2" s="27">
        <v>29</v>
      </c>
      <c r="D2" s="27">
        <f>+C2+3</f>
        <v>32</v>
      </c>
      <c r="E2" s="27">
        <f>+C2+10</f>
        <v>39</v>
      </c>
      <c r="F2" s="28">
        <v>18</v>
      </c>
      <c r="G2" s="29">
        <f>+F2*2</f>
        <v>36</v>
      </c>
      <c r="H2" s="33">
        <f>+(F2+3)*2</f>
        <v>42</v>
      </c>
      <c r="I2" s="33">
        <f>+(F2+10)*2</f>
        <v>56</v>
      </c>
      <c r="J2" s="33">
        <f>+(F2+15)*2</f>
        <v>66</v>
      </c>
      <c r="K2" s="30">
        <v>16</v>
      </c>
      <c r="L2" s="32">
        <f>+(K2+10)*3</f>
        <v>78</v>
      </c>
      <c r="M2" s="32">
        <f>+(K2+15)*3</f>
        <v>93</v>
      </c>
    </row>
    <row r="3" spans="1:13" ht="14.25">
      <c r="A3" s="31">
        <v>45289</v>
      </c>
      <c r="B3" s="31">
        <v>45295</v>
      </c>
      <c r="C3" s="27">
        <v>45</v>
      </c>
      <c r="D3" s="27">
        <f t="shared" ref="D3:D4" si="0">+C3+3</f>
        <v>48</v>
      </c>
      <c r="E3" s="27">
        <f t="shared" ref="E3:E4" si="1">+C3+10</f>
        <v>55</v>
      </c>
      <c r="F3" s="28">
        <v>28</v>
      </c>
      <c r="G3" s="29">
        <f t="shared" ref="G3:G4" si="2">+F3*2</f>
        <v>56</v>
      </c>
      <c r="H3" s="33">
        <f t="shared" ref="H3:H4" si="3">+(F3+3)*2</f>
        <v>62</v>
      </c>
      <c r="I3" s="33">
        <f t="shared" ref="I3:I4" si="4">+(F3+10)*2</f>
        <v>76</v>
      </c>
      <c r="J3" s="33">
        <f t="shared" ref="J3:J4" si="5">+(F3+15)*2</f>
        <v>86</v>
      </c>
      <c r="K3" s="30">
        <v>26</v>
      </c>
      <c r="L3" s="32">
        <f t="shared" ref="L3:L4" si="6">+(K3+10)*3</f>
        <v>108</v>
      </c>
      <c r="M3" s="32">
        <f t="shared" ref="M3:M4" si="7">+(K3+15)*3</f>
        <v>123</v>
      </c>
    </row>
    <row r="4" spans="1:13" ht="14.25">
      <c r="A4" s="31">
        <v>45296</v>
      </c>
      <c r="B4" s="31">
        <v>45337</v>
      </c>
      <c r="C4" s="27">
        <v>29</v>
      </c>
      <c r="D4" s="27">
        <f t="shared" si="0"/>
        <v>32</v>
      </c>
      <c r="E4" s="27">
        <f t="shared" si="1"/>
        <v>39</v>
      </c>
      <c r="F4" s="28">
        <v>18</v>
      </c>
      <c r="G4" s="29">
        <f t="shared" si="2"/>
        <v>36</v>
      </c>
      <c r="H4" s="33">
        <f t="shared" si="3"/>
        <v>42</v>
      </c>
      <c r="I4" s="33">
        <f t="shared" si="4"/>
        <v>56</v>
      </c>
      <c r="J4" s="33">
        <f t="shared" si="5"/>
        <v>66</v>
      </c>
      <c r="K4" s="30">
        <v>16</v>
      </c>
      <c r="L4" s="32">
        <f t="shared" si="6"/>
        <v>78</v>
      </c>
      <c r="M4" s="32">
        <f t="shared" si="7"/>
        <v>93</v>
      </c>
    </row>
    <row r="5" spans="1:13" ht="14.25">
      <c r="A5" s="31">
        <v>45338</v>
      </c>
      <c r="B5" s="31">
        <v>45412</v>
      </c>
      <c r="C5" s="27">
        <v>37</v>
      </c>
      <c r="D5" s="27">
        <f t="shared" ref="D5" si="8">+C5+3</f>
        <v>40</v>
      </c>
      <c r="E5" s="27">
        <f t="shared" ref="E5" si="9">+C5+10</f>
        <v>47</v>
      </c>
      <c r="F5" s="28">
        <v>23</v>
      </c>
      <c r="G5" s="29">
        <f t="shared" ref="G5" si="10">+F5*2</f>
        <v>46</v>
      </c>
      <c r="H5" s="33">
        <f t="shared" ref="H5" si="11">+(F5+3)*2</f>
        <v>52</v>
      </c>
      <c r="I5" s="33">
        <f t="shared" ref="I5" si="12">+(F5+10)*2</f>
        <v>66</v>
      </c>
      <c r="J5" s="33">
        <f t="shared" ref="J5" si="13">+(F5+15)*2</f>
        <v>76</v>
      </c>
      <c r="K5" s="30">
        <v>21</v>
      </c>
      <c r="L5" s="32">
        <f t="shared" ref="L5" si="14">+(K5+10)*3</f>
        <v>93</v>
      </c>
      <c r="M5" s="32">
        <f t="shared" ref="M5" si="15">+(K5+15)*3</f>
        <v>108</v>
      </c>
    </row>
  </sheetData>
  <dataValidations count="2">
    <dataValidation type="list" allowBlank="1" showInputMessage="1" showErrorMessage="1" sqref="I1">
      <formula1>'[4]rate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statment</vt:lpstr>
      <vt:lpstr>contract</vt:lpstr>
      <vt:lpstr>spo 12.7</vt:lpstr>
      <vt:lpstr>spo 1.8</vt:lpstr>
      <vt:lpstr>spo 19.10 to 24.10</vt:lpstr>
      <vt:lpstr>spo 25.10 to 03.11</vt:lpstr>
      <vt:lpstr>spo 04.11 to 16.11</vt:lpstr>
      <vt:lpstr>spo 17.11 to 23.11</vt:lpstr>
      <vt:lpstr>spo 24.11 to 24.11</vt:lpstr>
      <vt:lpstr>spo 25.11 to 20.12</vt:lpstr>
      <vt:lpstr>spo 21.12 to 31.01</vt:lpstr>
      <vt:lpstr>spo 01.02 to 15.02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Area-Credit2</cp:lastModifiedBy>
  <cp:lastPrinted>2022-10-27T07:02:22Z</cp:lastPrinted>
  <dcterms:created xsi:type="dcterms:W3CDTF">2016-10-13T07:40:59Z</dcterms:created>
  <dcterms:modified xsi:type="dcterms:W3CDTF">2024-02-17T09:03:58Z</dcterms:modified>
</cp:coreProperties>
</file>