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sebas\OneDrive\Escritorio\"/>
    </mc:Choice>
  </mc:AlternateContent>
  <xr:revisionPtr revIDLastSave="0" documentId="13_ncr:1_{F84D6DB7-E8DA-4D71-ADE6-85167C78E409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Punto 1" sheetId="1" r:id="rId1"/>
    <sheet name="Punto 2" sheetId="2" r:id="rId2"/>
    <sheet name="Punto 3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3" i="4" l="1"/>
  <c r="H43" i="4"/>
  <c r="I43" i="4"/>
  <c r="J43" i="4"/>
  <c r="K43" i="4"/>
  <c r="L43" i="4"/>
  <c r="F43" i="4"/>
  <c r="G42" i="4"/>
  <c r="H42" i="4"/>
  <c r="I42" i="4"/>
  <c r="J42" i="4"/>
  <c r="K42" i="4"/>
  <c r="L42" i="4"/>
  <c r="F42" i="4"/>
  <c r="G40" i="4"/>
  <c r="H40" i="4"/>
  <c r="I40" i="4"/>
  <c r="J40" i="4"/>
  <c r="K40" i="4"/>
  <c r="L40" i="4"/>
  <c r="G39" i="4"/>
  <c r="H39" i="4"/>
  <c r="I39" i="4"/>
  <c r="J39" i="4"/>
  <c r="K39" i="4"/>
  <c r="L39" i="4"/>
  <c r="G38" i="4"/>
  <c r="H38" i="4"/>
  <c r="I38" i="4"/>
  <c r="J38" i="4"/>
  <c r="K38" i="4"/>
  <c r="L38" i="4"/>
  <c r="G37" i="4"/>
  <c r="H37" i="4"/>
  <c r="I37" i="4"/>
  <c r="J37" i="4"/>
  <c r="K37" i="4"/>
  <c r="L37" i="4"/>
  <c r="F40" i="4"/>
  <c r="F39" i="4"/>
  <c r="F37" i="4"/>
  <c r="F38" i="4"/>
  <c r="F33" i="4"/>
  <c r="G33" i="4"/>
  <c r="H33" i="4"/>
  <c r="I33" i="4"/>
  <c r="J33" i="4"/>
  <c r="K33" i="4"/>
  <c r="L33" i="4"/>
  <c r="F34" i="4"/>
  <c r="G34" i="4"/>
  <c r="H34" i="4"/>
  <c r="I34" i="4"/>
  <c r="J34" i="4"/>
  <c r="K34" i="4"/>
  <c r="L34" i="4"/>
  <c r="F35" i="4"/>
  <c r="G35" i="4"/>
  <c r="H35" i="4"/>
  <c r="I35" i="4"/>
  <c r="J35" i="4"/>
  <c r="K35" i="4"/>
  <c r="L35" i="4"/>
  <c r="G32" i="4"/>
  <c r="H32" i="4"/>
  <c r="I32" i="4"/>
  <c r="J32" i="4"/>
  <c r="K32" i="4"/>
  <c r="L32" i="4"/>
  <c r="F32" i="4"/>
  <c r="D19" i="4"/>
  <c r="C19" i="4"/>
  <c r="AA18" i="4"/>
  <c r="X18" i="4"/>
  <c r="Z18" i="4" s="1"/>
  <c r="W18" i="4"/>
  <c r="V18" i="4"/>
  <c r="Y18" i="4" s="1"/>
  <c r="D18" i="4"/>
  <c r="T12" i="4" s="1"/>
  <c r="C18" i="4"/>
  <c r="S12" i="4" s="1"/>
  <c r="I15" i="4"/>
  <c r="H15" i="4"/>
  <c r="I13" i="4"/>
  <c r="H13" i="4"/>
  <c r="I9" i="4"/>
  <c r="H9" i="4"/>
  <c r="I7" i="4"/>
  <c r="H7" i="4"/>
  <c r="Z18" i="2"/>
  <c r="Y18" i="2"/>
  <c r="AA18" i="2"/>
  <c r="X18" i="2"/>
  <c r="W18" i="2"/>
  <c r="V18" i="2"/>
  <c r="U12" i="2"/>
  <c r="U11" i="2"/>
  <c r="U10" i="2"/>
  <c r="U9" i="2"/>
  <c r="L16" i="2"/>
  <c r="L7" i="2"/>
  <c r="K8" i="2"/>
  <c r="K9" i="2"/>
  <c r="K10" i="2"/>
  <c r="K13" i="2"/>
  <c r="M13" i="2"/>
  <c r="M14" i="2"/>
  <c r="M15" i="2"/>
  <c r="M16" i="2"/>
  <c r="M7" i="2"/>
  <c r="T10" i="2"/>
  <c r="T11" i="2"/>
  <c r="T12" i="2"/>
  <c r="S10" i="2"/>
  <c r="K14" i="2" s="1"/>
  <c r="S11" i="2"/>
  <c r="L8" i="2" s="1"/>
  <c r="S12" i="2"/>
  <c r="M9" i="2" s="1"/>
  <c r="T9" i="2"/>
  <c r="S9" i="2"/>
  <c r="J7" i="2" s="1"/>
  <c r="D19" i="2"/>
  <c r="I16" i="2" s="1"/>
  <c r="C19" i="2"/>
  <c r="D18" i="2"/>
  <c r="C18" i="2"/>
  <c r="H8" i="2" s="1"/>
  <c r="H16" i="2"/>
  <c r="H15" i="2"/>
  <c r="H9" i="2"/>
  <c r="N8" i="1"/>
  <c r="I10" i="1"/>
  <c r="I11" i="1"/>
  <c r="I12" i="1"/>
  <c r="I13" i="1"/>
  <c r="I14" i="1"/>
  <c r="H10" i="1"/>
  <c r="H11" i="1"/>
  <c r="H12" i="1"/>
  <c r="H13" i="1"/>
  <c r="H14" i="1"/>
  <c r="D19" i="1"/>
  <c r="C19" i="1"/>
  <c r="D18" i="1"/>
  <c r="I15" i="1" s="1"/>
  <c r="C18" i="1"/>
  <c r="H15" i="1" s="1"/>
  <c r="M15" i="4" l="1"/>
  <c r="M13" i="4"/>
  <c r="M9" i="4"/>
  <c r="M7" i="4"/>
  <c r="S10" i="4"/>
  <c r="T10" i="4"/>
  <c r="H8" i="4"/>
  <c r="M8" i="4" s="1"/>
  <c r="S9" i="4"/>
  <c r="S11" i="4"/>
  <c r="H14" i="4"/>
  <c r="M14" i="4" s="1"/>
  <c r="H16" i="4"/>
  <c r="M16" i="4" s="1"/>
  <c r="I8" i="4"/>
  <c r="T9" i="4"/>
  <c r="T11" i="4"/>
  <c r="I14" i="4"/>
  <c r="I16" i="4"/>
  <c r="H10" i="4"/>
  <c r="M10" i="4" s="1"/>
  <c r="I10" i="4"/>
  <c r="M10" i="2"/>
  <c r="L15" i="2"/>
  <c r="M8" i="2"/>
  <c r="K7" i="2"/>
  <c r="L14" i="2"/>
  <c r="L13" i="2"/>
  <c r="K16" i="2"/>
  <c r="L10" i="2"/>
  <c r="K15" i="2"/>
  <c r="L9" i="2"/>
  <c r="I8" i="2"/>
  <c r="I9" i="2"/>
  <c r="I15" i="2"/>
  <c r="I14" i="2"/>
  <c r="I13" i="2"/>
  <c r="H7" i="2"/>
  <c r="I7" i="2"/>
  <c r="H10" i="2"/>
  <c r="H14" i="2"/>
  <c r="H13" i="2"/>
  <c r="I10" i="2"/>
  <c r="I7" i="1"/>
  <c r="I6" i="1"/>
  <c r="I8" i="1"/>
  <c r="H5" i="1"/>
  <c r="I5" i="1"/>
  <c r="N5" i="1"/>
  <c r="H16" i="1"/>
  <c r="I16" i="1"/>
  <c r="O5" i="1"/>
  <c r="H9" i="1"/>
  <c r="I9" i="1"/>
  <c r="H8" i="1"/>
  <c r="H7" i="1"/>
  <c r="H6" i="1"/>
  <c r="U12" i="4" l="1"/>
  <c r="J10" i="4"/>
  <c r="J16" i="4"/>
  <c r="J14" i="4"/>
  <c r="J8" i="4"/>
  <c r="J15" i="4"/>
  <c r="J13" i="4"/>
  <c r="J9" i="4"/>
  <c r="J7" i="4"/>
  <c r="U9" i="4" s="1"/>
  <c r="K16" i="4"/>
  <c r="K14" i="4"/>
  <c r="K8" i="4"/>
  <c r="K15" i="4"/>
  <c r="K13" i="4"/>
  <c r="K9" i="4"/>
  <c r="K7" i="4"/>
  <c r="K10" i="4"/>
  <c r="L16" i="4"/>
  <c r="L14" i="4"/>
  <c r="L8" i="4"/>
  <c r="L15" i="4"/>
  <c r="L13" i="4"/>
  <c r="L9" i="4"/>
  <c r="L7" i="4"/>
  <c r="U11" i="4" s="1"/>
  <c r="L10" i="4"/>
  <c r="J13" i="2"/>
  <c r="J9" i="2"/>
  <c r="J15" i="2"/>
  <c r="J14" i="2"/>
  <c r="J8" i="2"/>
  <c r="J16" i="2"/>
  <c r="J10" i="2"/>
  <c r="J5" i="1"/>
  <c r="J10" i="1"/>
  <c r="J11" i="1"/>
  <c r="J13" i="1"/>
  <c r="J14" i="1"/>
  <c r="J6" i="1"/>
  <c r="J12" i="1"/>
  <c r="J16" i="1"/>
  <c r="J7" i="1"/>
  <c r="J9" i="1"/>
  <c r="J8" i="1"/>
  <c r="J15" i="1"/>
  <c r="U10" i="4" l="1"/>
  <c r="J18" i="1"/>
</calcChain>
</file>

<file path=xl/sharedStrings.xml><?xml version="1.0" encoding="utf-8"?>
<sst xmlns="http://schemas.openxmlformats.org/spreadsheetml/2006/main" count="165" uniqueCount="37">
  <si>
    <t>Instancia</t>
  </si>
  <si>
    <t>Peso</t>
  </si>
  <si>
    <t>Altura</t>
  </si>
  <si>
    <t>Estado</t>
  </si>
  <si>
    <t>Normal</t>
  </si>
  <si>
    <t>Sobrepeso</t>
  </si>
  <si>
    <t>Promedio</t>
  </si>
  <si>
    <t>Desviacion</t>
  </si>
  <si>
    <t>Distancia</t>
  </si>
  <si>
    <t>Prediccion</t>
  </si>
  <si>
    <t>Knn</t>
  </si>
  <si>
    <t>Respuesta</t>
  </si>
  <si>
    <t>Predicciones</t>
  </si>
  <si>
    <t>True</t>
  </si>
  <si>
    <t>False</t>
  </si>
  <si>
    <t>Verdaderos</t>
  </si>
  <si>
    <t>Real</t>
  </si>
  <si>
    <t>Sensibilidad</t>
  </si>
  <si>
    <t>Especificidad</t>
  </si>
  <si>
    <t>Exactitud</t>
  </si>
  <si>
    <t>F1 Score</t>
  </si>
  <si>
    <t>Error</t>
  </si>
  <si>
    <t>Precision</t>
  </si>
  <si>
    <t>La sensibilidad es la capacidad del modelo de predecir correctamente un paciente con peso normal</t>
  </si>
  <si>
    <t>La especificidad es la capacidad del modelo de predecir correctamente un paciente con sobrepeso</t>
  </si>
  <si>
    <t>Es la capacidad del modelo de predecir correctamente los pacientes</t>
  </si>
  <si>
    <t>Es una metrica que nos ayuda a evaluar al modelo en su sensibilidad y precision facilmente</t>
  </si>
  <si>
    <t>Es el porcentaje de predicciones incorrectas del modelo</t>
  </si>
  <si>
    <t>Valor esperado</t>
  </si>
  <si>
    <t>Predicción</t>
  </si>
  <si>
    <t>Tabla hecha con base en los resultados anteriores</t>
  </si>
  <si>
    <t>Umbral</t>
  </si>
  <si>
    <t>TN</t>
  </si>
  <si>
    <t>TP</t>
  </si>
  <si>
    <t>FN</t>
  </si>
  <si>
    <t>FP</t>
  </si>
  <si>
    <t>1-Especificidad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</si>
</sst>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'Punto 3'!$E$43</c:f>
              <c:strCache>
                <c:ptCount val="1"/>
                <c:pt idx="0">
                  <c:v>Sensibilidad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'Punto 3'!$F$42:$L$42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'Punto 3'!$F$43:$L$43</c:f>
              <c:numCache>
                <c:formatCode>General</c:formatCode>
                <c:ptCount val="7"/>
                <c:pt idx="0">
                  <c:v>1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5D-4A3A-A7E2-571782916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671471"/>
        <c:axId val="1295670223"/>
      </c:scatterChart>
      <c:valAx>
        <c:axId val="1295671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5670223"/>
        <c:crosses val="autoZero"/>
        <c:crossBetween val="midCat"/>
      </c:valAx>
      <c:valAx>
        <c:axId val="129567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5671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933450</xdr:colOff>
      <xdr:row>44</xdr:row>
      <xdr:rowOff>4762</xdr:rowOff>
    </xdr:from>
    <xdr:to>
      <xdr:col>10</xdr:col>
      <xdr:colOff>38100</xdr:colOff>
      <xdr:row>58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0B84F8-865B-5955-8948-5E750DD6E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O19"/>
  <sheetViews>
    <sheetView workbookViewId="0">
      <selection activeCell="M13" sqref="M13"/>
    </sheetView>
  </sheetViews>
  <sheetFormatPr baseColWidth="10" defaultColWidth="9.140625" defaultRowHeight="15" x14ac:dyDescent="0.25"/>
  <cols>
    <col min="2" max="2" width="10.5703125" bestFit="1" customWidth="1"/>
    <col min="5" max="5" width="10.42578125" bestFit="1" customWidth="1"/>
    <col min="8" max="9" width="10.28515625" bestFit="1" customWidth="1"/>
    <col min="10" max="11" width="10.42578125" bestFit="1" customWidth="1"/>
    <col min="13" max="13" width="10.28515625" bestFit="1" customWidth="1"/>
  </cols>
  <sheetData>
    <row r="4" spans="2:15" x14ac:dyDescent="0.25">
      <c r="B4" s="1" t="s">
        <v>0</v>
      </c>
      <c r="C4" s="1" t="s">
        <v>1</v>
      </c>
      <c r="D4" s="1" t="s">
        <v>2</v>
      </c>
      <c r="E4" s="1" t="s">
        <v>3</v>
      </c>
      <c r="G4" s="1" t="s">
        <v>0</v>
      </c>
      <c r="H4" s="1" t="s">
        <v>1</v>
      </c>
      <c r="I4" s="1" t="s">
        <v>2</v>
      </c>
      <c r="J4" s="1" t="s">
        <v>8</v>
      </c>
      <c r="K4" s="1" t="s">
        <v>3</v>
      </c>
      <c r="M4" s="1" t="s">
        <v>9</v>
      </c>
      <c r="N4" s="1">
        <v>86</v>
      </c>
      <c r="O4" s="1">
        <v>192</v>
      </c>
    </row>
    <row r="5" spans="2:15" x14ac:dyDescent="0.25">
      <c r="B5" s="1">
        <v>1</v>
      </c>
      <c r="C5" s="1">
        <v>60</v>
      </c>
      <c r="D5" s="1">
        <v>155</v>
      </c>
      <c r="E5" s="1" t="s">
        <v>4</v>
      </c>
      <c r="G5" s="1">
        <v>1</v>
      </c>
      <c r="H5" s="2">
        <f>(C5-$C$18)/$C$19</f>
        <v>-1.5277572948775029</v>
      </c>
      <c r="I5" s="2">
        <f>(D5-$D$18)/$D$19</f>
        <v>-0.97158202494985979</v>
      </c>
      <c r="J5" s="1">
        <f>SQRT((($N$5-H5)^2)+(($O$5-I5)^2))</f>
        <v>2.4226844879028424</v>
      </c>
      <c r="K5" s="1" t="s">
        <v>4</v>
      </c>
      <c r="M5" s="1" t="s">
        <v>9</v>
      </c>
      <c r="N5" s="1">
        <f>(N4-C18)/C19</f>
        <v>-0.10489079934979895</v>
      </c>
      <c r="O5" s="1">
        <f>(O4-D18)/D19</f>
        <v>0.98924715267621988</v>
      </c>
    </row>
    <row r="6" spans="2:15" x14ac:dyDescent="0.25">
      <c r="B6" s="1">
        <v>2</v>
      </c>
      <c r="C6" s="1">
        <v>80</v>
      </c>
      <c r="D6" s="1">
        <v>180</v>
      </c>
      <c r="E6" s="1" t="s">
        <v>4</v>
      </c>
      <c r="G6" s="1">
        <v>2</v>
      </c>
      <c r="H6" s="2">
        <f t="shared" ref="H6:H16" si="0">(C6-$C$18)/$C$19</f>
        <v>-0.43324460601003828</v>
      </c>
      <c r="I6" s="2">
        <f t="shared" ref="I6:I16" si="1">(D6-$D$18)/$D$19</f>
        <v>0.35330255452722104</v>
      </c>
      <c r="J6" s="1">
        <f t="shared" ref="J6:J16" si="2">SQRT((($N$5-H6)^2)+(($O$5-I6)^2))</f>
        <v>0.71571066379030668</v>
      </c>
      <c r="K6" s="1" t="s">
        <v>4</v>
      </c>
    </row>
    <row r="7" spans="2:15" x14ac:dyDescent="0.25">
      <c r="B7" s="1">
        <v>3</v>
      </c>
      <c r="C7" s="1">
        <v>75</v>
      </c>
      <c r="D7" s="1">
        <v>170</v>
      </c>
      <c r="E7" s="1" t="s">
        <v>4</v>
      </c>
      <c r="G7" s="1">
        <v>3</v>
      </c>
      <c r="H7" s="2">
        <f t="shared" si="0"/>
        <v>-0.70687277822690442</v>
      </c>
      <c r="I7" s="2">
        <f t="shared" si="1"/>
        <v>-0.17665127726361129</v>
      </c>
      <c r="J7" s="1">
        <f t="shared" si="2"/>
        <v>1.3121362169488957</v>
      </c>
      <c r="K7" s="1" t="s">
        <v>4</v>
      </c>
    </row>
    <row r="8" spans="2:15" x14ac:dyDescent="0.25">
      <c r="B8" s="1">
        <v>4</v>
      </c>
      <c r="C8" s="1">
        <v>90</v>
      </c>
      <c r="D8" s="1">
        <v>190</v>
      </c>
      <c r="E8" s="1" t="s">
        <v>4</v>
      </c>
      <c r="G8" s="1">
        <v>4</v>
      </c>
      <c r="H8" s="2">
        <f t="shared" si="0"/>
        <v>0.11401173842369396</v>
      </c>
      <c r="I8" s="2">
        <f>(D8-$D$18)/$D$19</f>
        <v>0.88325638631805337</v>
      </c>
      <c r="J8" s="1">
        <f t="shared" si="2"/>
        <v>0.24321258930587233</v>
      </c>
      <c r="K8" s="1" t="s">
        <v>4</v>
      </c>
      <c r="M8" s="1" t="s">
        <v>11</v>
      </c>
      <c r="N8" s="1" t="str">
        <f>VLOOKUP(MIN(J5:J16),J5:K16,2,FALSE)</f>
        <v>Normal</v>
      </c>
    </row>
    <row r="9" spans="2:15" x14ac:dyDescent="0.25">
      <c r="B9" s="1">
        <v>5</v>
      </c>
      <c r="C9" s="1">
        <v>80</v>
      </c>
      <c r="D9" s="1">
        <v>190</v>
      </c>
      <c r="E9" s="1" t="s">
        <v>4</v>
      </c>
      <c r="G9" s="1">
        <v>5</v>
      </c>
      <c r="H9" s="2">
        <f t="shared" si="0"/>
        <v>-0.43324460601003828</v>
      </c>
      <c r="I9" s="2">
        <f t="shared" si="1"/>
        <v>0.88325638631805337</v>
      </c>
      <c r="J9" s="1">
        <f t="shared" si="2"/>
        <v>0.34503661385635764</v>
      </c>
      <c r="K9" s="1" t="s">
        <v>4</v>
      </c>
    </row>
    <row r="10" spans="2:15" x14ac:dyDescent="0.25">
      <c r="B10" s="1">
        <v>6</v>
      </c>
      <c r="C10" s="1">
        <v>100</v>
      </c>
      <c r="D10" s="1">
        <v>200</v>
      </c>
      <c r="E10" s="1" t="s">
        <v>4</v>
      </c>
      <c r="G10" s="1">
        <v>6</v>
      </c>
      <c r="H10" s="2">
        <f t="shared" si="0"/>
        <v>0.66126808285742622</v>
      </c>
      <c r="I10" s="2">
        <f t="shared" si="1"/>
        <v>1.4132102181088857</v>
      </c>
      <c r="J10" s="1">
        <f t="shared" si="2"/>
        <v>0.87563925999014436</v>
      </c>
      <c r="K10" s="1" t="s">
        <v>4</v>
      </c>
    </row>
    <row r="11" spans="2:15" x14ac:dyDescent="0.25">
      <c r="B11" s="1">
        <v>7</v>
      </c>
      <c r="C11" s="1">
        <v>90</v>
      </c>
      <c r="D11" s="1">
        <v>150</v>
      </c>
      <c r="E11" s="1" t="s">
        <v>5</v>
      </c>
      <c r="G11" s="1">
        <v>7</v>
      </c>
      <c r="H11" s="2">
        <f t="shared" si="0"/>
        <v>0.11401173842369396</v>
      </c>
      <c r="I11" s="2">
        <f t="shared" si="1"/>
        <v>-1.236558940845276</v>
      </c>
      <c r="J11" s="1">
        <f t="shared" si="2"/>
        <v>2.2365444522747802</v>
      </c>
      <c r="K11" s="1" t="s">
        <v>5</v>
      </c>
    </row>
    <row r="12" spans="2:15" x14ac:dyDescent="0.25">
      <c r="B12" s="1">
        <v>8</v>
      </c>
      <c r="C12" s="1">
        <v>120</v>
      </c>
      <c r="D12" s="1">
        <v>180</v>
      </c>
      <c r="E12" s="1" t="s">
        <v>5</v>
      </c>
      <c r="G12" s="1">
        <v>8</v>
      </c>
      <c r="H12" s="2">
        <f t="shared" si="0"/>
        <v>1.7557807717248908</v>
      </c>
      <c r="I12" s="2">
        <f t="shared" si="1"/>
        <v>0.35330255452722104</v>
      </c>
      <c r="J12" s="1">
        <f t="shared" si="2"/>
        <v>1.9663479415709839</v>
      </c>
      <c r="K12" s="1" t="s">
        <v>5</v>
      </c>
    </row>
    <row r="13" spans="2:15" x14ac:dyDescent="0.25">
      <c r="B13" s="1">
        <v>9</v>
      </c>
      <c r="C13" s="1">
        <v>90</v>
      </c>
      <c r="D13" s="1">
        <v>190</v>
      </c>
      <c r="E13" s="1" t="s">
        <v>5</v>
      </c>
      <c r="G13" s="1">
        <v>9</v>
      </c>
      <c r="H13" s="2">
        <f t="shared" si="0"/>
        <v>0.11401173842369396</v>
      </c>
      <c r="I13" s="2">
        <f t="shared" si="1"/>
        <v>0.88325638631805337</v>
      </c>
      <c r="J13" s="1">
        <f t="shared" si="2"/>
        <v>0.24321258930587233</v>
      </c>
      <c r="K13" s="1" t="s">
        <v>5</v>
      </c>
    </row>
    <row r="14" spans="2:15" x14ac:dyDescent="0.25">
      <c r="B14" s="1">
        <v>10</v>
      </c>
      <c r="C14" s="1">
        <v>80</v>
      </c>
      <c r="D14" s="1">
        <v>150</v>
      </c>
      <c r="E14" s="1" t="s">
        <v>5</v>
      </c>
      <c r="G14" s="1">
        <v>10</v>
      </c>
      <c r="H14" s="2">
        <f t="shared" si="0"/>
        <v>-0.43324460601003828</v>
      </c>
      <c r="I14" s="2">
        <f t="shared" si="1"/>
        <v>-1.236558940845276</v>
      </c>
      <c r="J14" s="1">
        <f t="shared" si="2"/>
        <v>2.2498953282998948</v>
      </c>
      <c r="K14" s="1" t="s">
        <v>5</v>
      </c>
    </row>
    <row r="15" spans="2:15" x14ac:dyDescent="0.25">
      <c r="B15" s="1">
        <v>11</v>
      </c>
      <c r="C15" s="1">
        <v>120</v>
      </c>
      <c r="D15" s="1">
        <v>180</v>
      </c>
      <c r="E15" s="1" t="s">
        <v>5</v>
      </c>
      <c r="G15" s="1">
        <v>11</v>
      </c>
      <c r="H15" s="2">
        <f t="shared" si="0"/>
        <v>1.7557807717248908</v>
      </c>
      <c r="I15" s="2">
        <f t="shared" si="1"/>
        <v>0.35330255452722104</v>
      </c>
      <c r="J15" s="1">
        <f t="shared" si="2"/>
        <v>1.9663479415709839</v>
      </c>
      <c r="K15" s="1" t="s">
        <v>5</v>
      </c>
    </row>
    <row r="16" spans="2:15" x14ac:dyDescent="0.25">
      <c r="B16" s="1">
        <v>12</v>
      </c>
      <c r="C16" s="1">
        <v>70</v>
      </c>
      <c r="D16" s="1">
        <v>145</v>
      </c>
      <c r="E16" s="1" t="s">
        <v>5</v>
      </c>
      <c r="G16" s="1">
        <v>12</v>
      </c>
      <c r="H16" s="2">
        <f t="shared" si="0"/>
        <v>-0.9805009504437705</v>
      </c>
      <c r="I16" s="2">
        <f t="shared" si="1"/>
        <v>-1.5015358567406922</v>
      </c>
      <c r="J16" s="1">
        <f t="shared" si="2"/>
        <v>2.6402070253483489</v>
      </c>
      <c r="K16" s="1" t="s">
        <v>5</v>
      </c>
    </row>
    <row r="18" spans="2:10" x14ac:dyDescent="0.25">
      <c r="B18" s="1" t="s">
        <v>6</v>
      </c>
      <c r="C18" s="1">
        <f>AVERAGE(C5:C16)</f>
        <v>87.916666666666671</v>
      </c>
      <c r="D18" s="1">
        <f>AVERAGE(D5:D16)</f>
        <v>173.33333333333334</v>
      </c>
      <c r="I18" s="1" t="s">
        <v>10</v>
      </c>
      <c r="J18" s="1" t="str">
        <f>VLOOKUP(MIN(J5:J16),J5:K16,2,FALSE)</f>
        <v>Normal</v>
      </c>
    </row>
    <row r="19" spans="2:10" x14ac:dyDescent="0.25">
      <c r="B19" s="1" t="s">
        <v>7</v>
      </c>
      <c r="C19" s="1">
        <f>_xlfn.STDEV.S(C5:C16)</f>
        <v>18.27297225827029</v>
      </c>
      <c r="D19" s="1">
        <f>_xlfn.STDEV.S(D5:D16)</f>
        <v>18.869568253158519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D69A3-B3A3-4D9C-B8B2-720CAD66B6AC}">
  <dimension ref="B4:AA25"/>
  <sheetViews>
    <sheetView topLeftCell="M1" zoomScaleNormal="100" workbookViewId="0">
      <selection activeCell="V26" sqref="V26"/>
    </sheetView>
  </sheetViews>
  <sheetFormatPr baseColWidth="10" defaultColWidth="9.140625" defaultRowHeight="15" x14ac:dyDescent="0.25"/>
  <cols>
    <col min="2" max="2" width="10.5703125" bestFit="1" customWidth="1"/>
    <col min="5" max="5" width="10.42578125" bestFit="1" customWidth="1"/>
    <col min="8" max="9" width="10.28515625" bestFit="1" customWidth="1"/>
    <col min="10" max="11" width="10.42578125" bestFit="1" customWidth="1"/>
    <col min="13" max="13" width="10.28515625" bestFit="1" customWidth="1"/>
    <col min="14" max="14" width="10.42578125" bestFit="1" customWidth="1"/>
    <col min="16" max="16" width="10.28515625" bestFit="1" customWidth="1"/>
    <col min="18" max="18" width="11.28515625" bestFit="1" customWidth="1"/>
    <col min="19" max="19" width="9.42578125" bestFit="1" customWidth="1"/>
    <col min="22" max="22" width="11.85546875" bestFit="1" customWidth="1"/>
    <col min="23" max="23" width="12.5703125" bestFit="1" customWidth="1"/>
  </cols>
  <sheetData>
    <row r="4" spans="2:23" x14ac:dyDescent="0.25">
      <c r="B4" s="1" t="s">
        <v>0</v>
      </c>
      <c r="C4" s="1" t="s">
        <v>1</v>
      </c>
      <c r="D4" s="1" t="s">
        <v>2</v>
      </c>
      <c r="E4" s="1" t="s">
        <v>3</v>
      </c>
      <c r="G4" s="1" t="s">
        <v>0</v>
      </c>
      <c r="H4" s="1" t="s">
        <v>1</v>
      </c>
      <c r="I4" s="1" t="s">
        <v>2</v>
      </c>
      <c r="J4" s="1" t="s">
        <v>8</v>
      </c>
      <c r="K4" s="1" t="s">
        <v>8</v>
      </c>
      <c r="L4" s="1" t="s">
        <v>8</v>
      </c>
      <c r="M4" s="1" t="s">
        <v>8</v>
      </c>
      <c r="N4" s="1" t="s">
        <v>3</v>
      </c>
    </row>
    <row r="5" spans="2:23" x14ac:dyDescent="0.25">
      <c r="B5" s="1">
        <v>1</v>
      </c>
      <c r="C5" s="1"/>
      <c r="D5" s="1"/>
      <c r="E5" s="1"/>
      <c r="G5" s="1">
        <v>1</v>
      </c>
      <c r="H5" s="2"/>
      <c r="I5" s="2"/>
      <c r="J5" s="1"/>
      <c r="K5" s="1"/>
      <c r="L5" s="1"/>
      <c r="M5" s="1"/>
      <c r="N5" s="1"/>
    </row>
    <row r="6" spans="2:23" x14ac:dyDescent="0.25">
      <c r="B6" s="1">
        <v>2</v>
      </c>
      <c r="C6" s="1"/>
      <c r="D6" s="1"/>
      <c r="E6" s="1"/>
      <c r="G6" s="1">
        <v>2</v>
      </c>
      <c r="H6" s="2"/>
      <c r="I6" s="2"/>
      <c r="J6" s="1"/>
      <c r="K6" s="1"/>
      <c r="L6" s="1"/>
      <c r="M6" s="1"/>
      <c r="N6" s="1"/>
    </row>
    <row r="7" spans="2:23" x14ac:dyDescent="0.25">
      <c r="B7" s="1">
        <v>3</v>
      </c>
      <c r="C7" s="1">
        <v>75</v>
      </c>
      <c r="D7" s="1">
        <v>170</v>
      </c>
      <c r="E7" s="1" t="s">
        <v>4</v>
      </c>
      <c r="G7" s="1">
        <v>3</v>
      </c>
      <c r="H7" s="2">
        <f t="shared" ref="H7:H16" si="0">(C7-$C$18)/$C$19</f>
        <v>-0.81919897248576856</v>
      </c>
      <c r="I7" s="2">
        <f t="shared" ref="I7:I16" si="1">(D7-$D$18)/$D$19</f>
        <v>-0.34090825932107599</v>
      </c>
      <c r="J7" s="1">
        <f>SQRT((($S$9-H7)^2)+(($T$9-I7)^2))</f>
        <v>1.1957256955133548</v>
      </c>
      <c r="K7" s="1">
        <f>SQRT((($S$10-H7)^2)+(($T$10-I7)^2))</f>
        <v>0.58589670479931666</v>
      </c>
      <c r="L7" s="1">
        <f>SQRT((($S$11-H7)^2)+(($T$11-I7)^2))</f>
        <v>1.3638388161795076</v>
      </c>
      <c r="M7" s="1">
        <f>SQRT((($S$12-H7)^2)+(($T$12-I7)^2))</f>
        <v>2.8521183875359704</v>
      </c>
      <c r="N7" s="1" t="s">
        <v>4</v>
      </c>
    </row>
    <row r="8" spans="2:23" x14ac:dyDescent="0.25">
      <c r="B8" s="1">
        <v>4</v>
      </c>
      <c r="C8" s="1">
        <v>90</v>
      </c>
      <c r="D8" s="1">
        <v>190</v>
      </c>
      <c r="E8" s="1" t="s">
        <v>4</v>
      </c>
      <c r="G8" s="1">
        <v>4</v>
      </c>
      <c r="H8" s="2">
        <f t="shared" si="0"/>
        <v>0.11702842464082409</v>
      </c>
      <c r="I8" s="2">
        <f>(D8-$D$18)/$D$19</f>
        <v>0.65082485870387241</v>
      </c>
      <c r="J8" s="1">
        <f>SQRT((($S$9-H8)^2)+(($T$9-I8)^2))</f>
        <v>2.553069055033748</v>
      </c>
      <c r="K8" s="1">
        <f>SQRT((($S$10-H8)^2)+(($T$10-I8)^2))</f>
        <v>0.79715046367556985</v>
      </c>
      <c r="L8" s="1">
        <f>SQRT((($S$11-H8)^2)+(($T$11-I8)^2))</f>
        <v>1.9834662360498969</v>
      </c>
      <c r="M8" s="1">
        <f>SQRT((($S$12-H8)^2)+(($T$12-I8)^2))</f>
        <v>1.9370004132339802</v>
      </c>
      <c r="N8" s="1" t="s">
        <v>4</v>
      </c>
      <c r="U8" s="8" t="s">
        <v>11</v>
      </c>
      <c r="V8" s="8"/>
      <c r="W8" s="4" t="s">
        <v>16</v>
      </c>
    </row>
    <row r="9" spans="2:23" x14ac:dyDescent="0.25">
      <c r="B9" s="1">
        <v>5</v>
      </c>
      <c r="C9" s="1">
        <v>80</v>
      </c>
      <c r="D9" s="1">
        <v>190</v>
      </c>
      <c r="E9" s="1" t="s">
        <v>4</v>
      </c>
      <c r="G9" s="1">
        <v>5</v>
      </c>
      <c r="H9" s="2">
        <f t="shared" si="0"/>
        <v>-0.50712317344357105</v>
      </c>
      <c r="I9" s="2">
        <f t="shared" si="1"/>
        <v>0.65082485870387241</v>
      </c>
      <c r="J9" s="1">
        <f>SQRT((($S$9-H9)^2)+(($T$9-I9)^2))</f>
        <v>2.1378343043403514</v>
      </c>
      <c r="K9" s="1">
        <f>SQRT((($S$10-H9)^2)+(($T$10-I9)^2))</f>
        <v>0.49586655901247423</v>
      </c>
      <c r="L9" s="1">
        <f>SQRT((($S$11-H9)^2)+(($T$11-I9)^2))</f>
        <v>2.0793517083315294</v>
      </c>
      <c r="M9" s="1">
        <f>SQRT((($S$12-H9)^2)+(($T$12-I9)^2))</f>
        <v>2.5453736705261454</v>
      </c>
      <c r="N9" s="1" t="s">
        <v>4</v>
      </c>
      <c r="P9" s="1" t="s">
        <v>9</v>
      </c>
      <c r="Q9" s="1">
        <v>60</v>
      </c>
      <c r="R9" s="1">
        <v>155</v>
      </c>
      <c r="S9" s="1">
        <f>(Q9-$C$18)/$C$19</f>
        <v>-1.7554263696123613</v>
      </c>
      <c r="T9" s="1">
        <f>(R9-$D$18)/$D$19</f>
        <v>-1.0847080978397872</v>
      </c>
      <c r="U9" s="8" t="str">
        <f>VLOOKUP(MIN($J$5:$J$16),$J$5:$N$16,5,FALSE)</f>
        <v>Sobrepeso</v>
      </c>
      <c r="V9" s="8"/>
      <c r="W9" s="4" t="s">
        <v>4</v>
      </c>
    </row>
    <row r="10" spans="2:23" x14ac:dyDescent="0.25">
      <c r="B10" s="1">
        <v>6</v>
      </c>
      <c r="C10" s="1">
        <v>100</v>
      </c>
      <c r="D10" s="1">
        <v>200</v>
      </c>
      <c r="E10" s="1" t="s">
        <v>4</v>
      </c>
      <c r="G10" s="1">
        <v>6</v>
      </c>
      <c r="H10" s="2">
        <f t="shared" si="0"/>
        <v>0.74118002272521921</v>
      </c>
      <c r="I10" s="2">
        <f t="shared" si="1"/>
        <v>1.1466914177163465</v>
      </c>
      <c r="J10" s="1">
        <f>SQRT((($S$9-H10)^2)+(($T$9-I10)^2))</f>
        <v>3.3484604337344375</v>
      </c>
      <c r="K10" s="1">
        <f>SQRT((($S$10-H10)^2)+(($T$10-I10)^2))</f>
        <v>1.5943009273511397</v>
      </c>
      <c r="L10" s="1">
        <f>SQRT((($S$11-H10)^2)+(($T$11-I10)^2))</f>
        <v>2.5566885469417451</v>
      </c>
      <c r="M10" s="1">
        <f>SQRT((($S$12-H10)^2)+(($T$12-I10)^2))</f>
        <v>1.5943009273511397</v>
      </c>
      <c r="N10" s="1" t="s">
        <v>4</v>
      </c>
      <c r="P10" s="1" t="s">
        <v>9</v>
      </c>
      <c r="Q10" s="1">
        <v>80</v>
      </c>
      <c r="R10" s="1">
        <v>180</v>
      </c>
      <c r="S10" s="1">
        <f t="shared" ref="S10:S12" si="2">(Q10-$C$18)/$C$19</f>
        <v>-0.50712317344357105</v>
      </c>
      <c r="T10" s="1">
        <f t="shared" ref="T10:T12" si="3">(R10-$D$18)/$D$19</f>
        <v>0.15495829969139818</v>
      </c>
      <c r="U10" s="8" t="str">
        <f>VLOOKUP(MIN($K$5:$K$16),$K$5:$N$16,4,FALSE)</f>
        <v>Normal</v>
      </c>
      <c r="V10" s="8"/>
      <c r="W10" s="4" t="s">
        <v>4</v>
      </c>
    </row>
    <row r="11" spans="2:23" x14ac:dyDescent="0.25">
      <c r="B11" s="1">
        <v>7</v>
      </c>
      <c r="C11" s="1"/>
      <c r="D11" s="1"/>
      <c r="E11" s="1"/>
      <c r="G11" s="1">
        <v>7</v>
      </c>
      <c r="H11" s="2"/>
      <c r="I11" s="2"/>
      <c r="J11" s="1"/>
      <c r="K11" s="1"/>
      <c r="L11" s="1"/>
      <c r="M11" s="1"/>
      <c r="N11" s="1"/>
      <c r="P11" s="1" t="s">
        <v>9</v>
      </c>
      <c r="Q11" s="1">
        <v>90</v>
      </c>
      <c r="R11" s="1">
        <v>150</v>
      </c>
      <c r="S11" s="1">
        <f t="shared" si="2"/>
        <v>0.11702842464082409</v>
      </c>
      <c r="T11" s="1">
        <f t="shared" si="3"/>
        <v>-1.3326413773460244</v>
      </c>
      <c r="U11" s="8" t="str">
        <f>VLOOKUP(MIN($L$5:$L$16),$L$5:$N$16,3,FALSE)</f>
        <v>Sobrepeso</v>
      </c>
      <c r="V11" s="8"/>
      <c r="W11" s="4" t="s">
        <v>5</v>
      </c>
    </row>
    <row r="12" spans="2:23" x14ac:dyDescent="0.25">
      <c r="B12" s="1">
        <v>8</v>
      </c>
      <c r="C12" s="1"/>
      <c r="D12" s="1"/>
      <c r="E12" s="1"/>
      <c r="G12" s="1">
        <v>8</v>
      </c>
      <c r="H12" s="2"/>
      <c r="I12" s="2"/>
      <c r="J12" s="1"/>
      <c r="K12" s="1"/>
      <c r="L12" s="1"/>
      <c r="M12" s="1"/>
      <c r="N12" s="1"/>
      <c r="P12" s="1" t="s">
        <v>9</v>
      </c>
      <c r="Q12" s="1">
        <v>120</v>
      </c>
      <c r="R12" s="1">
        <v>180</v>
      </c>
      <c r="S12" s="1">
        <f t="shared" si="2"/>
        <v>1.9894832188940095</v>
      </c>
      <c r="T12" s="1">
        <f t="shared" si="3"/>
        <v>0.15495829969139818</v>
      </c>
      <c r="U12" s="8" t="str">
        <f>VLOOKUP(MIN($M$5:$M$16),$M$5:$N$16,2,FALSE)</f>
        <v>Sobrepeso</v>
      </c>
      <c r="V12" s="8"/>
      <c r="W12" s="4" t="s">
        <v>5</v>
      </c>
    </row>
    <row r="13" spans="2:23" x14ac:dyDescent="0.25">
      <c r="B13" s="1">
        <v>9</v>
      </c>
      <c r="C13" s="1">
        <v>90</v>
      </c>
      <c r="D13" s="1">
        <v>190</v>
      </c>
      <c r="E13" s="1" t="s">
        <v>5</v>
      </c>
      <c r="G13" s="1">
        <v>9</v>
      </c>
      <c r="H13" s="2">
        <f t="shared" si="0"/>
        <v>0.11702842464082409</v>
      </c>
      <c r="I13" s="2">
        <f t="shared" si="1"/>
        <v>0.65082485870387241</v>
      </c>
      <c r="J13" s="1">
        <f>SQRT((($S$9-H13)^2)+(($T$9-I13)^2))</f>
        <v>2.553069055033748</v>
      </c>
      <c r="K13" s="1">
        <f>SQRT((($S$10-H13)^2)+(($T$10-I13)^2))</f>
        <v>0.79715046367556985</v>
      </c>
      <c r="L13" s="1">
        <f>SQRT((($S$11-H13)^2)+(($T$11-I13)^2))</f>
        <v>1.9834662360498969</v>
      </c>
      <c r="M13" s="1">
        <f>SQRT((($S$12-H13)^2)+(($T$12-I13)^2))</f>
        <v>1.9370004132339802</v>
      </c>
      <c r="N13" s="1" t="s">
        <v>5</v>
      </c>
    </row>
    <row r="14" spans="2:23" x14ac:dyDescent="0.25">
      <c r="B14" s="1">
        <v>10</v>
      </c>
      <c r="C14" s="1">
        <v>80</v>
      </c>
      <c r="D14" s="1">
        <v>150</v>
      </c>
      <c r="E14" s="1" t="s">
        <v>5</v>
      </c>
      <c r="G14" s="1">
        <v>10</v>
      </c>
      <c r="H14" s="2">
        <f t="shared" si="0"/>
        <v>-0.50712317344357105</v>
      </c>
      <c r="I14" s="2">
        <f t="shared" si="1"/>
        <v>-1.3326413773460244</v>
      </c>
      <c r="J14" s="1">
        <f>SQRT((($S$9-H14)^2)+(($T$9-I14)^2))</f>
        <v>1.2726868352630727</v>
      </c>
      <c r="K14" s="1">
        <f>SQRT((($S$10-H14)^2)+(($T$10-I14)^2))</f>
        <v>1.4875996770374225</v>
      </c>
      <c r="L14" s="1">
        <f>SQRT((($S$11-H14)^2)+(($T$11-I14)^2))</f>
        <v>0.62415159808439513</v>
      </c>
      <c r="M14" s="1">
        <f>SQRT((($S$12-H14)^2)+(($T$12-I14)^2))</f>
        <v>2.9061996279303859</v>
      </c>
      <c r="N14" s="1" t="s">
        <v>5</v>
      </c>
    </row>
    <row r="15" spans="2:23" x14ac:dyDescent="0.25">
      <c r="B15" s="1">
        <v>11</v>
      </c>
      <c r="C15" s="1">
        <v>120</v>
      </c>
      <c r="D15" s="1">
        <v>180</v>
      </c>
      <c r="E15" s="1" t="s">
        <v>5</v>
      </c>
      <c r="G15" s="1">
        <v>11</v>
      </c>
      <c r="H15" s="2">
        <f t="shared" si="0"/>
        <v>1.9894832188940095</v>
      </c>
      <c r="I15" s="2">
        <f t="shared" si="1"/>
        <v>0.15495829969139818</v>
      </c>
      <c r="J15" s="1">
        <f>SQRT((($S$9-H15)^2)+(($T$9-I15)^2))</f>
        <v>3.9447586242069237</v>
      </c>
      <c r="K15" s="1">
        <f>SQRT((($S$10-H15)^2)+(($T$10-I15)^2))</f>
        <v>2.4966063923375805</v>
      </c>
      <c r="L15" s="1">
        <f>SQRT((($S$11-H15)^2)+(($T$11-I15)^2))</f>
        <v>2.3914513910267092</v>
      </c>
      <c r="M15" s="1">
        <f>SQRT((($S$12-H15)^2)+(($T$12-I15)^2))</f>
        <v>0</v>
      </c>
      <c r="N15" s="1" t="s">
        <v>5</v>
      </c>
    </row>
    <row r="16" spans="2:23" x14ac:dyDescent="0.25">
      <c r="B16" s="1">
        <v>12</v>
      </c>
      <c r="C16" s="1">
        <v>70</v>
      </c>
      <c r="D16" s="1">
        <v>145</v>
      </c>
      <c r="E16" s="1" t="s">
        <v>5</v>
      </c>
      <c r="G16" s="1">
        <v>12</v>
      </c>
      <c r="H16" s="2">
        <f t="shared" si="0"/>
        <v>-1.1312747715279663</v>
      </c>
      <c r="I16" s="2">
        <f t="shared" si="1"/>
        <v>-1.5805746568522614</v>
      </c>
      <c r="J16" s="1">
        <f>SQRT((($S$9-H16)^2)+(($T$9-I16)^2))</f>
        <v>0.79715046367556963</v>
      </c>
      <c r="K16" s="1">
        <f>SQRT((($S$10-H16)^2)+(($T$10-I16)^2))</f>
        <v>1.8443535075035047</v>
      </c>
      <c r="L16" s="1">
        <f>SQRT((($S$11-H16)^2)+(($T$11-I16)^2))</f>
        <v>1.2726868352630727</v>
      </c>
      <c r="M16" s="1">
        <f>SQRT((($S$12-H16)^2)+(($T$12-I16)^2))</f>
        <v>3.5708829549611094</v>
      </c>
      <c r="N16" s="1" t="s">
        <v>5</v>
      </c>
      <c r="R16" s="6"/>
      <c r="S16" s="7" t="s">
        <v>12</v>
      </c>
      <c r="T16" s="7"/>
    </row>
    <row r="17" spans="2:27" x14ac:dyDescent="0.25">
      <c r="R17" s="6"/>
      <c r="S17" s="5" t="s">
        <v>13</v>
      </c>
      <c r="T17" s="5" t="s">
        <v>14</v>
      </c>
      <c r="V17" s="1" t="s">
        <v>17</v>
      </c>
      <c r="W17" s="1" t="s">
        <v>18</v>
      </c>
      <c r="X17" s="1" t="s">
        <v>19</v>
      </c>
      <c r="Y17" s="1" t="s">
        <v>20</v>
      </c>
      <c r="Z17" s="1" t="s">
        <v>21</v>
      </c>
      <c r="AA17" s="1" t="s">
        <v>22</v>
      </c>
    </row>
    <row r="18" spans="2:27" x14ac:dyDescent="0.25">
      <c r="B18" s="1" t="s">
        <v>6</v>
      </c>
      <c r="C18" s="1">
        <f>AVERAGE(C5:C16)</f>
        <v>88.125</v>
      </c>
      <c r="D18" s="1">
        <f>AVERAGE(D5:D16)</f>
        <v>176.875</v>
      </c>
      <c r="R18" s="3" t="s">
        <v>15</v>
      </c>
      <c r="S18" s="5"/>
      <c r="T18" s="5"/>
      <c r="V18" s="1">
        <f>S19/(S19+T19)</f>
        <v>0.5</v>
      </c>
      <c r="W18" s="1">
        <f>T21/(S21+T21)</f>
        <v>1</v>
      </c>
      <c r="X18" s="1">
        <f>(S19+T21)/(S19+T19+S21+T21)</f>
        <v>0.75</v>
      </c>
      <c r="Y18" s="1">
        <f>2*((AA18*V18)/(AA18+V18))</f>
        <v>0.66666666666666663</v>
      </c>
      <c r="Z18" s="1">
        <f>1-X18</f>
        <v>0.25</v>
      </c>
      <c r="AA18" s="1">
        <f>S19/(S19+S21)</f>
        <v>1</v>
      </c>
    </row>
    <row r="19" spans="2:27" x14ac:dyDescent="0.25">
      <c r="B19" s="1" t="s">
        <v>7</v>
      </c>
      <c r="C19" s="1">
        <f>_xlfn.STDEV.S(C5:C16)</f>
        <v>16.021748611541394</v>
      </c>
      <c r="D19" s="1">
        <f>_xlfn.STDEV.S(D5:D16)</f>
        <v>20.16671585983768</v>
      </c>
      <c r="R19" s="5" t="s">
        <v>13</v>
      </c>
      <c r="S19" s="5">
        <v>1</v>
      </c>
      <c r="T19" s="5">
        <v>1</v>
      </c>
    </row>
    <row r="20" spans="2:27" x14ac:dyDescent="0.25">
      <c r="R20" s="5"/>
      <c r="S20" s="5"/>
      <c r="T20" s="5"/>
    </row>
    <row r="21" spans="2:27" x14ac:dyDescent="0.25">
      <c r="R21" s="5" t="s">
        <v>14</v>
      </c>
      <c r="S21" s="5">
        <v>0</v>
      </c>
      <c r="T21" s="5">
        <v>2</v>
      </c>
      <c r="V21" t="s">
        <v>23</v>
      </c>
    </row>
    <row r="22" spans="2:27" x14ac:dyDescent="0.25">
      <c r="R22" s="5"/>
      <c r="S22" s="5"/>
      <c r="T22" s="5"/>
      <c r="V22" t="s">
        <v>24</v>
      </c>
    </row>
    <row r="23" spans="2:27" x14ac:dyDescent="0.25">
      <c r="V23" t="s">
        <v>25</v>
      </c>
    </row>
    <row r="24" spans="2:27" x14ac:dyDescent="0.25">
      <c r="V24" t="s">
        <v>26</v>
      </c>
    </row>
    <row r="25" spans="2:27" x14ac:dyDescent="0.25">
      <c r="V25" t="s">
        <v>27</v>
      </c>
    </row>
  </sheetData>
  <mergeCells count="15">
    <mergeCell ref="U10:V10"/>
    <mergeCell ref="U11:V11"/>
    <mergeCell ref="U12:V12"/>
    <mergeCell ref="U9:V9"/>
    <mergeCell ref="U8:V8"/>
    <mergeCell ref="R21:R22"/>
    <mergeCell ref="S21:S22"/>
    <mergeCell ref="T21:T22"/>
    <mergeCell ref="R16:R17"/>
    <mergeCell ref="S16:T16"/>
    <mergeCell ref="S17:S18"/>
    <mergeCell ref="T17:T18"/>
    <mergeCell ref="R19:R20"/>
    <mergeCell ref="S19:S20"/>
    <mergeCell ref="T19:T2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310BD-2F95-4944-883A-5E9C70C3940A}">
  <dimension ref="B4:AA43"/>
  <sheetViews>
    <sheetView tabSelected="1" zoomScaleNormal="100" workbookViewId="0">
      <selection activeCell="M44" sqref="M44"/>
    </sheetView>
  </sheetViews>
  <sheetFormatPr baseColWidth="10" defaultColWidth="9.140625" defaultRowHeight="15" x14ac:dyDescent="0.25"/>
  <cols>
    <col min="2" max="2" width="10.5703125" bestFit="1" customWidth="1"/>
    <col min="4" max="4" width="14.42578125" bestFit="1" customWidth="1"/>
    <col min="5" max="5" width="14.28515625" bestFit="1" customWidth="1"/>
    <col min="6" max="6" width="11.85546875" bestFit="1" customWidth="1"/>
    <col min="7" max="7" width="10.42578125" bestFit="1" customWidth="1"/>
    <col min="8" max="9" width="10.28515625" bestFit="1" customWidth="1"/>
    <col min="10" max="11" width="10.42578125" bestFit="1" customWidth="1"/>
    <col min="13" max="13" width="10.28515625" bestFit="1" customWidth="1"/>
    <col min="14" max="14" width="10.42578125" bestFit="1" customWidth="1"/>
    <col min="16" max="16" width="10.28515625" bestFit="1" customWidth="1"/>
    <col min="18" max="18" width="11.28515625" bestFit="1" customWidth="1"/>
    <col min="19" max="19" width="9.42578125" bestFit="1" customWidth="1"/>
    <col min="22" max="22" width="11.85546875" bestFit="1" customWidth="1"/>
    <col min="23" max="23" width="12.5703125" bestFit="1" customWidth="1"/>
  </cols>
  <sheetData>
    <row r="4" spans="2:23" x14ac:dyDescent="0.25">
      <c r="B4" s="1" t="s">
        <v>0</v>
      </c>
      <c r="C4" s="1" t="s">
        <v>1</v>
      </c>
      <c r="D4" s="1" t="s">
        <v>2</v>
      </c>
      <c r="E4" s="1" t="s">
        <v>3</v>
      </c>
      <c r="G4" s="1" t="s">
        <v>0</v>
      </c>
      <c r="H4" s="1" t="s">
        <v>1</v>
      </c>
      <c r="I4" s="1" t="s">
        <v>2</v>
      </c>
      <c r="J4" s="1" t="s">
        <v>8</v>
      </c>
      <c r="K4" s="1" t="s">
        <v>8</v>
      </c>
      <c r="L4" s="1" t="s">
        <v>8</v>
      </c>
      <c r="M4" s="1" t="s">
        <v>8</v>
      </c>
      <c r="N4" s="1" t="s">
        <v>3</v>
      </c>
    </row>
    <row r="5" spans="2:23" x14ac:dyDescent="0.25">
      <c r="B5" s="1">
        <v>1</v>
      </c>
      <c r="C5" s="1"/>
      <c r="D5" s="1"/>
      <c r="E5" s="1"/>
      <c r="G5" s="1">
        <v>1</v>
      </c>
      <c r="H5" s="2"/>
      <c r="I5" s="2"/>
      <c r="J5" s="1"/>
      <c r="K5" s="1"/>
      <c r="L5" s="1"/>
      <c r="M5" s="1"/>
      <c r="N5" s="1"/>
    </row>
    <row r="6" spans="2:23" x14ac:dyDescent="0.25">
      <c r="B6" s="1">
        <v>2</v>
      </c>
      <c r="C6" s="1"/>
      <c r="D6" s="1"/>
      <c r="E6" s="1"/>
      <c r="G6" s="1">
        <v>2</v>
      </c>
      <c r="H6" s="2"/>
      <c r="I6" s="2"/>
      <c r="J6" s="1"/>
      <c r="K6" s="1"/>
      <c r="L6" s="1"/>
      <c r="M6" s="1"/>
      <c r="N6" s="1"/>
    </row>
    <row r="7" spans="2:23" x14ac:dyDescent="0.25">
      <c r="B7" s="1">
        <v>3</v>
      </c>
      <c r="C7" s="1">
        <v>75</v>
      </c>
      <c r="D7" s="1">
        <v>170</v>
      </c>
      <c r="E7" s="1" t="s">
        <v>4</v>
      </c>
      <c r="G7" s="1">
        <v>3</v>
      </c>
      <c r="H7" s="2">
        <f t="shared" ref="H7:H16" si="0">(C7-$C$18)/$C$19</f>
        <v>-0.81919897248576856</v>
      </c>
      <c r="I7" s="2">
        <f t="shared" ref="I7:I16" si="1">(D7-$D$18)/$D$19</f>
        <v>-0.34090825932107599</v>
      </c>
      <c r="J7" s="1">
        <f>SQRT((($S$9-H7)^2)+(($T$9-I7)^2))</f>
        <v>1.1957256955133548</v>
      </c>
      <c r="K7" s="1">
        <f>SQRT((($S$10-H7)^2)+(($T$10-I7)^2))</f>
        <v>0.58589670479931666</v>
      </c>
      <c r="L7" s="1">
        <f>SQRT((($S$11-H7)^2)+(($T$11-I7)^2))</f>
        <v>1.3638388161795076</v>
      </c>
      <c r="M7" s="1">
        <f>SQRT((($S$12-H7)^2)+(($T$12-I7)^2))</f>
        <v>2.8521183875359704</v>
      </c>
      <c r="N7" s="1" t="s">
        <v>4</v>
      </c>
    </row>
    <row r="8" spans="2:23" x14ac:dyDescent="0.25">
      <c r="B8" s="1">
        <v>4</v>
      </c>
      <c r="C8" s="1">
        <v>90</v>
      </c>
      <c r="D8" s="1">
        <v>190</v>
      </c>
      <c r="E8" s="1" t="s">
        <v>4</v>
      </c>
      <c r="G8" s="1">
        <v>4</v>
      </c>
      <c r="H8" s="2">
        <f t="shared" si="0"/>
        <v>0.11702842464082409</v>
      </c>
      <c r="I8" s="2">
        <f>(D8-$D$18)/$D$19</f>
        <v>0.65082485870387241</v>
      </c>
      <c r="J8" s="1">
        <f>SQRT((($S$9-H8)^2)+(($T$9-I8)^2))</f>
        <v>2.553069055033748</v>
      </c>
      <c r="K8" s="1">
        <f>SQRT((($S$10-H8)^2)+(($T$10-I8)^2))</f>
        <v>0.79715046367556985</v>
      </c>
      <c r="L8" s="1">
        <f>SQRT((($S$11-H8)^2)+(($T$11-I8)^2))</f>
        <v>1.9834662360498969</v>
      </c>
      <c r="M8" s="1">
        <f>SQRT((($S$12-H8)^2)+(($T$12-I8)^2))</f>
        <v>1.9370004132339802</v>
      </c>
      <c r="N8" s="1" t="s">
        <v>4</v>
      </c>
      <c r="U8" s="8" t="s">
        <v>11</v>
      </c>
      <c r="V8" s="8"/>
      <c r="W8" s="4" t="s">
        <v>16</v>
      </c>
    </row>
    <row r="9" spans="2:23" x14ac:dyDescent="0.25">
      <c r="B9" s="1">
        <v>5</v>
      </c>
      <c r="C9" s="1">
        <v>80</v>
      </c>
      <c r="D9" s="1">
        <v>190</v>
      </c>
      <c r="E9" s="1" t="s">
        <v>4</v>
      </c>
      <c r="G9" s="1">
        <v>5</v>
      </c>
      <c r="H9" s="2">
        <f t="shared" si="0"/>
        <v>-0.50712317344357105</v>
      </c>
      <c r="I9" s="2">
        <f t="shared" si="1"/>
        <v>0.65082485870387241</v>
      </c>
      <c r="J9" s="1">
        <f>SQRT((($S$9-H9)^2)+(($T$9-I9)^2))</f>
        <v>2.1378343043403514</v>
      </c>
      <c r="K9" s="1">
        <f>SQRT((($S$10-H9)^2)+(($T$10-I9)^2))</f>
        <v>0.49586655901247423</v>
      </c>
      <c r="L9" s="1">
        <f>SQRT((($S$11-H9)^2)+(($T$11-I9)^2))</f>
        <v>2.0793517083315294</v>
      </c>
      <c r="M9" s="1">
        <f>SQRT((($S$12-H9)^2)+(($T$12-I9)^2))</f>
        <v>2.5453736705261454</v>
      </c>
      <c r="N9" s="1" t="s">
        <v>4</v>
      </c>
      <c r="P9" s="1" t="s">
        <v>9</v>
      </c>
      <c r="Q9" s="1">
        <v>60</v>
      </c>
      <c r="R9" s="1">
        <v>155</v>
      </c>
      <c r="S9" s="1">
        <f>(Q9-$C$18)/$C$19</f>
        <v>-1.7554263696123613</v>
      </c>
      <c r="T9" s="1">
        <f>(R9-$D$18)/$D$19</f>
        <v>-1.0847080978397872</v>
      </c>
      <c r="U9" s="8" t="str">
        <f>VLOOKUP(MIN($J$5:$J$16),$J$5:$N$16,5,FALSE)</f>
        <v>Sobrepeso</v>
      </c>
      <c r="V9" s="8"/>
      <c r="W9" s="4" t="s">
        <v>4</v>
      </c>
    </row>
    <row r="10" spans="2:23" x14ac:dyDescent="0.25">
      <c r="B10" s="1">
        <v>6</v>
      </c>
      <c r="C10" s="1">
        <v>100</v>
      </c>
      <c r="D10" s="1">
        <v>200</v>
      </c>
      <c r="E10" s="1" t="s">
        <v>4</v>
      </c>
      <c r="G10" s="1">
        <v>6</v>
      </c>
      <c r="H10" s="2">
        <f t="shared" si="0"/>
        <v>0.74118002272521921</v>
      </c>
      <c r="I10" s="2">
        <f t="shared" si="1"/>
        <v>1.1466914177163465</v>
      </c>
      <c r="J10" s="1">
        <f>SQRT((($S$9-H10)^2)+(($T$9-I10)^2))</f>
        <v>3.3484604337344375</v>
      </c>
      <c r="K10" s="1">
        <f>SQRT((($S$10-H10)^2)+(($T$10-I10)^2))</f>
        <v>1.5943009273511397</v>
      </c>
      <c r="L10" s="1">
        <f>SQRT((($S$11-H10)^2)+(($T$11-I10)^2))</f>
        <v>2.5566885469417451</v>
      </c>
      <c r="M10" s="1">
        <f>SQRT((($S$12-H10)^2)+(($T$12-I10)^2))</f>
        <v>1.5943009273511397</v>
      </c>
      <c r="N10" s="1" t="s">
        <v>4</v>
      </c>
      <c r="P10" s="1" t="s">
        <v>9</v>
      </c>
      <c r="Q10" s="1">
        <v>80</v>
      </c>
      <c r="R10" s="1">
        <v>180</v>
      </c>
      <c r="S10" s="1">
        <f t="shared" ref="S10:S12" si="2">(Q10-$C$18)/$C$19</f>
        <v>-0.50712317344357105</v>
      </c>
      <c r="T10" s="1">
        <f t="shared" ref="T10:T12" si="3">(R10-$D$18)/$D$19</f>
        <v>0.15495829969139818</v>
      </c>
      <c r="U10" s="8" t="str">
        <f>VLOOKUP(MIN($K$5:$K$16),$K$5:$N$16,4,FALSE)</f>
        <v>Normal</v>
      </c>
      <c r="V10" s="8"/>
      <c r="W10" s="4" t="s">
        <v>4</v>
      </c>
    </row>
    <row r="11" spans="2:23" x14ac:dyDescent="0.25">
      <c r="B11" s="1">
        <v>7</v>
      </c>
      <c r="C11" s="1"/>
      <c r="D11" s="1"/>
      <c r="E11" s="1"/>
      <c r="G11" s="1">
        <v>7</v>
      </c>
      <c r="H11" s="2"/>
      <c r="I11" s="2"/>
      <c r="J11" s="1"/>
      <c r="K11" s="1"/>
      <c r="L11" s="1"/>
      <c r="M11" s="1"/>
      <c r="N11" s="1"/>
      <c r="P11" s="1" t="s">
        <v>9</v>
      </c>
      <c r="Q11" s="1">
        <v>90</v>
      </c>
      <c r="R11" s="1">
        <v>150</v>
      </c>
      <c r="S11" s="1">
        <f t="shared" si="2"/>
        <v>0.11702842464082409</v>
      </c>
      <c r="T11" s="1">
        <f t="shared" si="3"/>
        <v>-1.3326413773460244</v>
      </c>
      <c r="U11" s="8" t="str">
        <f>VLOOKUP(MIN($L$5:$L$16),$L$5:$N$16,3,FALSE)</f>
        <v>Sobrepeso</v>
      </c>
      <c r="V11" s="8"/>
      <c r="W11" s="4" t="s">
        <v>5</v>
      </c>
    </row>
    <row r="12" spans="2:23" x14ac:dyDescent="0.25">
      <c r="B12" s="1">
        <v>8</v>
      </c>
      <c r="C12" s="1"/>
      <c r="D12" s="1"/>
      <c r="E12" s="1"/>
      <c r="G12" s="1">
        <v>8</v>
      </c>
      <c r="H12" s="2"/>
      <c r="I12" s="2"/>
      <c r="J12" s="1"/>
      <c r="K12" s="1"/>
      <c r="L12" s="1"/>
      <c r="M12" s="1"/>
      <c r="N12" s="1"/>
      <c r="P12" s="1" t="s">
        <v>9</v>
      </c>
      <c r="Q12" s="1">
        <v>120</v>
      </c>
      <c r="R12" s="1">
        <v>180</v>
      </c>
      <c r="S12" s="1">
        <f t="shared" si="2"/>
        <v>1.9894832188940095</v>
      </c>
      <c r="T12" s="1">
        <f t="shared" si="3"/>
        <v>0.15495829969139818</v>
      </c>
      <c r="U12" s="8" t="str">
        <f>VLOOKUP(MIN($M$5:$M$16),$M$5:$N$16,2,FALSE)</f>
        <v>Sobrepeso</v>
      </c>
      <c r="V12" s="8"/>
      <c r="W12" s="4" t="s">
        <v>5</v>
      </c>
    </row>
    <row r="13" spans="2:23" x14ac:dyDescent="0.25">
      <c r="B13" s="1">
        <v>9</v>
      </c>
      <c r="C13" s="1">
        <v>90</v>
      </c>
      <c r="D13" s="1">
        <v>190</v>
      </c>
      <c r="E13" s="1" t="s">
        <v>5</v>
      </c>
      <c r="G13" s="1">
        <v>9</v>
      </c>
      <c r="H13" s="2">
        <f t="shared" si="0"/>
        <v>0.11702842464082409</v>
      </c>
      <c r="I13" s="2">
        <f t="shared" si="1"/>
        <v>0.65082485870387241</v>
      </c>
      <c r="J13" s="1">
        <f>SQRT((($S$9-H13)^2)+(($T$9-I13)^2))</f>
        <v>2.553069055033748</v>
      </c>
      <c r="K13" s="1">
        <f>SQRT((($S$10-H13)^2)+(($T$10-I13)^2))</f>
        <v>0.79715046367556985</v>
      </c>
      <c r="L13" s="1">
        <f>SQRT((($S$11-H13)^2)+(($T$11-I13)^2))</f>
        <v>1.9834662360498969</v>
      </c>
      <c r="M13" s="1">
        <f>SQRT((($S$12-H13)^2)+(($T$12-I13)^2))</f>
        <v>1.9370004132339802</v>
      </c>
      <c r="N13" s="1" t="s">
        <v>5</v>
      </c>
    </row>
    <row r="14" spans="2:23" x14ac:dyDescent="0.25">
      <c r="B14" s="1">
        <v>10</v>
      </c>
      <c r="C14" s="1">
        <v>80</v>
      </c>
      <c r="D14" s="1">
        <v>150</v>
      </c>
      <c r="E14" s="1" t="s">
        <v>5</v>
      </c>
      <c r="G14" s="1">
        <v>10</v>
      </c>
      <c r="H14" s="2">
        <f t="shared" si="0"/>
        <v>-0.50712317344357105</v>
      </c>
      <c r="I14" s="2">
        <f t="shared" si="1"/>
        <v>-1.3326413773460244</v>
      </c>
      <c r="J14" s="1">
        <f>SQRT((($S$9-H14)^2)+(($T$9-I14)^2))</f>
        <v>1.2726868352630727</v>
      </c>
      <c r="K14" s="1">
        <f>SQRT((($S$10-H14)^2)+(($T$10-I14)^2))</f>
        <v>1.4875996770374225</v>
      </c>
      <c r="L14" s="1">
        <f>SQRT((($S$11-H14)^2)+(($T$11-I14)^2))</f>
        <v>0.62415159808439513</v>
      </c>
      <c r="M14" s="1">
        <f>SQRT((($S$12-H14)^2)+(($T$12-I14)^2))</f>
        <v>2.9061996279303859</v>
      </c>
      <c r="N14" s="1" t="s">
        <v>5</v>
      </c>
    </row>
    <row r="15" spans="2:23" x14ac:dyDescent="0.25">
      <c r="B15" s="1">
        <v>11</v>
      </c>
      <c r="C15" s="1">
        <v>120</v>
      </c>
      <c r="D15" s="1">
        <v>180</v>
      </c>
      <c r="E15" s="1" t="s">
        <v>5</v>
      </c>
      <c r="G15" s="1">
        <v>11</v>
      </c>
      <c r="H15" s="2">
        <f t="shared" si="0"/>
        <v>1.9894832188940095</v>
      </c>
      <c r="I15" s="2">
        <f t="shared" si="1"/>
        <v>0.15495829969139818</v>
      </c>
      <c r="J15" s="1">
        <f>SQRT((($S$9-H15)^2)+(($T$9-I15)^2))</f>
        <v>3.9447586242069237</v>
      </c>
      <c r="K15" s="1">
        <f>SQRT((($S$10-H15)^2)+(($T$10-I15)^2))</f>
        <v>2.4966063923375805</v>
      </c>
      <c r="L15" s="1">
        <f>SQRT((($S$11-H15)^2)+(($T$11-I15)^2))</f>
        <v>2.3914513910267092</v>
      </c>
      <c r="M15" s="1">
        <f>SQRT((($S$12-H15)^2)+(($T$12-I15)^2))</f>
        <v>0</v>
      </c>
      <c r="N15" s="1" t="s">
        <v>5</v>
      </c>
    </row>
    <row r="16" spans="2:23" x14ac:dyDescent="0.25">
      <c r="B16" s="1">
        <v>12</v>
      </c>
      <c r="C16" s="1">
        <v>70</v>
      </c>
      <c r="D16" s="1">
        <v>145</v>
      </c>
      <c r="E16" s="1" t="s">
        <v>5</v>
      </c>
      <c r="G16" s="1">
        <v>12</v>
      </c>
      <c r="H16" s="2">
        <f t="shared" si="0"/>
        <v>-1.1312747715279663</v>
      </c>
      <c r="I16" s="2">
        <f t="shared" si="1"/>
        <v>-1.5805746568522614</v>
      </c>
      <c r="J16" s="1">
        <f>SQRT((($S$9-H16)^2)+(($T$9-I16)^2))</f>
        <v>0.79715046367556963</v>
      </c>
      <c r="K16" s="1">
        <f>SQRT((($S$10-H16)^2)+(($T$10-I16)^2))</f>
        <v>1.8443535075035047</v>
      </c>
      <c r="L16" s="1">
        <f>SQRT((($S$11-H16)^2)+(($T$11-I16)^2))</f>
        <v>1.2726868352630727</v>
      </c>
      <c r="M16" s="1">
        <f>SQRT((($S$12-H16)^2)+(($T$12-I16)^2))</f>
        <v>3.5708829549611094</v>
      </c>
      <c r="N16" s="1" t="s">
        <v>5</v>
      </c>
      <c r="R16" s="6"/>
      <c r="S16" s="7" t="s">
        <v>12</v>
      </c>
      <c r="T16" s="7"/>
    </row>
    <row r="17" spans="2:27" x14ac:dyDescent="0.25">
      <c r="R17" s="6"/>
      <c r="S17" s="5" t="s">
        <v>13</v>
      </c>
      <c r="T17" s="5" t="s">
        <v>14</v>
      </c>
      <c r="V17" s="1" t="s">
        <v>17</v>
      </c>
      <c r="W17" s="1" t="s">
        <v>18</v>
      </c>
      <c r="X17" s="1" t="s">
        <v>19</v>
      </c>
      <c r="Y17" s="1" t="s">
        <v>20</v>
      </c>
      <c r="Z17" s="1" t="s">
        <v>21</v>
      </c>
      <c r="AA17" s="1" t="s">
        <v>22</v>
      </c>
    </row>
    <row r="18" spans="2:27" x14ac:dyDescent="0.25">
      <c r="B18" s="1" t="s">
        <v>6</v>
      </c>
      <c r="C18" s="1">
        <f>AVERAGE(C5:C16)</f>
        <v>88.125</v>
      </c>
      <c r="D18" s="1">
        <f>AVERAGE(D5:D16)</f>
        <v>176.875</v>
      </c>
      <c r="R18" s="3" t="s">
        <v>15</v>
      </c>
      <c r="S18" s="5"/>
      <c r="T18" s="5"/>
      <c r="V18" s="1">
        <f>S19/(S19+T19)</f>
        <v>0.5</v>
      </c>
      <c r="W18" s="1">
        <f>T21/(S21+T21)</f>
        <v>1</v>
      </c>
      <c r="X18" s="1">
        <f>(S19+T21)/(S19+T19+S21+T21)</f>
        <v>0.75</v>
      </c>
      <c r="Y18" s="1">
        <f>2*((AA18*V18)/(AA18+V18))</f>
        <v>0.66666666666666663</v>
      </c>
      <c r="Z18" s="1">
        <f>1-X18</f>
        <v>0.25</v>
      </c>
      <c r="AA18" s="1">
        <f>S19/(S19+S21)</f>
        <v>1</v>
      </c>
    </row>
    <row r="19" spans="2:27" x14ac:dyDescent="0.25">
      <c r="B19" s="1" t="s">
        <v>7</v>
      </c>
      <c r="C19" s="1">
        <f>_xlfn.STDEV.S(C5:C16)</f>
        <v>16.021748611541394</v>
      </c>
      <c r="D19" s="1">
        <f>_xlfn.STDEV.S(D5:D16)</f>
        <v>20.16671585983768</v>
      </c>
      <c r="R19" s="5" t="s">
        <v>13</v>
      </c>
      <c r="S19" s="5">
        <v>1</v>
      </c>
      <c r="T19" s="5">
        <v>1</v>
      </c>
    </row>
    <row r="20" spans="2:27" x14ac:dyDescent="0.25">
      <c r="R20" s="5"/>
      <c r="S20" s="5"/>
      <c r="T20" s="5"/>
    </row>
    <row r="21" spans="2:27" x14ac:dyDescent="0.25">
      <c r="R21" s="5" t="s">
        <v>14</v>
      </c>
      <c r="S21" s="5">
        <v>0</v>
      </c>
      <c r="T21" s="5">
        <v>2</v>
      </c>
      <c r="V21" t="s">
        <v>23</v>
      </c>
    </row>
    <row r="22" spans="2:27" x14ac:dyDescent="0.25">
      <c r="R22" s="5"/>
      <c r="S22" s="5"/>
      <c r="T22" s="5"/>
      <c r="V22" t="s">
        <v>24</v>
      </c>
    </row>
    <row r="23" spans="2:27" x14ac:dyDescent="0.25">
      <c r="V23" t="s">
        <v>25</v>
      </c>
    </row>
    <row r="24" spans="2:27" ht="15" customHeight="1" x14ac:dyDescent="0.25">
      <c r="B24" s="9" t="s">
        <v>30</v>
      </c>
      <c r="D24" s="1" t="s">
        <v>28</v>
      </c>
      <c r="E24" s="1" t="s">
        <v>29</v>
      </c>
      <c r="V24" t="s">
        <v>26</v>
      </c>
    </row>
    <row r="25" spans="2:27" x14ac:dyDescent="0.25">
      <c r="B25" s="9"/>
      <c r="D25" s="1">
        <v>1</v>
      </c>
      <c r="E25" s="1">
        <v>0</v>
      </c>
      <c r="G25" s="1" t="s">
        <v>4</v>
      </c>
      <c r="H25" s="1">
        <v>1</v>
      </c>
      <c r="V25" t="s">
        <v>27</v>
      </c>
    </row>
    <row r="26" spans="2:27" x14ac:dyDescent="0.25">
      <c r="B26" s="9"/>
      <c r="D26" s="1">
        <v>1</v>
      </c>
      <c r="E26" s="1">
        <v>1</v>
      </c>
      <c r="G26" s="1" t="s">
        <v>5</v>
      </c>
      <c r="H26" s="1">
        <v>0</v>
      </c>
    </row>
    <row r="27" spans="2:27" x14ac:dyDescent="0.25">
      <c r="D27" s="1">
        <v>0</v>
      </c>
      <c r="E27" s="1">
        <v>0</v>
      </c>
    </row>
    <row r="28" spans="2:27" x14ac:dyDescent="0.25">
      <c r="D28" s="1">
        <v>0</v>
      </c>
      <c r="E28" s="1">
        <v>0</v>
      </c>
    </row>
    <row r="31" spans="2:27" x14ac:dyDescent="0.25">
      <c r="E31" s="1" t="s">
        <v>31</v>
      </c>
      <c r="F31" s="1">
        <v>0</v>
      </c>
      <c r="G31" s="1">
        <v>0.2</v>
      </c>
      <c r="H31" s="1">
        <v>0.4</v>
      </c>
      <c r="I31" s="1">
        <v>0.6</v>
      </c>
      <c r="J31" s="1">
        <v>0.8</v>
      </c>
      <c r="K31" s="1">
        <v>1</v>
      </c>
      <c r="L31" s="1">
        <v>1.2</v>
      </c>
    </row>
    <row r="32" spans="2:27" x14ac:dyDescent="0.25">
      <c r="F32" s="1">
        <f>IF($E25&lt;F$31,0,1)</f>
        <v>1</v>
      </c>
      <c r="G32" s="1">
        <f t="shared" ref="G32:L32" si="4">IF($E25&lt;G$31,0,1)</f>
        <v>0</v>
      </c>
      <c r="H32" s="1">
        <f t="shared" si="4"/>
        <v>0</v>
      </c>
      <c r="I32" s="1">
        <f t="shared" si="4"/>
        <v>0</v>
      </c>
      <c r="J32" s="1">
        <f t="shared" si="4"/>
        <v>0</v>
      </c>
      <c r="K32" s="1">
        <f t="shared" si="4"/>
        <v>0</v>
      </c>
      <c r="L32" s="1">
        <f t="shared" si="4"/>
        <v>0</v>
      </c>
    </row>
    <row r="33" spans="5:12" x14ac:dyDescent="0.25">
      <c r="F33" s="1">
        <f t="shared" ref="F33:L33" si="5">IF($E26&lt;F$31,0,1)</f>
        <v>1</v>
      </c>
      <c r="G33" s="1">
        <f t="shared" si="5"/>
        <v>1</v>
      </c>
      <c r="H33" s="1">
        <f t="shared" si="5"/>
        <v>1</v>
      </c>
      <c r="I33" s="1">
        <f t="shared" si="5"/>
        <v>1</v>
      </c>
      <c r="J33" s="1">
        <f t="shared" si="5"/>
        <v>1</v>
      </c>
      <c r="K33" s="1">
        <f t="shared" si="5"/>
        <v>1</v>
      </c>
      <c r="L33" s="1">
        <f t="shared" si="5"/>
        <v>0</v>
      </c>
    </row>
    <row r="34" spans="5:12" x14ac:dyDescent="0.25">
      <c r="F34" s="1">
        <f t="shared" ref="F34:L34" si="6">IF($E27&lt;F$31,0,1)</f>
        <v>1</v>
      </c>
      <c r="G34" s="1">
        <f t="shared" si="6"/>
        <v>0</v>
      </c>
      <c r="H34" s="1">
        <f t="shared" si="6"/>
        <v>0</v>
      </c>
      <c r="I34" s="1">
        <f t="shared" si="6"/>
        <v>0</v>
      </c>
      <c r="J34" s="1">
        <f t="shared" si="6"/>
        <v>0</v>
      </c>
      <c r="K34" s="1">
        <f t="shared" si="6"/>
        <v>0</v>
      </c>
      <c r="L34" s="1">
        <f t="shared" si="6"/>
        <v>0</v>
      </c>
    </row>
    <row r="35" spans="5:12" x14ac:dyDescent="0.25">
      <c r="F35" s="1">
        <f t="shared" ref="F35:L35" si="7">IF($E28&lt;F$31,0,1)</f>
        <v>1</v>
      </c>
      <c r="G35" s="1">
        <f t="shared" si="7"/>
        <v>0</v>
      </c>
      <c r="H35" s="1">
        <f t="shared" si="7"/>
        <v>0</v>
      </c>
      <c r="I35" s="1">
        <f t="shared" si="7"/>
        <v>0</v>
      </c>
      <c r="J35" s="1">
        <f t="shared" si="7"/>
        <v>0</v>
      </c>
      <c r="K35" s="1">
        <f t="shared" si="7"/>
        <v>0</v>
      </c>
      <c r="L35" s="1">
        <f t="shared" si="7"/>
        <v>0</v>
      </c>
    </row>
    <row r="37" spans="5:12" x14ac:dyDescent="0.25">
      <c r="E37" s="1" t="s">
        <v>34</v>
      </c>
      <c r="F37" s="1">
        <f>COUNTIFS($D$25:$D$28,1,F$32:F$35,0)</f>
        <v>0</v>
      </c>
      <c r="G37" s="1">
        <f t="shared" ref="G37:L37" si="8">COUNTIFS($D$25:$D$28,1,G$32:G$35,0)</f>
        <v>1</v>
      </c>
      <c r="H37" s="1">
        <f t="shared" si="8"/>
        <v>1</v>
      </c>
      <c r="I37" s="1">
        <f t="shared" si="8"/>
        <v>1</v>
      </c>
      <c r="J37" s="1">
        <f t="shared" si="8"/>
        <v>1</v>
      </c>
      <c r="K37" s="1">
        <f t="shared" si="8"/>
        <v>1</v>
      </c>
      <c r="L37" s="1">
        <f t="shared" si="8"/>
        <v>2</v>
      </c>
    </row>
    <row r="38" spans="5:12" x14ac:dyDescent="0.25">
      <c r="E38" s="1" t="s">
        <v>35</v>
      </c>
      <c r="F38" s="1">
        <f>COUNTIFS($D$25:$D$28,0,F$32:F$35,1)</f>
        <v>2</v>
      </c>
      <c r="G38" s="1">
        <f t="shared" ref="G38:L38" si="9">COUNTIFS($D$25:$D$28,0,G$32:G$35,1)</f>
        <v>0</v>
      </c>
      <c r="H38" s="1">
        <f t="shared" si="9"/>
        <v>0</v>
      </c>
      <c r="I38" s="1">
        <f t="shared" si="9"/>
        <v>0</v>
      </c>
      <c r="J38" s="1">
        <f t="shared" si="9"/>
        <v>0</v>
      </c>
      <c r="K38" s="1">
        <f t="shared" si="9"/>
        <v>0</v>
      </c>
      <c r="L38" s="1">
        <f t="shared" si="9"/>
        <v>0</v>
      </c>
    </row>
    <row r="39" spans="5:12" x14ac:dyDescent="0.25">
      <c r="E39" s="1" t="s">
        <v>32</v>
      </c>
      <c r="F39" s="1">
        <f>COUNTIFS($D$25:$D$28,0,F$32:F$35,0)</f>
        <v>0</v>
      </c>
      <c r="G39" s="1">
        <f t="shared" ref="G39:L39" si="10">COUNTIFS($D$25:$D$28,0,G$32:G$35,0)</f>
        <v>2</v>
      </c>
      <c r="H39" s="1">
        <f t="shared" si="10"/>
        <v>2</v>
      </c>
      <c r="I39" s="1">
        <f t="shared" si="10"/>
        <v>2</v>
      </c>
      <c r="J39" s="1">
        <f t="shared" si="10"/>
        <v>2</v>
      </c>
      <c r="K39" s="1">
        <f t="shared" si="10"/>
        <v>2</v>
      </c>
      <c r="L39" s="1">
        <f t="shared" si="10"/>
        <v>2</v>
      </c>
    </row>
    <row r="40" spans="5:12" x14ac:dyDescent="0.25">
      <c r="E40" s="1" t="s">
        <v>33</v>
      </c>
      <c r="F40" s="1">
        <f>COUNTIFS($D$25:$D$28,1,F$32:F$35,1)</f>
        <v>2</v>
      </c>
      <c r="G40" s="1">
        <f t="shared" ref="G40:L40" si="11">COUNTIFS($D$25:$D$28,1,G$32:G$35,1)</f>
        <v>1</v>
      </c>
      <c r="H40" s="1">
        <f t="shared" si="11"/>
        <v>1</v>
      </c>
      <c r="I40" s="1">
        <f t="shared" si="11"/>
        <v>1</v>
      </c>
      <c r="J40" s="1">
        <f t="shared" si="11"/>
        <v>1</v>
      </c>
      <c r="K40" s="1">
        <f t="shared" si="11"/>
        <v>1</v>
      </c>
      <c r="L40" s="1">
        <f t="shared" si="11"/>
        <v>0</v>
      </c>
    </row>
    <row r="42" spans="5:12" x14ac:dyDescent="0.25">
      <c r="E42" s="1" t="s">
        <v>36</v>
      </c>
      <c r="F42" s="1">
        <f>1-(F39/(F39+F38))</f>
        <v>1</v>
      </c>
      <c r="G42" s="1">
        <f t="shared" ref="G42:L42" si="12">1-(G39/(G39+G38))</f>
        <v>0</v>
      </c>
      <c r="H42" s="1">
        <f t="shared" si="12"/>
        <v>0</v>
      </c>
      <c r="I42" s="1">
        <f t="shared" si="12"/>
        <v>0</v>
      </c>
      <c r="J42" s="1">
        <f t="shared" si="12"/>
        <v>0</v>
      </c>
      <c r="K42" s="1">
        <f t="shared" si="12"/>
        <v>0</v>
      </c>
      <c r="L42" s="1">
        <f t="shared" si="12"/>
        <v>0</v>
      </c>
    </row>
    <row r="43" spans="5:12" x14ac:dyDescent="0.25">
      <c r="E43" s="1" t="s">
        <v>17</v>
      </c>
      <c r="F43" s="1">
        <f>F40/(F40+F37)</f>
        <v>1</v>
      </c>
      <c r="G43" s="1">
        <f t="shared" ref="G43:L43" si="13">G40/(G40+G37)</f>
        <v>0.5</v>
      </c>
      <c r="H43" s="1">
        <f t="shared" si="13"/>
        <v>0.5</v>
      </c>
      <c r="I43" s="1">
        <f t="shared" si="13"/>
        <v>0.5</v>
      </c>
      <c r="J43" s="1">
        <f t="shared" si="13"/>
        <v>0.5</v>
      </c>
      <c r="K43" s="1">
        <f t="shared" si="13"/>
        <v>0.5</v>
      </c>
      <c r="L43" s="1">
        <f t="shared" si="13"/>
        <v>0</v>
      </c>
    </row>
  </sheetData>
  <mergeCells count="16">
    <mergeCell ref="R16:R17"/>
    <mergeCell ref="S16:T16"/>
    <mergeCell ref="S17:S18"/>
    <mergeCell ref="T17:T18"/>
    <mergeCell ref="U8:V8"/>
    <mergeCell ref="U9:V9"/>
    <mergeCell ref="U10:V10"/>
    <mergeCell ref="U11:V11"/>
    <mergeCell ref="U12:V12"/>
    <mergeCell ref="B24:B26"/>
    <mergeCell ref="R19:R20"/>
    <mergeCell ref="S19:S20"/>
    <mergeCell ref="T19:T20"/>
    <mergeCell ref="R21:R22"/>
    <mergeCell ref="S21:S22"/>
    <mergeCell ref="T21:T2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Punto 1</vt:lpstr>
      <vt:lpstr>Punto 2</vt:lpstr>
      <vt:lpstr>Punto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bedoya</dc:creator>
  <cp:lastModifiedBy>sebastian bedoya</cp:lastModifiedBy>
  <dcterms:created xsi:type="dcterms:W3CDTF">2015-06-05T18:17:20Z</dcterms:created>
  <dcterms:modified xsi:type="dcterms:W3CDTF">2022-09-13T22:36:56Z</dcterms:modified>
</cp:coreProperties>
</file>