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ris.vanreyten\Downloads\"/>
    </mc:Choice>
  </mc:AlternateContent>
  <xr:revisionPtr revIDLastSave="0" documentId="8_{83677DB1-6C78-4F91-BFB2-E164217551A5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Detail" sheetId="10" r:id="rId1"/>
    <sheet name="Planning" sheetId="12" r:id="rId2"/>
    <sheet name="Total" sheetId="11" r:id="rId3"/>
  </sheets>
  <definedNames>
    <definedName name="_xlnm._FilterDatabase" localSheetId="0" hidden="1">Detail!$B$2:$J$11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8" i="12" l="1"/>
  <c r="F16" i="11"/>
  <c r="F17" i="11"/>
  <c r="G17" i="11"/>
  <c r="I11" i="10"/>
  <c r="J11" i="10" s="1"/>
  <c r="G11" i="10"/>
  <c r="C10" i="12"/>
  <c r="C11" i="12" s="1"/>
  <c r="C12" i="12" s="1"/>
  <c r="C13" i="12" s="1"/>
  <c r="C14" i="12" s="1"/>
  <c r="C15" i="12" s="1"/>
  <c r="C16" i="12" s="1"/>
  <c r="C17" i="12" s="1"/>
  <c r="C18" i="12" s="1"/>
  <c r="C9" i="12"/>
  <c r="E19" i="11"/>
  <c r="E16" i="11"/>
  <c r="E18" i="11"/>
  <c r="E17" i="11"/>
  <c r="G10" i="10"/>
  <c r="I10" i="10"/>
  <c r="F9" i="10"/>
  <c r="G9" i="10" s="1"/>
  <c r="F8" i="10"/>
  <c r="G8" i="10" s="1"/>
  <c r="G3" i="10"/>
  <c r="I3" i="10" s="1"/>
  <c r="G4" i="10"/>
  <c r="I4" i="10" s="1"/>
  <c r="G5" i="10"/>
  <c r="G6" i="10"/>
  <c r="F1" i="10" l="1"/>
  <c r="G1" i="10" s="1"/>
  <c r="G7" i="10"/>
  <c r="X9" i="12"/>
  <c r="Y9" i="12"/>
  <c r="Z9" i="12"/>
  <c r="AA9" i="12"/>
  <c r="AB9" i="12"/>
  <c r="AC9" i="12"/>
  <c r="AD9" i="12"/>
  <c r="X10" i="12"/>
  <c r="Y10" i="12"/>
  <c r="Z10" i="12"/>
  <c r="AA10" i="12"/>
  <c r="AB10" i="12"/>
  <c r="AC10" i="12"/>
  <c r="AD10" i="12"/>
  <c r="X11" i="12"/>
  <c r="Y11" i="12"/>
  <c r="Z11" i="12"/>
  <c r="AA11" i="12"/>
  <c r="AB11" i="12"/>
  <c r="AC11" i="12"/>
  <c r="AD11" i="12"/>
  <c r="X12" i="12"/>
  <c r="Y12" i="12"/>
  <c r="Z12" i="12"/>
  <c r="AA12" i="12"/>
  <c r="AB12" i="12"/>
  <c r="AC12" i="12"/>
  <c r="AD12" i="12"/>
  <c r="X13" i="12"/>
  <c r="Y13" i="12"/>
  <c r="Z13" i="12"/>
  <c r="AA13" i="12"/>
  <c r="AB13" i="12"/>
  <c r="AC13" i="12"/>
  <c r="AD13" i="12"/>
  <c r="X14" i="12"/>
  <c r="Y14" i="12"/>
  <c r="Z14" i="12"/>
  <c r="AA14" i="12"/>
  <c r="AB14" i="12"/>
  <c r="AC14" i="12"/>
  <c r="AD14" i="12"/>
  <c r="X15" i="12"/>
  <c r="Y15" i="12"/>
  <c r="Z15" i="12"/>
  <c r="AA15" i="12"/>
  <c r="AB15" i="12"/>
  <c r="AC15" i="12"/>
  <c r="AD15" i="12"/>
  <c r="X16" i="12"/>
  <c r="Y16" i="12"/>
  <c r="Z16" i="12"/>
  <c r="AA16" i="12"/>
  <c r="AB16" i="12"/>
  <c r="AC16" i="12"/>
  <c r="AD16" i="12"/>
  <c r="X17" i="12"/>
  <c r="Y17" i="12"/>
  <c r="Z17" i="12"/>
  <c r="AA17" i="12"/>
  <c r="AB17" i="12"/>
  <c r="AC17" i="12"/>
  <c r="AD17" i="12"/>
  <c r="X18" i="12"/>
  <c r="Y18" i="12"/>
  <c r="Z18" i="12"/>
  <c r="AA18" i="12"/>
  <c r="AB18" i="12"/>
  <c r="AC18" i="12"/>
  <c r="AD18" i="12"/>
  <c r="J5" i="12" l="1"/>
  <c r="G8" i="11" s="1"/>
  <c r="I5" i="12"/>
  <c r="G7" i="11" s="1"/>
  <c r="E5" i="12"/>
  <c r="H5" i="12"/>
  <c r="G6" i="11" s="1"/>
  <c r="Q8" i="12"/>
  <c r="I5" i="10"/>
  <c r="I6" i="10"/>
  <c r="I1" i="10" s="1"/>
  <c r="I7" i="10"/>
  <c r="I8" i="10"/>
  <c r="I9" i="10"/>
  <c r="F5" i="12"/>
  <c r="G4" i="11" s="1"/>
  <c r="G5" i="12"/>
  <c r="G5" i="11" s="1"/>
  <c r="M5" i="12"/>
  <c r="G11" i="11"/>
  <c r="Q17" i="12"/>
  <c r="S3" i="12"/>
  <c r="Q12" i="12"/>
  <c r="Q18" i="12"/>
  <c r="Q16" i="12"/>
  <c r="Q9" i="12"/>
  <c r="Q10" i="12"/>
  <c r="Q11" i="12"/>
  <c r="Q13" i="12"/>
  <c r="Q14" i="12"/>
  <c r="Q15" i="12"/>
  <c r="T3" i="12"/>
  <c r="E24" i="11"/>
  <c r="G24" i="11" s="1"/>
  <c r="F26" i="11"/>
  <c r="G26" i="11" s="1"/>
  <c r="G27" i="11"/>
  <c r="G28" i="11"/>
  <c r="K5" i="12"/>
  <c r="B9" i="12"/>
  <c r="B10" i="12"/>
  <c r="B11" i="12"/>
  <c r="B12" i="12"/>
  <c r="B13" i="12"/>
  <c r="B14" i="12"/>
  <c r="B15" i="12"/>
  <c r="B16" i="12"/>
  <c r="B17" i="12"/>
  <c r="B18" i="12"/>
  <c r="B8" i="12"/>
  <c r="E9" i="11"/>
  <c r="J10" i="10" s="1"/>
  <c r="O5" i="12"/>
  <c r="N5" i="12"/>
  <c r="Y8" i="12"/>
  <c r="Z8" i="12"/>
  <c r="AA8" i="12"/>
  <c r="AB8" i="12"/>
  <c r="AC8" i="12"/>
  <c r="AD8" i="12"/>
  <c r="X8" i="12"/>
  <c r="M6" i="12"/>
  <c r="K1" i="12"/>
  <c r="J1" i="12"/>
  <c r="I1" i="12"/>
  <c r="H1" i="12"/>
  <c r="G1" i="12"/>
  <c r="F1" i="12"/>
  <c r="A9" i="12"/>
  <c r="A10" i="12" s="1"/>
  <c r="A11" i="12" s="1"/>
  <c r="A12" i="12" s="1"/>
  <c r="A13" i="12" s="1"/>
  <c r="A14" i="12" s="1"/>
  <c r="A15" i="12" s="1"/>
  <c r="A16" i="12" s="1"/>
  <c r="A17" i="12" s="1"/>
  <c r="A18" i="12" s="1"/>
  <c r="J4" i="10" l="1"/>
  <c r="J3" i="10"/>
  <c r="S14" i="12"/>
  <c r="T14" i="12"/>
  <c r="S11" i="12"/>
  <c r="V11" i="12" s="1"/>
  <c r="S10" i="12"/>
  <c r="S13" i="12"/>
  <c r="V13" i="12" s="1"/>
  <c r="S9" i="12"/>
  <c r="S16" i="12"/>
  <c r="V16" i="12" s="1"/>
  <c r="S17" i="12"/>
  <c r="V17" i="12" s="1"/>
  <c r="S18" i="12"/>
  <c r="T15" i="12"/>
  <c r="S12" i="12"/>
  <c r="S15" i="12"/>
  <c r="T18" i="12"/>
  <c r="J5" i="10"/>
  <c r="J9" i="10"/>
  <c r="L5" i="12"/>
  <c r="F18" i="11"/>
  <c r="G18" i="11" s="1"/>
  <c r="T12" i="12"/>
  <c r="T10" i="12"/>
  <c r="F6" i="12"/>
  <c r="J6" i="12"/>
  <c r="E6" i="12"/>
  <c r="G3" i="11"/>
  <c r="K6" i="12"/>
  <c r="G6" i="12"/>
  <c r="I6" i="12"/>
  <c r="H6" i="12"/>
  <c r="L1" i="12"/>
  <c r="J8" i="10"/>
  <c r="J7" i="10"/>
  <c r="J6" i="10"/>
  <c r="F3" i="11"/>
  <c r="F5" i="11" s="1"/>
  <c r="G4" i="12" s="1"/>
  <c r="J1" i="10" l="1"/>
  <c r="G10" i="11"/>
  <c r="F19" i="11" s="1"/>
  <c r="G19" i="11" s="1"/>
  <c r="G16" i="11"/>
  <c r="V9" i="12"/>
  <c r="V15" i="12"/>
  <c r="V14" i="12"/>
  <c r="V12" i="12"/>
  <c r="V18" i="12"/>
  <c r="V10" i="12"/>
  <c r="S5" i="12"/>
  <c r="T5" i="12"/>
  <c r="V8" i="12"/>
  <c r="F6" i="11"/>
  <c r="H4" i="12" s="1"/>
  <c r="E4" i="12"/>
  <c r="F7" i="11"/>
  <c r="I4" i="12" s="1"/>
  <c r="F8" i="11"/>
  <c r="J4" i="12" s="1"/>
  <c r="F4" i="11"/>
  <c r="G20" i="11" l="1"/>
  <c r="G12" i="11"/>
  <c r="F15" i="11"/>
  <c r="F25" i="11"/>
  <c r="H2" i="12"/>
  <c r="G2" i="12"/>
  <c r="F10" i="11"/>
  <c r="K4" i="12" s="1"/>
  <c r="E2" i="12"/>
  <c r="J2" i="12"/>
  <c r="F4" i="12"/>
  <c r="F2" i="12" s="1"/>
  <c r="F9" i="11"/>
  <c r="I2" i="12"/>
  <c r="F30" i="11" l="1"/>
  <c r="G21" i="11"/>
  <c r="E25" i="11" s="1"/>
  <c r="G25" i="11" s="1"/>
  <c r="F12" i="11"/>
  <c r="K2" i="12"/>
  <c r="L2" i="12" s="1"/>
  <c r="L4" i="12"/>
  <c r="L6" i="12" s="1"/>
  <c r="G30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tc={66CB39F9-965D-40CF-A3F3-969818E187DA}</author>
  </authors>
  <commentList>
    <comment ref="S3" authorId="0" shapeId="0" xr:uid="{00000000-0006-0000-0200-000001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scrum = 20min max
</t>
      </text>
    </comment>
  </commentList>
</comments>
</file>

<file path=xl/sharedStrings.xml><?xml version="1.0" encoding="utf-8"?>
<sst xmlns="http://schemas.openxmlformats.org/spreadsheetml/2006/main" count="115" uniqueCount="87">
  <si>
    <t>Sprint</t>
  </si>
  <si>
    <t>Section</t>
  </si>
  <si>
    <t>Part</t>
  </si>
  <si>
    <t>Over-ruled</t>
  </si>
  <si>
    <t>Total Dev</t>
  </si>
  <si>
    <t>Total days</t>
  </si>
  <si>
    <t>Volgens Total</t>
  </si>
  <si>
    <t>Dev</t>
  </si>
  <si>
    <t>Arch</t>
  </si>
  <si>
    <t>PM</t>
  </si>
  <si>
    <t>Test</t>
  </si>
  <si>
    <t>Analyse</t>
  </si>
  <si>
    <t>Doc</t>
  </si>
  <si>
    <t>Cont</t>
  </si>
  <si>
    <t>UX</t>
  </si>
  <si>
    <t>WCAG</t>
  </si>
  <si>
    <t>Security</t>
  </si>
  <si>
    <t>Total - FTE</t>
  </si>
  <si>
    <t>Ux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</si>
  <si>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</si>
  <si>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</si>
  <si>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</si>
  <si>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</si>
  <si>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</si>
  <si>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</si>
  <si>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</si>
  <si>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</si>
  <si>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</si>
  <si>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11</t>
  </si>
  <si>
    <t>Total</t>
  </si>
  <si>
    <t>FPA</t>
  </si>
  <si>
    <t>Development</t>
  </si>
  <si>
    <t>Project Management</t>
  </si>
  <si>
    <t xml:space="preserve">Testing </t>
  </si>
  <si>
    <t>Analysis</t>
  </si>
  <si>
    <t>Technical documentation</t>
  </si>
  <si>
    <t>Sum uplift on development hours</t>
  </si>
  <si>
    <t>Contingency</t>
  </si>
  <si>
    <t>Dev/Test (€/d)</t>
  </si>
  <si>
    <t>PM/Arch (€/d)</t>
  </si>
  <si>
    <t>Subtotal</t>
  </si>
  <si>
    <t>Avg rate €/d</t>
  </si>
  <si>
    <t>Agile ceremonies</t>
  </si>
  <si>
    <t>Threat-model</t>
  </si>
  <si>
    <t>Performance testing</t>
  </si>
  <si>
    <t>Description</t>
  </si>
  <si>
    <t>Estimated</t>
  </si>
  <si>
    <t>Planned</t>
  </si>
  <si>
    <t>#persons</t>
  </si>
  <si>
    <t>Architecture</t>
  </si>
  <si>
    <t>Days</t>
  </si>
  <si>
    <t>Daily</t>
  </si>
  <si>
    <t>SR</t>
  </si>
  <si>
    <t>Setup</t>
  </si>
  <si>
    <t>Third-party libraries</t>
  </si>
  <si>
    <t>Setup API communication with authentication</t>
  </si>
  <si>
    <t>Using HTTP client factory.</t>
  </si>
  <si>
    <t>Configuration in API developer portal</t>
  </si>
  <si>
    <t>https://documentation.ibanity.com/</t>
  </si>
  <si>
    <t>Configure Webhooks</t>
  </si>
  <si>
    <t>XS2A</t>
  </si>
  <si>
    <t>Isabel connect</t>
  </si>
  <si>
    <t>Ponto connect</t>
  </si>
  <si>
    <t>Hours</t>
  </si>
  <si>
    <t>Convert and test 14 services</t>
  </si>
  <si>
    <t>Convert and test 8 services</t>
  </si>
  <si>
    <t>Assumption: No specific libraries are a hard requirement to use (we can use AutoMapper, Polly for convenience)</t>
  </si>
  <si>
    <t>Assumption: We only need to register one app</t>
  </si>
  <si>
    <t>Assumption: The authentication is shared across each product API (verify)</t>
  </si>
  <si>
    <t>Documentation</t>
  </si>
  <si>
    <t>Update readme for developers</t>
  </si>
  <si>
    <t>Contingency (€/d)</t>
  </si>
  <si>
    <t>Use Java to C# converter for each class/interface and fix the code until it works.</t>
  </si>
  <si>
    <t>Assumption: Java to C# converter can be used</t>
  </si>
  <si>
    <t>Use Java to C# converter for each class/interface and fix the code until it works. Bank authentication might take some extra effort.</t>
  </si>
  <si>
    <t>Write a readme for the .NET implementation, similar to the one that exists for Java.</t>
  </si>
  <si>
    <t>Extra info</t>
  </si>
  <si>
    <t>https://documentation.ibanity.com/webhooks</t>
  </si>
  <si>
    <t>Deployment</t>
  </si>
  <si>
    <t>Pipelines for building and automated testing, and making code available publicly (Github).</t>
  </si>
  <si>
    <t>Question: The goal of the webhooks is not fully clear from the code</t>
  </si>
  <si>
    <t>Go live</t>
  </si>
  <si>
    <t>General assumption: Only XS2A, IsabelConnect and Ponto connect require an implementation (based on the Java wrapper source code)</t>
  </si>
  <si>
    <t>General assumption: ~404 .java files to convert</t>
  </si>
  <si>
    <t>Investigate which (third-party) libraries are required and implement them.</t>
  </si>
  <si>
    <t>General assumption: refactoring to .NET standards, migration API approach, is included.</t>
  </si>
  <si>
    <t>Analist/Training/documentation (€/d)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</si>
</sst>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_ * #,##0_ ;_ * \-#,##0_ ;_ * &quot;-&quot;??_ ;_ @_ "/>
    <numFmt numFmtId="165" formatCode="_ &quot;€&quot;\ * #,##0_ ;_ &quot;€&quot;\ * \-#,##0_ ;_ &quot;€&quot;\ * &quot;-&quot;??_ ;_ @_ "/>
    <numFmt numFmtId="166" formatCode="_-[$€-2]\ * #,##0.00_-;\-[$€-2]\ * #,##0.00_-;_-[$€-2]\ * &quot;-&quot;??_-;_-@_-"/>
    <numFmt numFmtId="167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3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9" fontId="0" fillId="0" borderId="0" xfId="0" applyNumberFormat="1" applyFill="1"/>
    <xf numFmtId="164" fontId="0" fillId="0" borderId="0" xfId="1" applyNumberFormat="1" applyFont="1" applyFill="1"/>
    <xf numFmtId="164" fontId="0" fillId="0" borderId="0" xfId="0" applyNumberFormat="1" applyBorder="1"/>
    <xf numFmtId="0" fontId="0" fillId="0" borderId="0" xfId="0" applyFont="1"/>
    <xf numFmtId="44" fontId="0" fillId="0" borderId="0" xfId="2" applyFont="1"/>
    <xf numFmtId="0" fontId="0" fillId="0" borderId="5" xfId="0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0" xfId="0" applyNumberFormat="1"/>
    <xf numFmtId="0" fontId="0" fillId="0" borderId="0" xfId="0" applyBorder="1"/>
    <xf numFmtId="164" fontId="2" fillId="0" borderId="0" xfId="0" applyNumberFormat="1" applyFont="1" applyBorder="1"/>
    <xf numFmtId="164" fontId="0" fillId="0" borderId="2" xfId="0" applyNumberFormat="1" applyBorder="1"/>
    <xf numFmtId="0" fontId="0" fillId="0" borderId="1" xfId="0" applyBorder="1"/>
    <xf numFmtId="9" fontId="0" fillId="0" borderId="1" xfId="0" applyNumberFormat="1" applyFill="1" applyBorder="1"/>
    <xf numFmtId="9" fontId="0" fillId="2" borderId="8" xfId="0" applyNumberFormat="1" applyFill="1" applyBorder="1"/>
    <xf numFmtId="0" fontId="0" fillId="0" borderId="2" xfId="0" applyBorder="1"/>
    <xf numFmtId="0" fontId="2" fillId="0" borderId="0" xfId="0" applyFont="1" applyFill="1" applyAlignment="1">
      <alignment horizontal="right"/>
    </xf>
    <xf numFmtId="164" fontId="2" fillId="0" borderId="0" xfId="1" applyNumberFormat="1" applyFont="1" applyFill="1"/>
    <xf numFmtId="164" fontId="0" fillId="0" borderId="1" xfId="1" applyNumberFormat="1" applyFont="1" applyBorder="1"/>
    <xf numFmtId="0" fontId="0" fillId="0" borderId="1" xfId="0" applyFont="1" applyFill="1" applyBorder="1" applyAlignment="1">
      <alignment horizontal="left" vertical="top" wrapText="1"/>
    </xf>
    <xf numFmtId="0" fontId="5" fillId="3" borderId="0" xfId="0" applyFont="1" applyFill="1"/>
    <xf numFmtId="0" fontId="5" fillId="3" borderId="0" xfId="0" applyFont="1" applyFill="1" applyAlignment="1">
      <alignment horizontal="center" vertical="top"/>
    </xf>
    <xf numFmtId="9" fontId="0" fillId="4" borderId="2" xfId="0" applyNumberFormat="1" applyFill="1" applyBorder="1"/>
    <xf numFmtId="9" fontId="0" fillId="4" borderId="2" xfId="0" applyNumberFormat="1" applyFont="1" applyFill="1" applyBorder="1"/>
    <xf numFmtId="14" fontId="0" fillId="0" borderId="1" xfId="0" applyNumberFormat="1" applyBorder="1"/>
    <xf numFmtId="0" fontId="0" fillId="4" borderId="1" xfId="0" applyFill="1" applyBorder="1"/>
    <xf numFmtId="0" fontId="0" fillId="0" borderId="1" xfId="0" applyFill="1" applyBorder="1"/>
    <xf numFmtId="44" fontId="0" fillId="2" borderId="8" xfId="2" applyFont="1" applyFill="1" applyBorder="1"/>
    <xf numFmtId="44" fontId="0" fillId="2" borderId="2" xfId="2" applyFont="1" applyFill="1" applyBorder="1"/>
    <xf numFmtId="44" fontId="0" fillId="0" borderId="2" xfId="2" applyFont="1" applyBorder="1"/>
    <xf numFmtId="44" fontId="2" fillId="0" borderId="1" xfId="2" applyFont="1" applyBorder="1"/>
    <xf numFmtId="44" fontId="0" fillId="0" borderId="0" xfId="2" applyFont="1" applyBorder="1"/>
    <xf numFmtId="9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9" fontId="0" fillId="0" borderId="0" xfId="3" applyFont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9" fontId="0" fillId="0" borderId="1" xfId="3" applyFont="1" applyBorder="1" applyAlignment="1">
      <alignment horizontal="center"/>
    </xf>
    <xf numFmtId="164" fontId="2" fillId="0" borderId="1" xfId="1" applyNumberFormat="1" applyFont="1" applyFill="1" applyBorder="1" applyAlignment="1">
      <alignment horizontal="right"/>
    </xf>
    <xf numFmtId="0" fontId="2" fillId="0" borderId="11" xfId="0" applyFont="1" applyBorder="1"/>
    <xf numFmtId="0" fontId="4" fillId="3" borderId="9" xfId="0" applyFont="1" applyFill="1" applyBorder="1" applyAlignment="1">
      <alignment horizontal="left" wrapText="1"/>
    </xf>
    <xf numFmtId="0" fontId="0" fillId="3" borderId="0" xfId="0" applyFill="1"/>
    <xf numFmtId="164" fontId="2" fillId="0" borderId="6" xfId="1" applyNumberFormat="1" applyFont="1" applyFill="1" applyBorder="1" applyAlignment="1">
      <alignment horizontal="right"/>
    </xf>
    <xf numFmtId="166" fontId="0" fillId="0" borderId="0" xfId="0" applyNumberFormat="1"/>
    <xf numFmtId="2" fontId="0" fillId="0" borderId="0" xfId="0" applyNumberFormat="1"/>
    <xf numFmtId="165" fontId="0" fillId="0" borderId="15" xfId="2" applyNumberFormat="1" applyFont="1" applyBorder="1"/>
    <xf numFmtId="164" fontId="0" fillId="0" borderId="15" xfId="1" applyNumberFormat="1" applyFont="1" applyBorder="1" applyAlignment="1">
      <alignment horizontal="center"/>
    </xf>
    <xf numFmtId="0" fontId="0" fillId="0" borderId="0" xfId="0" applyNumberFormat="1"/>
    <xf numFmtId="0" fontId="0" fillId="0" borderId="15" xfId="0" applyBorder="1"/>
    <xf numFmtId="0" fontId="4" fillId="3" borderId="2" xfId="0" applyFont="1" applyFill="1" applyBorder="1" applyAlignment="1">
      <alignment horizontal="left"/>
    </xf>
    <xf numFmtId="166" fontId="2" fillId="0" borderId="0" xfId="0" applyNumberFormat="1" applyFont="1"/>
    <xf numFmtId="9" fontId="0" fillId="5" borderId="9" xfId="0" applyNumberFormat="1" applyFill="1" applyBorder="1"/>
    <xf numFmtId="0" fontId="0" fillId="0" borderId="15" xfId="0" applyFill="1" applyBorder="1"/>
    <xf numFmtId="0" fontId="0" fillId="0" borderId="15" xfId="0" applyBorder="1" applyAlignment="1">
      <alignment horizontal="center"/>
    </xf>
    <xf numFmtId="2" fontId="0" fillId="0" borderId="15" xfId="0" applyNumberFormat="1" applyBorder="1"/>
    <xf numFmtId="165" fontId="0" fillId="0" borderId="0" xfId="2" applyNumberFormat="1" applyFont="1" applyBorder="1"/>
    <xf numFmtId="0" fontId="0" fillId="0" borderId="0" xfId="2" applyNumberFormat="1" applyFont="1" applyBorder="1"/>
    <xf numFmtId="0" fontId="0" fillId="0" borderId="15" xfId="0" applyFill="1" applyBorder="1" applyAlignment="1">
      <alignment horizontal="center"/>
    </xf>
    <xf numFmtId="165" fontId="0" fillId="0" borderId="17" xfId="2" applyNumberFormat="1" applyFont="1" applyBorder="1"/>
    <xf numFmtId="0" fontId="0" fillId="0" borderId="17" xfId="2" applyNumberFormat="1" applyFont="1" applyBorder="1"/>
    <xf numFmtId="2" fontId="0" fillId="0" borderId="18" xfId="0" applyNumberFormat="1" applyBorder="1"/>
    <xf numFmtId="0" fontId="0" fillId="0" borderId="1" xfId="1" applyNumberFormat="1" applyFont="1" applyBorder="1" applyAlignment="1">
      <alignment horizontal="center"/>
    </xf>
    <xf numFmtId="167" fontId="0" fillId="0" borderId="1" xfId="3" applyNumberFormat="1" applyFont="1" applyBorder="1" applyAlignment="1">
      <alignment horizontal="center"/>
    </xf>
    <xf numFmtId="0" fontId="0" fillId="0" borderId="1" xfId="0" applyFont="1" applyBorder="1" applyAlignment="1">
      <alignment horizontal="left" vertical="top" wrapText="1"/>
    </xf>
    <xf numFmtId="10" fontId="2" fillId="0" borderId="0" xfId="0" applyNumberFormat="1" applyFont="1"/>
    <xf numFmtId="165" fontId="0" fillId="0" borderId="16" xfId="2" applyNumberFormat="1" applyFont="1" applyBorder="1"/>
    <xf numFmtId="2" fontId="0" fillId="0" borderId="16" xfId="2" applyNumberFormat="1" applyFont="1" applyBorder="1"/>
    <xf numFmtId="165" fontId="0" fillId="0" borderId="1" xfId="2" applyNumberFormat="1" applyFont="1" applyBorder="1" applyAlignment="1"/>
    <xf numFmtId="43" fontId="0" fillId="0" borderId="1" xfId="1" applyFont="1" applyBorder="1"/>
    <xf numFmtId="0" fontId="4" fillId="3" borderId="5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left" wrapText="1"/>
    </xf>
    <xf numFmtId="0" fontId="4" fillId="3" borderId="4" xfId="0" applyFont="1" applyFill="1" applyBorder="1" applyAlignment="1">
      <alignment horizontal="left" wrapText="1"/>
    </xf>
    <xf numFmtId="0" fontId="2" fillId="0" borderId="20" xfId="0" applyFont="1" applyBorder="1"/>
    <xf numFmtId="0" fontId="2" fillId="0" borderId="10" xfId="0" applyFont="1" applyBorder="1" applyAlignment="1">
      <alignment horizontal="right"/>
    </xf>
    <xf numFmtId="44" fontId="2" fillId="0" borderId="0" xfId="2" applyFont="1" applyBorder="1"/>
    <xf numFmtId="1" fontId="2" fillId="0" borderId="11" xfId="0" applyNumberFormat="1" applyFont="1" applyBorder="1"/>
    <xf numFmtId="164" fontId="2" fillId="0" borderId="0" xfId="0" applyNumberFormat="1" applyFont="1" applyFill="1" applyBorder="1"/>
    <xf numFmtId="0" fontId="7" fillId="0" borderId="0" xfId="0" applyFont="1" applyFill="1" applyAlignment="1">
      <alignment horizontal="right"/>
    </xf>
    <xf numFmtId="164" fontId="7" fillId="0" borderId="0" xfId="1" applyNumberFormat="1" applyFont="1" applyFill="1"/>
    <xf numFmtId="164" fontId="7" fillId="0" borderId="0" xfId="0" applyNumberFormat="1" applyFont="1" applyBorder="1"/>
    <xf numFmtId="44" fontId="7" fillId="0" borderId="0" xfId="2" applyFont="1" applyBorder="1"/>
    <xf numFmtId="166" fontId="0" fillId="0" borderId="8" xfId="0" applyNumberFormat="1" applyBorder="1"/>
    <xf numFmtId="166" fontId="0" fillId="0" borderId="2" xfId="0" applyNumberFormat="1" applyBorder="1"/>
    <xf numFmtId="44" fontId="0" fillId="0" borderId="9" xfId="0" applyNumberFormat="1" applyBorder="1"/>
    <xf numFmtId="0" fontId="0" fillId="0" borderId="8" xfId="2" applyNumberFormat="1" applyFont="1" applyBorder="1"/>
    <xf numFmtId="0" fontId="0" fillId="0" borderId="2" xfId="2" applyNumberFormat="1" applyFont="1" applyBorder="1"/>
    <xf numFmtId="0" fontId="0" fillId="0" borderId="9" xfId="2" applyNumberFormat="1" applyFont="1" applyBorder="1"/>
    <xf numFmtId="44" fontId="0" fillId="0" borderId="8" xfId="2" applyFont="1" applyBorder="1"/>
    <xf numFmtId="44" fontId="0" fillId="0" borderId="9" xfId="2" applyFont="1" applyBorder="1"/>
    <xf numFmtId="166" fontId="2" fillId="0" borderId="12" xfId="0" applyNumberFormat="1" applyFont="1" applyBorder="1"/>
    <xf numFmtId="1" fontId="2" fillId="0" borderId="20" xfId="0" applyNumberFormat="1" applyFont="1" applyBorder="1"/>
    <xf numFmtId="1" fontId="2" fillId="0" borderId="21" xfId="0" applyNumberFormat="1" applyFont="1" applyBorder="1"/>
    <xf numFmtId="1" fontId="2" fillId="0" borderId="22" xfId="0" applyNumberFormat="1" applyFont="1" applyBorder="1"/>
    <xf numFmtId="164" fontId="0" fillId="0" borderId="20" xfId="0" applyNumberFormat="1" applyBorder="1"/>
    <xf numFmtId="0" fontId="0" fillId="0" borderId="8" xfId="0" applyFill="1" applyBorder="1" applyAlignment="1">
      <alignment horizontal="left" vertical="top" wrapText="1"/>
    </xf>
    <xf numFmtId="2" fontId="0" fillId="0" borderId="0" xfId="0" applyNumberFormat="1" applyFont="1" applyAlignment="1">
      <alignment horizontal="center"/>
    </xf>
    <xf numFmtId="2" fontId="1" fillId="0" borderId="2" xfId="1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1" fillId="0" borderId="1" xfId="1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0" fontId="9" fillId="0" borderId="1" xfId="4" applyBorder="1" applyAlignment="1">
      <alignment horizontal="left" vertical="top" wrapText="1"/>
    </xf>
    <xf numFmtId="2" fontId="6" fillId="0" borderId="8" xfId="0" applyNumberFormat="1" applyFont="1" applyBorder="1" applyAlignment="1">
      <alignment horizontal="center" vertical="center"/>
    </xf>
    <xf numFmtId="2" fontId="6" fillId="0" borderId="8" xfId="0" applyNumberFormat="1" applyFont="1" applyFill="1" applyBorder="1" applyAlignment="1">
      <alignment horizontal="center" vertical="center"/>
    </xf>
    <xf numFmtId="2" fontId="6" fillId="0" borderId="8" xfId="1" applyNumberFormat="1" applyFont="1" applyBorder="1" applyAlignment="1">
      <alignment horizontal="center" vertical="center"/>
    </xf>
    <xf numFmtId="2" fontId="0" fillId="0" borderId="8" xfId="0" applyNumberFormat="1" applyFont="1" applyFill="1" applyBorder="1" applyAlignment="1">
      <alignment horizontal="center"/>
    </xf>
    <xf numFmtId="44" fontId="0" fillId="2" borderId="9" xfId="2" applyFont="1" applyFill="1" applyBorder="1"/>
    <xf numFmtId="164" fontId="0" fillId="0" borderId="9" xfId="0" applyNumberFormat="1" applyBorder="1"/>
    <xf numFmtId="16" fontId="0" fillId="0" borderId="1" xfId="0" applyNumberFormat="1" applyBorder="1"/>
    <xf numFmtId="2" fontId="0" fillId="0" borderId="8" xfId="0" applyNumberFormat="1" applyFont="1" applyBorder="1" applyAlignment="1">
      <alignment horizontal="center" vertical="center"/>
    </xf>
    <xf numFmtId="2" fontId="0" fillId="0" borderId="8" xfId="0" applyNumberFormat="1" applyFont="1" applyFill="1" applyBorder="1" applyAlignment="1">
      <alignment horizontal="center" vertical="center"/>
    </xf>
    <xf numFmtId="2" fontId="0" fillId="0" borderId="8" xfId="1" applyNumberFormat="1" applyFont="1" applyBorder="1" applyAlignment="1">
      <alignment horizontal="center" vertical="center"/>
    </xf>
    <xf numFmtId="1" fontId="0" fillId="0" borderId="3" xfId="0" applyNumberFormat="1" applyBorder="1"/>
    <xf numFmtId="1" fontId="0" fillId="0" borderId="4" xfId="0" applyNumberFormat="1" applyBorder="1"/>
    <xf numFmtId="1" fontId="0" fillId="0" borderId="14" xfId="0" applyNumberFormat="1" applyBorder="1"/>
    <xf numFmtId="1" fontId="0" fillId="0" borderId="4" xfId="0" applyNumberFormat="1" applyFill="1" applyBorder="1"/>
    <xf numFmtId="1" fontId="0" fillId="0" borderId="0" xfId="0" applyNumberFormat="1"/>
    <xf numFmtId="1" fontId="0" fillId="0" borderId="11" xfId="0" applyNumberFormat="1" applyBorder="1"/>
    <xf numFmtId="1" fontId="2" fillId="0" borderId="1" xfId="1" applyNumberFormat="1" applyFont="1" applyBorder="1"/>
    <xf numFmtId="0" fontId="0" fillId="0" borderId="13" xfId="0" applyFont="1" applyFill="1" applyBorder="1" applyAlignment="1">
      <alignment horizontal="left" vertical="top" wrapText="1"/>
    </xf>
    <xf numFmtId="0" fontId="0" fillId="0" borderId="7" xfId="0" applyFont="1" applyFill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0" borderId="19" xfId="0" applyFill="1" applyBorder="1" applyAlignment="1">
      <alignment horizontal="left" vertical="top" wrapText="1"/>
    </xf>
    <xf numFmtId="0" fontId="0" fillId="0" borderId="8" xfId="0" applyFont="1" applyFill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8" xfId="0" applyFont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 wrapText="1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F0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eert Vanden Boer" id="{DF4B5EA9-F1EF-4D24-919F-98BB13CCC7E7}" userId="S::geert.vandenboer@tobania.be::e2bf371a-3352-4c85-af4e-5cc7902ac12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J11" totalsRowShown="0" headerRowDxfId="12" headerRowBorderDxfId="11" tableBorderDxfId="10">
  <autoFilter ref="A2:J11" xr:uid="{00000000-0009-0000-0100-000001000000}"/>
  <sortState xmlns:xlrd2="http://schemas.microsoft.com/office/spreadsheetml/2017/richdata2" ref="A3:J9">
    <sortCondition ref="A2:A9"/>
  </sortState>
  <tableColumns count="10">
    <tableColumn id="15" xr3:uid="{00000000-0010-0000-0000-00000F000000}" name="Sprint" dataDxfId="9"/>
    <tableColumn id="1" xr3:uid="{00000000-0010-0000-0000-000001000000}" name="Section" dataDxfId="8"/>
    <tableColumn id="16" xr3:uid="{00000000-0010-0000-0000-000010000000}" name="Part" dataDxfId="7"/>
    <tableColumn id="2" xr3:uid="{00000000-0010-0000-0000-000002000000}" name="Description" dataDxfId="6"/>
    <tableColumn id="3" xr3:uid="{00000000-0010-0000-0000-000003000000}" name="Extra info" dataDxfId="5"/>
    <tableColumn id="5" xr3:uid="{00000000-0010-0000-0000-000005000000}" name="Hours" dataDxfId="4"/>
    <tableColumn id="11" xr3:uid="{00000000-0010-0000-0000-00000B000000}" name="Days" dataDxfId="3">
      <calculatedColumnFormula>F3/8</calculatedColumnFormula>
    </tableColumn>
    <tableColumn id="12" xr3:uid="{00000000-0010-0000-0000-00000C000000}" name="Over-ruled" dataDxfId="2"/>
    <tableColumn id="13" xr3:uid="{00000000-0010-0000-0000-00000D000000}" name="Total Dev" dataDxfId="1" dataCellStyle="Comma">
      <calculatedColumnFormula>IF(ISBLANK(H3),G3,H3)</calculatedColumnFormula>
    </tableColumn>
    <tableColumn id="14" xr3:uid="{00000000-0010-0000-0000-00000E000000}" name="Total days" dataDxfId="0" dataCellStyle="Comma">
      <calculatedColumnFormula>I3*(1+Total!$E$9)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3" dT="2019-01-25T10:47:01.95" personId="{DF4B5EA9-F1EF-4D24-919F-98BB13CCC7E7}" id="{66CB39F9-965D-40CF-A3F3-969818E187DA}">
    <text xml:space="preserve">scrum = 20min max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umentation.ibanity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15"/>
  <sheetViews>
    <sheetView zoomScaleNormal="100" workbookViewId="0">
      <pane ySplit="2" topLeftCell="A3" activePane="bottomLeft" state="frozen"/>
      <selection activeCell="C31" sqref="C31"/>
      <selection pane="bottomLeft" activeCell="C21" sqref="C21"/>
    </sheetView>
  </sheetViews>
  <sheetFormatPr defaultColWidth="60.5703125" defaultRowHeight="15" x14ac:dyDescent="0.25"/>
  <cols>
    <col min="1" max="1" width="9.7109375" customWidth="1"/>
    <col min="2" max="2" width="23.85546875" bestFit="1" customWidth="1"/>
    <col min="3" max="3" width="34.7109375" customWidth="1"/>
    <col min="4" max="4" width="50.85546875" customWidth="1"/>
    <col min="5" max="5" width="73.7109375" customWidth="1"/>
    <col min="6" max="6" width="8.42578125" style="39" bestFit="1" customWidth="1"/>
    <col min="7" max="7" width="7.42578125" bestFit="1" customWidth="1"/>
    <col min="8" max="8" width="8.28515625" bestFit="1" customWidth="1"/>
    <col min="9" max="9" width="11.5703125" bestFit="1" customWidth="1"/>
    <col min="10" max="10" width="12.140625" bestFit="1" customWidth="1"/>
    <col min="11" max="11" width="11.5703125" bestFit="1" customWidth="1"/>
    <col min="12" max="12" width="10.85546875" bestFit="1" customWidth="1"/>
    <col min="13" max="13" width="6.42578125" bestFit="1" customWidth="1"/>
  </cols>
  <sheetData>
    <row r="1" spans="1:14" x14ac:dyDescent="0.25">
      <c r="A1" s="50"/>
      <c r="B1" s="24"/>
      <c r="C1" s="24"/>
      <c r="D1" s="23"/>
      <c r="E1" s="23"/>
      <c r="F1" s="116">
        <f>SUM(F3:F11)</f>
        <v>266</v>
      </c>
      <c r="G1" s="104">
        <f>F1/8</f>
        <v>33.25</v>
      </c>
      <c r="H1" s="104"/>
      <c r="I1" s="105">
        <f>SUBTOTAL(9,I3:I11)</f>
        <v>33.25</v>
      </c>
      <c r="J1" s="105">
        <f>SUBTOTAL(9,J3:J11)</f>
        <v>46.55</v>
      </c>
      <c r="M1" s="11"/>
      <c r="N1" s="11"/>
    </row>
    <row r="2" spans="1:14" s="1" customFormat="1" ht="30" x14ac:dyDescent="0.25">
      <c r="A2" s="49" t="s">
        <v>0</v>
      </c>
      <c r="B2" s="78" t="s">
        <v>1</v>
      </c>
      <c r="C2" s="78" t="s">
        <v>2</v>
      </c>
      <c r="D2" s="58" t="s">
        <v>45</v>
      </c>
      <c r="E2" s="58" t="s">
        <v>76</v>
      </c>
      <c r="F2" s="58" t="s">
        <v>63</v>
      </c>
      <c r="G2" s="79" t="s">
        <v>50</v>
      </c>
      <c r="H2" s="79" t="s">
        <v>3</v>
      </c>
      <c r="I2" s="79" t="s">
        <v>4</v>
      </c>
      <c r="J2" s="80" t="s">
        <v>5</v>
      </c>
    </row>
    <row r="3" spans="1:14" s="7" customFormat="1" ht="30" x14ac:dyDescent="0.25">
      <c r="A3" s="130"/>
      <c r="B3" s="22" t="s">
        <v>53</v>
      </c>
      <c r="C3" s="22" t="s">
        <v>54</v>
      </c>
      <c r="D3" s="22" t="s">
        <v>84</v>
      </c>
      <c r="E3" s="72" t="s">
        <v>66</v>
      </c>
      <c r="F3" s="109">
        <v>6</v>
      </c>
      <c r="G3" s="106">
        <f t="shared" ref="G3:G9" si="0">F3/8</f>
        <v>0.75</v>
      </c>
      <c r="H3" s="110"/>
      <c r="I3" s="111">
        <f t="shared" ref="I3:I9" si="1">IF(ISBLANK(H3),G3,H3)</f>
        <v>0.75</v>
      </c>
      <c r="J3" s="111">
        <f>I3*(1+Total!$E$9)</f>
        <v>1.0499999999999998</v>
      </c>
    </row>
    <row r="4" spans="1:14" s="7" customFormat="1" ht="30" x14ac:dyDescent="0.25">
      <c r="A4" s="130"/>
      <c r="B4" s="22" t="s">
        <v>53</v>
      </c>
      <c r="C4" s="22" t="s">
        <v>55</v>
      </c>
      <c r="D4" s="72" t="s">
        <v>56</v>
      </c>
      <c r="E4" s="72" t="s">
        <v>68</v>
      </c>
      <c r="F4" s="109">
        <v>24</v>
      </c>
      <c r="G4" s="106">
        <f t="shared" si="0"/>
        <v>3</v>
      </c>
      <c r="H4" s="110"/>
      <c r="I4" s="111">
        <f t="shared" si="1"/>
        <v>3</v>
      </c>
      <c r="J4" s="111">
        <f>I4*(1+Total!$E$9)</f>
        <v>4.1999999999999993</v>
      </c>
    </row>
    <row r="5" spans="1:14" s="7" customFormat="1" ht="15" customHeight="1" x14ac:dyDescent="0.25">
      <c r="A5" s="131"/>
      <c r="B5" s="22" t="s">
        <v>53</v>
      </c>
      <c r="C5" s="22" t="s">
        <v>57</v>
      </c>
      <c r="D5" s="112" t="s">
        <v>58</v>
      </c>
      <c r="E5" s="72" t="s">
        <v>67</v>
      </c>
      <c r="F5" s="109">
        <v>6</v>
      </c>
      <c r="G5" s="106">
        <f t="shared" si="0"/>
        <v>0.75</v>
      </c>
      <c r="H5" s="110"/>
      <c r="I5" s="111">
        <f t="shared" si="1"/>
        <v>0.75</v>
      </c>
      <c r="J5" s="111">
        <f>I5*(1+Total!$E$9)</f>
        <v>1.0499999999999998</v>
      </c>
    </row>
    <row r="6" spans="1:14" s="7" customFormat="1" x14ac:dyDescent="0.25">
      <c r="A6" s="131"/>
      <c r="B6" s="22" t="s">
        <v>53</v>
      </c>
      <c r="C6" s="22" t="s">
        <v>59</v>
      </c>
      <c r="D6" s="22" t="s">
        <v>77</v>
      </c>
      <c r="E6" s="72" t="s">
        <v>80</v>
      </c>
      <c r="F6" s="106">
        <v>24</v>
      </c>
      <c r="G6" s="106">
        <f t="shared" si="0"/>
        <v>3</v>
      </c>
      <c r="H6" s="107"/>
      <c r="I6" s="108">
        <f t="shared" si="1"/>
        <v>3</v>
      </c>
      <c r="J6" s="108">
        <f>I6*(1+Total!$E$9)</f>
        <v>4.1999999999999993</v>
      </c>
    </row>
    <row r="7" spans="1:14" s="7" customFormat="1" ht="45" x14ac:dyDescent="0.25">
      <c r="A7" s="131"/>
      <c r="B7" s="138" t="s">
        <v>60</v>
      </c>
      <c r="C7" s="22" t="s">
        <v>64</v>
      </c>
      <c r="D7" s="132" t="s">
        <v>74</v>
      </c>
      <c r="E7" s="72" t="s">
        <v>73</v>
      </c>
      <c r="F7" s="109">
        <v>80</v>
      </c>
      <c r="G7" s="106">
        <f t="shared" si="0"/>
        <v>10</v>
      </c>
      <c r="H7" s="110"/>
      <c r="I7" s="111">
        <f t="shared" si="1"/>
        <v>10</v>
      </c>
      <c r="J7" s="111">
        <f>I7*(1+Total!$E$9)</f>
        <v>14</v>
      </c>
    </row>
    <row r="8" spans="1:14" s="7" customFormat="1" ht="30" x14ac:dyDescent="0.25">
      <c r="A8" s="131"/>
      <c r="B8" s="138" t="s">
        <v>61</v>
      </c>
      <c r="C8" s="22" t="s">
        <v>65</v>
      </c>
      <c r="D8" s="132" t="s">
        <v>72</v>
      </c>
      <c r="E8" s="72" t="s">
        <v>73</v>
      </c>
      <c r="F8" s="106">
        <f>8*5</f>
        <v>40</v>
      </c>
      <c r="G8" s="106">
        <f t="shared" si="0"/>
        <v>5</v>
      </c>
      <c r="H8" s="107"/>
      <c r="I8" s="108">
        <f t="shared" si="1"/>
        <v>5</v>
      </c>
      <c r="J8" s="108">
        <f>I8*(1+Total!$E$9)</f>
        <v>7</v>
      </c>
    </row>
    <row r="9" spans="1:14" s="7" customFormat="1" ht="30" x14ac:dyDescent="0.25">
      <c r="A9" s="131"/>
      <c r="B9" s="22" t="s">
        <v>62</v>
      </c>
      <c r="C9" s="22" t="s">
        <v>64</v>
      </c>
      <c r="D9" s="132" t="s">
        <v>72</v>
      </c>
      <c r="E9" s="72" t="s">
        <v>73</v>
      </c>
      <c r="F9" s="106">
        <f>14*5</f>
        <v>70</v>
      </c>
      <c r="G9" s="106">
        <f t="shared" si="0"/>
        <v>8.75</v>
      </c>
      <c r="H9" s="107"/>
      <c r="I9" s="108">
        <f t="shared" si="1"/>
        <v>8.75</v>
      </c>
      <c r="J9" s="108">
        <f>I9*(1+Total!$E$9)</f>
        <v>12.25</v>
      </c>
    </row>
    <row r="10" spans="1:14" ht="30" x14ac:dyDescent="0.25">
      <c r="A10" s="133"/>
      <c r="B10" s="103" t="s">
        <v>69</v>
      </c>
      <c r="C10" s="134" t="s">
        <v>70</v>
      </c>
      <c r="D10" s="103" t="s">
        <v>75</v>
      </c>
      <c r="E10" s="135"/>
      <c r="F10" s="113">
        <v>8</v>
      </c>
      <c r="G10" s="113">
        <f>F10/8</f>
        <v>1</v>
      </c>
      <c r="H10" s="114"/>
      <c r="I10" s="115">
        <f>IF(ISBLANK(H10),G10,H10)</f>
        <v>1</v>
      </c>
      <c r="J10" s="115">
        <f>I10*(1+Total!$E$9)</f>
        <v>1.4</v>
      </c>
    </row>
    <row r="11" spans="1:14" ht="45" x14ac:dyDescent="0.25">
      <c r="A11" s="133"/>
      <c r="B11" s="103" t="s">
        <v>78</v>
      </c>
      <c r="C11" s="136" t="s">
        <v>79</v>
      </c>
      <c r="D11" s="103"/>
      <c r="E11" s="137"/>
      <c r="F11" s="120">
        <v>8</v>
      </c>
      <c r="G11" s="120">
        <f>F11/8</f>
        <v>1</v>
      </c>
      <c r="H11" s="121"/>
      <c r="I11" s="122">
        <f>IF(ISBLANK(H11),G11,H11)</f>
        <v>1</v>
      </c>
      <c r="J11" s="122">
        <f>I11*(1+Total!$E$9)</f>
        <v>1.4</v>
      </c>
    </row>
    <row r="13" spans="1:14" x14ac:dyDescent="0.25">
      <c r="E13" t="s">
        <v>82</v>
      </c>
    </row>
    <row r="14" spans="1:14" x14ac:dyDescent="0.25">
      <c r="E14" t="s">
        <v>83</v>
      </c>
    </row>
    <row r="15" spans="1:14" x14ac:dyDescent="0.25">
      <c r="E15" t="s">
        <v>85</v>
      </c>
    </row>
  </sheetData>
  <phoneticPr fontId="8" type="noConversion"/>
  <hyperlinks>
    <hyperlink ref="D5" r:id="rId1" xr:uid="{11AB593E-5ED7-4D21-85BF-57DBAA9D0B88}"/>
  </hyperlinks>
  <pageMargins left="0.7" right="0.7" top="0.75" bottom="0.75" header="0.3" footer="0.3"/>
  <pageSetup paperSize="8" orientation="landscape" r:id="rId2"/>
  <headerFooter>
    <oddHeader>&amp;C&amp;F</oddHeader>
  </headerFooter>
  <ignoredErrors>
    <ignoredError sqref="F8" formula="1"/>
  </ignoredErrors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E18"/>
  <sheetViews>
    <sheetView tabSelected="1" topLeftCell="B1" workbookViewId="0">
      <selection activeCell="I20" sqref="I20"/>
    </sheetView>
  </sheetViews>
  <sheetFormatPr defaultRowHeight="15" outlineLevelCol="1" x14ac:dyDescent="0.25"/>
  <cols>
    <col min="1" max="1" width="10.85546875" bestFit="1" customWidth="1"/>
    <col min="2" max="2" width="5.7109375" customWidth="1"/>
    <col min="3" max="3" width="7.28515625" bestFit="1" customWidth="1"/>
    <col min="12" max="12" width="11.7109375" hidden="1" customWidth="1"/>
    <col min="13" max="13" width="3.5703125" hidden="1" customWidth="1"/>
    <col min="14" max="14" width="7.5703125" hidden="1" customWidth="1"/>
    <col min="15" max="15" width="6.42578125" hidden="1" customWidth="1"/>
    <col min="16" max="16" width="7.28515625" hidden="1" customWidth="1"/>
    <col min="17" max="18" width="10.42578125" hidden="1" customWidth="1"/>
    <col min="19" max="20" width="13.42578125" bestFit="1" customWidth="1"/>
    <col min="21" max="21" width="0" hidden="1" customWidth="1"/>
    <col min="22" max="22" width="10" bestFit="1" customWidth="1"/>
    <col min="24" max="30" width="9.140625" hidden="1" customWidth="1" outlineLevel="1"/>
    <col min="31" max="31" width="9.140625" collapsed="1"/>
  </cols>
  <sheetData>
    <row r="1" spans="1:30" x14ac:dyDescent="0.25">
      <c r="D1" s="2" t="s">
        <v>6</v>
      </c>
      <c r="E1" s="39"/>
      <c r="F1" s="42">
        <f>Total!E4</f>
        <v>0</v>
      </c>
      <c r="G1" s="42">
        <f>Total!E5</f>
        <v>0.1</v>
      </c>
      <c r="H1" s="42">
        <f>Total!E6</f>
        <v>0.25</v>
      </c>
      <c r="I1" s="42">
        <f>Total!E7</f>
        <v>0</v>
      </c>
      <c r="J1" s="42">
        <f>Total!E8</f>
        <v>0.05</v>
      </c>
      <c r="K1" s="42">
        <f>Total!E10</f>
        <v>0.17</v>
      </c>
      <c r="L1" s="43">
        <f>SUM(F1:K1)</f>
        <v>0.56999999999999995</v>
      </c>
      <c r="M1" s="42"/>
    </row>
    <row r="2" spans="1:30" x14ac:dyDescent="0.25">
      <c r="E2" s="42">
        <f t="shared" ref="E2:J2" si="0">E4/$E$4</f>
        <v>1</v>
      </c>
      <c r="F2" s="42">
        <f t="shared" si="0"/>
        <v>0</v>
      </c>
      <c r="G2" s="42">
        <f t="shared" si="0"/>
        <v>0.1</v>
      </c>
      <c r="H2" s="42">
        <f t="shared" si="0"/>
        <v>0.25</v>
      </c>
      <c r="I2" s="42">
        <f t="shared" si="0"/>
        <v>0</v>
      </c>
      <c r="J2" s="42">
        <f t="shared" si="0"/>
        <v>0.05</v>
      </c>
      <c r="K2" s="42">
        <f>K4/SUM(E4:J4)</f>
        <v>0.17</v>
      </c>
      <c r="L2" s="43">
        <f>SUM(F2:K2)</f>
        <v>0.56999999999999995</v>
      </c>
      <c r="M2" s="42"/>
    </row>
    <row r="3" spans="1:30" x14ac:dyDescent="0.25">
      <c r="E3" s="37" t="s">
        <v>7</v>
      </c>
      <c r="F3" s="40" t="s">
        <v>8</v>
      </c>
      <c r="G3" s="40" t="s">
        <v>9</v>
      </c>
      <c r="H3" s="40" t="s">
        <v>10</v>
      </c>
      <c r="I3" s="40" t="s">
        <v>11</v>
      </c>
      <c r="J3" s="40" t="s">
        <v>12</v>
      </c>
      <c r="K3" s="40" t="s">
        <v>13</v>
      </c>
      <c r="L3" s="41"/>
      <c r="M3" s="41" t="s">
        <v>14</v>
      </c>
      <c r="S3">
        <f>0.33/8</f>
        <v>4.1250000000000002E-2</v>
      </c>
      <c r="T3">
        <f>6/8</f>
        <v>0.75</v>
      </c>
    </row>
    <row r="4" spans="1:30" x14ac:dyDescent="0.25">
      <c r="D4" s="2" t="s">
        <v>46</v>
      </c>
      <c r="E4" s="44">
        <f>Total!F3</f>
        <v>33.25</v>
      </c>
      <c r="F4" s="44">
        <f>Total!F4</f>
        <v>0</v>
      </c>
      <c r="G4" s="44">
        <f>Total!F5</f>
        <v>3.3250000000000002</v>
      </c>
      <c r="H4" s="44">
        <f>Total!F6</f>
        <v>8.3125</v>
      </c>
      <c r="I4" s="44">
        <f>Total!F7</f>
        <v>0</v>
      </c>
      <c r="J4" s="44">
        <f>Total!F8</f>
        <v>1.6625000000000001</v>
      </c>
      <c r="K4" s="44">
        <f>Total!F10</f>
        <v>7.9135000000000009</v>
      </c>
      <c r="L4" s="39">
        <f>SUM(E4:K4)</f>
        <v>54.463500000000003</v>
      </c>
      <c r="M4" s="45">
        <v>0</v>
      </c>
    </row>
    <row r="5" spans="1:30" x14ac:dyDescent="0.25">
      <c r="D5" s="2" t="s">
        <v>47</v>
      </c>
      <c r="E5" s="37">
        <f t="shared" ref="E5:K5" si="1">SUM(E8:E18)</f>
        <v>33</v>
      </c>
      <c r="F5" s="37">
        <f t="shared" si="1"/>
        <v>0</v>
      </c>
      <c r="G5" s="37">
        <f t="shared" si="1"/>
        <v>3</v>
      </c>
      <c r="H5" s="37">
        <f t="shared" si="1"/>
        <v>8</v>
      </c>
      <c r="I5" s="37">
        <f t="shared" si="1"/>
        <v>0</v>
      </c>
      <c r="J5" s="37">
        <f t="shared" si="1"/>
        <v>2</v>
      </c>
      <c r="K5" s="37">
        <f t="shared" si="1"/>
        <v>8</v>
      </c>
      <c r="L5" s="39">
        <f>SUM(E5:K5)</f>
        <v>54</v>
      </c>
      <c r="M5" s="37">
        <f>SUM(M8:M18)</f>
        <v>0</v>
      </c>
      <c r="N5" s="56">
        <f>SUM(N8:N18)</f>
        <v>0</v>
      </c>
      <c r="O5" s="56">
        <f>SUM(O8:O18)</f>
        <v>0</v>
      </c>
      <c r="S5" s="53">
        <f>SUM(S8:S18)</f>
        <v>1.8974999999999997</v>
      </c>
      <c r="T5" s="56">
        <f>SUM(T8:T18)</f>
        <v>3.1875</v>
      </c>
    </row>
    <row r="6" spans="1:30" x14ac:dyDescent="0.25">
      <c r="E6" s="46">
        <f>E5/$E$5</f>
        <v>1</v>
      </c>
      <c r="F6" s="71">
        <f>F5/$E$5</f>
        <v>0</v>
      </c>
      <c r="G6" s="71">
        <f t="shared" ref="G6:J6" si="2">G5/$E$5</f>
        <v>9.0909090909090912E-2</v>
      </c>
      <c r="H6" s="71">
        <f>H5/$E$5</f>
        <v>0.24242424242424243</v>
      </c>
      <c r="I6" s="71">
        <f t="shared" si="2"/>
        <v>0</v>
      </c>
      <c r="J6" s="71">
        <f t="shared" si="2"/>
        <v>6.0606060606060608E-2</v>
      </c>
      <c r="K6" s="71">
        <f>K5/SUM(E5:J5)</f>
        <v>0.17391304347826086</v>
      </c>
      <c r="L6" s="39">
        <f>L4-L5</f>
        <v>0.46350000000000335</v>
      </c>
      <c r="M6" s="45">
        <f>M4-M5</f>
        <v>0</v>
      </c>
      <c r="P6" s="56"/>
    </row>
    <row r="7" spans="1:30" x14ac:dyDescent="0.25">
      <c r="E7" s="18" t="s">
        <v>7</v>
      </c>
      <c r="F7" s="18" t="s">
        <v>8</v>
      </c>
      <c r="G7" s="18" t="s">
        <v>9</v>
      </c>
      <c r="H7" s="18" t="s">
        <v>10</v>
      </c>
      <c r="I7" s="18" t="s">
        <v>11</v>
      </c>
      <c r="J7" s="18" t="s">
        <v>12</v>
      </c>
      <c r="K7" s="40" t="s">
        <v>13</v>
      </c>
      <c r="L7" s="12"/>
      <c r="M7" s="61" t="s">
        <v>14</v>
      </c>
      <c r="N7" s="54" t="s">
        <v>15</v>
      </c>
      <c r="O7" s="67" t="s">
        <v>16</v>
      </c>
      <c r="P7" s="64"/>
      <c r="Q7" s="37" t="s">
        <v>48</v>
      </c>
      <c r="R7" s="38"/>
      <c r="S7" s="74" t="s">
        <v>51</v>
      </c>
      <c r="T7" s="76" t="s">
        <v>52</v>
      </c>
      <c r="V7" s="63" t="s">
        <v>17</v>
      </c>
      <c r="X7" s="57" t="s">
        <v>7</v>
      </c>
      <c r="Y7" s="57" t="s">
        <v>8</v>
      </c>
      <c r="Z7" s="57" t="s">
        <v>9</v>
      </c>
      <c r="AA7" s="57" t="s">
        <v>10</v>
      </c>
      <c r="AB7" s="57" t="s">
        <v>11</v>
      </c>
      <c r="AC7" s="57" t="s">
        <v>12</v>
      </c>
      <c r="AD7" s="61" t="s">
        <v>18</v>
      </c>
    </row>
    <row r="8" spans="1:30" x14ac:dyDescent="0.25">
      <c r="A8" s="27">
        <v>43759</v>
      </c>
      <c r="B8" s="15">
        <f>SUM(E8:J8)</f>
        <v>5</v>
      </c>
      <c r="C8" s="119">
        <v>44621</v>
      </c>
      <c r="D8" s="15" t="s">
        <v>19</v>
      </c>
      <c r="E8" s="37">
        <v>4</v>
      </c>
      <c r="F8" s="37"/>
      <c r="G8" s="37">
        <v>0.5</v>
      </c>
      <c r="H8" s="37">
        <v>0.5</v>
      </c>
      <c r="I8" s="37"/>
      <c r="J8" s="37"/>
      <c r="K8" s="70"/>
      <c r="L8" s="38"/>
      <c r="M8" s="62"/>
      <c r="N8" s="55"/>
      <c r="O8" s="68"/>
      <c r="P8" s="65"/>
      <c r="Q8" s="37">
        <f>SUM(E8:J8)/5+SUM(M8:O8)/5</f>
        <v>1</v>
      </c>
      <c r="R8" s="38"/>
      <c r="S8" s="75">
        <f>Q8*5*$S$3</f>
        <v>0.20625000000000002</v>
      </c>
      <c r="T8" s="77"/>
      <c r="V8" s="69">
        <f>Q8+SUM(S8:T8)/5</f>
        <v>1.04125</v>
      </c>
      <c r="X8" s="62">
        <f t="shared" ref="X8" si="3">E8/5</f>
        <v>0.8</v>
      </c>
      <c r="Y8" s="62">
        <f t="shared" ref="Y8" si="4">F8/5</f>
        <v>0</v>
      </c>
      <c r="Z8" s="62">
        <f t="shared" ref="Z8" si="5">G8/5</f>
        <v>0.1</v>
      </c>
      <c r="AA8" s="62">
        <f t="shared" ref="AA8" si="6">H8/5</f>
        <v>0.1</v>
      </c>
      <c r="AB8" s="62">
        <f t="shared" ref="AB8" si="7">I8/5</f>
        <v>0</v>
      </c>
      <c r="AC8" s="62">
        <f t="shared" ref="AC8" si="8">J8/5</f>
        <v>0</v>
      </c>
      <c r="AD8" s="62">
        <f t="shared" ref="AD8" si="9">K8/5</f>
        <v>0</v>
      </c>
    </row>
    <row r="9" spans="1:30" x14ac:dyDescent="0.25">
      <c r="A9" s="27">
        <f>A8+7</f>
        <v>43766</v>
      </c>
      <c r="B9" s="15">
        <f t="shared" ref="B9:B18" si="10">SUM(E9:J9)</f>
        <v>6.5</v>
      </c>
      <c r="C9" s="119">
        <f>C8+7</f>
        <v>44628</v>
      </c>
      <c r="D9" s="28" t="s">
        <v>20</v>
      </c>
      <c r="E9" s="37">
        <v>5</v>
      </c>
      <c r="F9" s="37"/>
      <c r="G9" s="37">
        <v>0.5</v>
      </c>
      <c r="H9" s="37">
        <v>1</v>
      </c>
      <c r="J9" s="37"/>
      <c r="K9" s="70"/>
      <c r="L9" s="38"/>
      <c r="M9" s="62"/>
      <c r="N9" s="55"/>
      <c r="O9" s="68"/>
      <c r="P9" s="65"/>
      <c r="Q9" s="37">
        <f>SUM(E9:J9)/5+SUM(M9:O9)/5</f>
        <v>1.3</v>
      </c>
      <c r="R9" s="38"/>
      <c r="S9" s="75">
        <f t="shared" ref="S9:S18" si="11">Q9*5*$S$3</f>
        <v>0.268125</v>
      </c>
      <c r="T9" s="15"/>
      <c r="V9" s="69">
        <f t="shared" ref="V9:V18" si="12">Q9+SUM(S9:T9)/5</f>
        <v>1.3536250000000001</v>
      </c>
      <c r="X9" s="62">
        <f t="shared" ref="X9:X18" si="13">E9/5</f>
        <v>1</v>
      </c>
      <c r="Y9" s="62">
        <f t="shared" ref="Y9:Y18" si="14">F9/5</f>
        <v>0</v>
      </c>
      <c r="Z9" s="62">
        <f t="shared" ref="Z9:Z18" si="15">G9/5</f>
        <v>0.1</v>
      </c>
      <c r="AA9" s="62">
        <f t="shared" ref="AA9:AA18" si="16">H9/5</f>
        <v>0.2</v>
      </c>
      <c r="AB9" s="62">
        <f t="shared" ref="AB9:AB18" si="17">I9/5</f>
        <v>0</v>
      </c>
      <c r="AC9" s="62">
        <f t="shared" ref="AC9:AC18" si="18">J9/5</f>
        <v>0</v>
      </c>
      <c r="AD9" s="62">
        <f t="shared" ref="AD9:AD18" si="19">K9/5</f>
        <v>0</v>
      </c>
    </row>
    <row r="10" spans="1:30" x14ac:dyDescent="0.25">
      <c r="A10" s="27">
        <f t="shared" ref="A10:A18" si="20">A9+7</f>
        <v>43773</v>
      </c>
      <c r="B10" s="15">
        <f t="shared" si="10"/>
        <v>6.25</v>
      </c>
      <c r="C10" s="119">
        <f t="shared" ref="C10:C18" si="21">C9+7</f>
        <v>44635</v>
      </c>
      <c r="D10" s="28" t="s">
        <v>21</v>
      </c>
      <c r="E10" s="37">
        <v>5</v>
      </c>
      <c r="F10" s="37"/>
      <c r="G10" s="37">
        <v>0.25</v>
      </c>
      <c r="H10" s="37">
        <v>1</v>
      </c>
      <c r="I10" s="37"/>
      <c r="J10" s="37"/>
      <c r="K10" s="70"/>
      <c r="L10" s="38"/>
      <c r="M10" s="66"/>
      <c r="N10" s="55"/>
      <c r="O10" s="68"/>
      <c r="P10" s="65"/>
      <c r="Q10" s="37">
        <f t="shared" ref="Q10:Q18" si="22">SUM(E10:J10)/5+SUM(M10:O10)/5</f>
        <v>1.25</v>
      </c>
      <c r="R10" s="38"/>
      <c r="S10" s="75">
        <f t="shared" si="11"/>
        <v>0.2578125</v>
      </c>
      <c r="T10" s="77">
        <f>Q9*$T$3</f>
        <v>0.97500000000000009</v>
      </c>
      <c r="V10" s="69">
        <f>Q10+SUM(S10:T10)/5</f>
        <v>1.4965625</v>
      </c>
      <c r="X10" s="62">
        <f t="shared" si="13"/>
        <v>1</v>
      </c>
      <c r="Y10" s="62">
        <f t="shared" si="14"/>
        <v>0</v>
      </c>
      <c r="Z10" s="62">
        <f t="shared" si="15"/>
        <v>0.05</v>
      </c>
      <c r="AA10" s="62">
        <f t="shared" si="16"/>
        <v>0.2</v>
      </c>
      <c r="AB10" s="62">
        <f t="shared" si="17"/>
        <v>0</v>
      </c>
      <c r="AC10" s="62">
        <f t="shared" si="18"/>
        <v>0</v>
      </c>
      <c r="AD10" s="62">
        <f t="shared" si="19"/>
        <v>0</v>
      </c>
    </row>
    <row r="11" spans="1:30" x14ac:dyDescent="0.25">
      <c r="A11" s="27">
        <f t="shared" si="20"/>
        <v>43780</v>
      </c>
      <c r="B11" s="15">
        <f t="shared" si="10"/>
        <v>6.5</v>
      </c>
      <c r="C11" s="119">
        <f t="shared" si="21"/>
        <v>44642</v>
      </c>
      <c r="D11" s="29" t="s">
        <v>22</v>
      </c>
      <c r="E11" s="37">
        <v>5</v>
      </c>
      <c r="F11" s="37"/>
      <c r="G11" s="37">
        <v>0.5</v>
      </c>
      <c r="H11" s="37">
        <v>1</v>
      </c>
      <c r="J11" s="37"/>
      <c r="K11" s="70"/>
      <c r="L11" s="38"/>
      <c r="M11" s="62"/>
      <c r="N11" s="55"/>
      <c r="O11" s="68"/>
      <c r="P11" s="65"/>
      <c r="Q11" s="37">
        <f t="shared" si="22"/>
        <v>1.3</v>
      </c>
      <c r="R11" s="38"/>
      <c r="S11" s="75">
        <f t="shared" si="11"/>
        <v>0.268125</v>
      </c>
      <c r="T11" s="15"/>
      <c r="V11" s="69">
        <f>Q11+SUM(S11:T11)/5</f>
        <v>1.3536250000000001</v>
      </c>
      <c r="X11" s="62">
        <f t="shared" si="13"/>
        <v>1</v>
      </c>
      <c r="Y11" s="62">
        <f t="shared" si="14"/>
        <v>0</v>
      </c>
      <c r="Z11" s="62">
        <f t="shared" si="15"/>
        <v>0.1</v>
      </c>
      <c r="AA11" s="62">
        <f t="shared" si="16"/>
        <v>0.2</v>
      </c>
      <c r="AB11" s="62">
        <f t="shared" si="17"/>
        <v>0</v>
      </c>
      <c r="AC11" s="62">
        <f t="shared" si="18"/>
        <v>0</v>
      </c>
      <c r="AD11" s="62">
        <f t="shared" si="19"/>
        <v>0</v>
      </c>
    </row>
    <row r="12" spans="1:30" x14ac:dyDescent="0.25">
      <c r="A12" s="27">
        <f t="shared" si="20"/>
        <v>43787</v>
      </c>
      <c r="B12" s="15">
        <f t="shared" si="10"/>
        <v>6.25</v>
      </c>
      <c r="C12" s="119">
        <f t="shared" si="21"/>
        <v>44649</v>
      </c>
      <c r="D12" s="29" t="s">
        <v>23</v>
      </c>
      <c r="E12" s="37">
        <v>5</v>
      </c>
      <c r="F12" s="37"/>
      <c r="G12" s="37">
        <v>0.25</v>
      </c>
      <c r="H12" s="37">
        <v>1</v>
      </c>
      <c r="I12" s="37"/>
      <c r="J12" s="37"/>
      <c r="K12" s="70"/>
      <c r="L12" s="38"/>
      <c r="M12" s="66"/>
      <c r="N12" s="55"/>
      <c r="O12" s="68"/>
      <c r="P12" s="65"/>
      <c r="Q12" s="37">
        <f t="shared" si="22"/>
        <v>1.25</v>
      </c>
      <c r="R12" s="38"/>
      <c r="S12" s="75">
        <f t="shared" si="11"/>
        <v>0.2578125</v>
      </c>
      <c r="T12" s="77">
        <f>Q12*$T$3</f>
        <v>0.9375</v>
      </c>
      <c r="V12" s="69">
        <f>Q12+SUM(S12:T12)/5</f>
        <v>1.4890625</v>
      </c>
      <c r="X12" s="62">
        <f t="shared" si="13"/>
        <v>1</v>
      </c>
      <c r="Y12" s="62">
        <f t="shared" si="14"/>
        <v>0</v>
      </c>
      <c r="Z12" s="62">
        <f t="shared" si="15"/>
        <v>0.05</v>
      </c>
      <c r="AA12" s="62">
        <f t="shared" si="16"/>
        <v>0.2</v>
      </c>
      <c r="AB12" s="62">
        <f t="shared" si="17"/>
        <v>0</v>
      </c>
      <c r="AC12" s="62">
        <f t="shared" si="18"/>
        <v>0</v>
      </c>
      <c r="AD12" s="62">
        <f t="shared" si="19"/>
        <v>0</v>
      </c>
    </row>
    <row r="13" spans="1:30" x14ac:dyDescent="0.25">
      <c r="A13" s="27">
        <f t="shared" si="20"/>
        <v>43794</v>
      </c>
      <c r="B13" s="15">
        <f t="shared" si="10"/>
        <v>5.5</v>
      </c>
      <c r="C13" s="119">
        <f t="shared" si="21"/>
        <v>44656</v>
      </c>
      <c r="D13" s="28" t="s">
        <v>24</v>
      </c>
      <c r="E13" s="37">
        <v>4</v>
      </c>
      <c r="G13" s="37">
        <v>0.5</v>
      </c>
      <c r="H13" s="37">
        <v>1</v>
      </c>
      <c r="I13" s="37"/>
      <c r="K13" s="70">
        <v>1</v>
      </c>
      <c r="L13" s="38"/>
      <c r="M13" s="62"/>
      <c r="N13" s="55"/>
      <c r="O13" s="68"/>
      <c r="P13" s="65"/>
      <c r="Q13" s="37">
        <f t="shared" si="22"/>
        <v>1.1000000000000001</v>
      </c>
      <c r="R13" s="38"/>
      <c r="S13" s="75">
        <f t="shared" si="11"/>
        <v>0.22687500000000002</v>
      </c>
      <c r="T13" s="77"/>
      <c r="V13" s="69">
        <f t="shared" si="12"/>
        <v>1.145375</v>
      </c>
      <c r="X13" s="62">
        <f t="shared" si="13"/>
        <v>0.8</v>
      </c>
      <c r="Y13" s="62">
        <f t="shared" si="14"/>
        <v>0</v>
      </c>
      <c r="Z13" s="62">
        <f t="shared" si="15"/>
        <v>0.1</v>
      </c>
      <c r="AA13" s="62">
        <f t="shared" si="16"/>
        <v>0.2</v>
      </c>
      <c r="AB13" s="62">
        <f t="shared" si="17"/>
        <v>0</v>
      </c>
      <c r="AC13" s="62">
        <f t="shared" si="18"/>
        <v>0</v>
      </c>
      <c r="AD13" s="62">
        <f t="shared" si="19"/>
        <v>0.2</v>
      </c>
    </row>
    <row r="14" spans="1:30" x14ac:dyDescent="0.25">
      <c r="A14" s="27">
        <f t="shared" si="20"/>
        <v>43801</v>
      </c>
      <c r="B14" s="15">
        <f>SUM(E14:J14)</f>
        <v>5.25</v>
      </c>
      <c r="C14" s="119">
        <f t="shared" si="21"/>
        <v>44663</v>
      </c>
      <c r="D14" s="28" t="s">
        <v>25</v>
      </c>
      <c r="E14" s="37">
        <v>3</v>
      </c>
      <c r="F14" s="37"/>
      <c r="G14" s="37">
        <v>0.25</v>
      </c>
      <c r="H14" s="37">
        <v>1</v>
      </c>
      <c r="I14" s="37"/>
      <c r="J14" s="37">
        <v>1</v>
      </c>
      <c r="K14" s="70">
        <v>2</v>
      </c>
      <c r="L14" s="38"/>
      <c r="M14" s="66"/>
      <c r="N14" s="55"/>
      <c r="O14" s="68"/>
      <c r="P14" s="65"/>
      <c r="Q14" s="37">
        <f>SUM(E14:J14)/5+SUM(M14:O14)/5</f>
        <v>1.05</v>
      </c>
      <c r="R14" s="38"/>
      <c r="S14" s="75">
        <f t="shared" si="11"/>
        <v>0.21656250000000002</v>
      </c>
      <c r="T14" s="77">
        <f>Q14*$T$3</f>
        <v>0.78750000000000009</v>
      </c>
      <c r="V14" s="69">
        <f t="shared" si="12"/>
        <v>1.2508125000000001</v>
      </c>
      <c r="X14" s="62">
        <f t="shared" si="13"/>
        <v>0.6</v>
      </c>
      <c r="Y14" s="62">
        <f t="shared" si="14"/>
        <v>0</v>
      </c>
      <c r="Z14" s="62">
        <f t="shared" si="15"/>
        <v>0.05</v>
      </c>
      <c r="AA14" s="62">
        <f t="shared" si="16"/>
        <v>0.2</v>
      </c>
      <c r="AB14" s="62">
        <f t="shared" si="17"/>
        <v>0</v>
      </c>
      <c r="AC14" s="62">
        <f t="shared" si="18"/>
        <v>0.2</v>
      </c>
      <c r="AD14" s="62">
        <f t="shared" si="19"/>
        <v>0.4</v>
      </c>
    </row>
    <row r="15" spans="1:30" x14ac:dyDescent="0.25">
      <c r="A15" s="27">
        <f t="shared" si="20"/>
        <v>43808</v>
      </c>
      <c r="B15" s="15">
        <f t="shared" si="10"/>
        <v>3.25</v>
      </c>
      <c r="C15" s="119">
        <f t="shared" si="21"/>
        <v>44670</v>
      </c>
      <c r="D15" s="15" t="s">
        <v>26</v>
      </c>
      <c r="E15" s="37">
        <v>1</v>
      </c>
      <c r="F15" s="37"/>
      <c r="G15" s="37">
        <v>0.25</v>
      </c>
      <c r="H15" s="37">
        <v>1</v>
      </c>
      <c r="I15" s="37"/>
      <c r="J15" s="37">
        <v>1</v>
      </c>
      <c r="K15" s="70">
        <v>4</v>
      </c>
      <c r="L15" s="38"/>
      <c r="M15" s="62"/>
      <c r="N15" s="55"/>
      <c r="O15" s="68"/>
      <c r="P15" s="65"/>
      <c r="Q15" s="37">
        <f t="shared" si="22"/>
        <v>0.65</v>
      </c>
      <c r="R15" s="38"/>
      <c r="S15" s="75">
        <f t="shared" si="11"/>
        <v>0.1340625</v>
      </c>
      <c r="T15" s="77">
        <f>Q15*$T$3</f>
        <v>0.48750000000000004</v>
      </c>
      <c r="V15" s="69">
        <f t="shared" si="12"/>
        <v>0.77431250000000007</v>
      </c>
      <c r="X15" s="62">
        <f t="shared" si="13"/>
        <v>0.2</v>
      </c>
      <c r="Y15" s="62">
        <f t="shared" si="14"/>
        <v>0</v>
      </c>
      <c r="Z15" s="62">
        <f t="shared" si="15"/>
        <v>0.05</v>
      </c>
      <c r="AA15" s="62">
        <f t="shared" si="16"/>
        <v>0.2</v>
      </c>
      <c r="AB15" s="62">
        <f t="shared" si="17"/>
        <v>0</v>
      </c>
      <c r="AC15" s="62">
        <f t="shared" si="18"/>
        <v>0.2</v>
      </c>
      <c r="AD15" s="62">
        <f t="shared" si="19"/>
        <v>0.8</v>
      </c>
    </row>
    <row r="16" spans="1:30" x14ac:dyDescent="0.25">
      <c r="A16" s="27">
        <f t="shared" si="20"/>
        <v>43815</v>
      </c>
      <c r="B16" s="15">
        <f t="shared" si="10"/>
        <v>1</v>
      </c>
      <c r="C16" s="119">
        <f t="shared" si="21"/>
        <v>44677</v>
      </c>
      <c r="D16" s="29" t="s">
        <v>27</v>
      </c>
      <c r="E16" s="37">
        <v>0.5</v>
      </c>
      <c r="F16" s="37"/>
      <c r="G16" s="37"/>
      <c r="H16" s="37">
        <v>0.5</v>
      </c>
      <c r="I16" s="37"/>
      <c r="J16" s="37"/>
      <c r="K16" s="70">
        <v>1</v>
      </c>
      <c r="L16" s="38"/>
      <c r="M16" s="66"/>
      <c r="N16" s="55"/>
      <c r="O16" s="68"/>
      <c r="P16" s="65"/>
      <c r="Q16" s="37">
        <f t="shared" si="22"/>
        <v>0.2</v>
      </c>
      <c r="R16" s="38"/>
      <c r="S16" s="75">
        <f t="shared" si="11"/>
        <v>4.1250000000000002E-2</v>
      </c>
      <c r="T16" s="77"/>
      <c r="V16" s="69">
        <f t="shared" si="12"/>
        <v>0.20825000000000002</v>
      </c>
      <c r="X16" s="62">
        <f t="shared" si="13"/>
        <v>0.1</v>
      </c>
      <c r="Y16" s="62">
        <f t="shared" si="14"/>
        <v>0</v>
      </c>
      <c r="Z16" s="62">
        <f t="shared" si="15"/>
        <v>0</v>
      </c>
      <c r="AA16" s="62">
        <f t="shared" si="16"/>
        <v>0.1</v>
      </c>
      <c r="AB16" s="62">
        <f t="shared" si="17"/>
        <v>0</v>
      </c>
      <c r="AC16" s="62">
        <f t="shared" si="18"/>
        <v>0</v>
      </c>
      <c r="AD16" s="62">
        <f t="shared" si="19"/>
        <v>0.2</v>
      </c>
    </row>
    <row r="17" spans="1:30" x14ac:dyDescent="0.25">
      <c r="A17" s="27">
        <f t="shared" si="20"/>
        <v>43822</v>
      </c>
      <c r="B17" s="15">
        <f t="shared" si="10"/>
        <v>0.5</v>
      </c>
      <c r="C17" s="119">
        <f t="shared" si="21"/>
        <v>44684</v>
      </c>
      <c r="D17" s="28" t="s">
        <v>81</v>
      </c>
      <c r="E17" s="37">
        <v>0.5</v>
      </c>
      <c r="F17" s="37"/>
      <c r="G17" s="37"/>
      <c r="H17" s="37"/>
      <c r="I17" s="37"/>
      <c r="J17" s="37"/>
      <c r="K17" s="70"/>
      <c r="L17" s="38"/>
      <c r="M17" s="62"/>
      <c r="N17" s="55"/>
      <c r="O17" s="68"/>
      <c r="P17" s="65"/>
      <c r="Q17" s="37">
        <f t="shared" si="22"/>
        <v>0.1</v>
      </c>
      <c r="R17" s="38"/>
      <c r="S17" s="75">
        <f t="shared" si="11"/>
        <v>2.0625000000000001E-2</v>
      </c>
      <c r="T17" s="77"/>
      <c r="V17" s="69">
        <f t="shared" si="12"/>
        <v>0.10412500000000001</v>
      </c>
      <c r="X17" s="62">
        <f t="shared" si="13"/>
        <v>0.1</v>
      </c>
      <c r="Y17" s="62">
        <f t="shared" si="14"/>
        <v>0</v>
      </c>
      <c r="Z17" s="62">
        <f t="shared" si="15"/>
        <v>0</v>
      </c>
      <c r="AA17" s="62">
        <f t="shared" si="16"/>
        <v>0</v>
      </c>
      <c r="AB17" s="62">
        <f t="shared" si="17"/>
        <v>0</v>
      </c>
      <c r="AC17" s="62">
        <f t="shared" si="18"/>
        <v>0</v>
      </c>
      <c r="AD17" s="62">
        <f t="shared" si="19"/>
        <v>0</v>
      </c>
    </row>
    <row r="18" spans="1:30" x14ac:dyDescent="0.25">
      <c r="A18" s="27">
        <f t="shared" si="20"/>
        <v>43829</v>
      </c>
      <c r="B18" s="15">
        <f t="shared" si="10"/>
        <v>0</v>
      </c>
      <c r="C18" s="119">
        <f t="shared" si="21"/>
        <v>44691</v>
      </c>
      <c r="D18" s="29" t="s">
        <v>28</v>
      </c>
      <c r="E18" s="37"/>
      <c r="F18" s="37"/>
      <c r="G18" s="37"/>
      <c r="H18" s="37"/>
      <c r="I18" s="37"/>
      <c r="J18" s="37"/>
      <c r="K18" s="70"/>
      <c r="L18" s="38"/>
      <c r="M18" s="66"/>
      <c r="N18" s="55"/>
      <c r="O18" s="68"/>
      <c r="P18" s="65"/>
      <c r="Q18" s="37">
        <f t="shared" si="22"/>
        <v>0</v>
      </c>
      <c r="R18" s="38"/>
      <c r="S18" s="75">
        <f t="shared" si="11"/>
        <v>0</v>
      </c>
      <c r="T18" s="77">
        <f>Q18*$T$3</f>
        <v>0</v>
      </c>
      <c r="V18" s="69">
        <f t="shared" si="12"/>
        <v>0</v>
      </c>
      <c r="X18" s="62">
        <f t="shared" si="13"/>
        <v>0</v>
      </c>
      <c r="Y18" s="62">
        <f t="shared" si="14"/>
        <v>0</v>
      </c>
      <c r="Z18" s="62">
        <f t="shared" si="15"/>
        <v>0</v>
      </c>
      <c r="AA18" s="62">
        <f t="shared" si="16"/>
        <v>0</v>
      </c>
      <c r="AB18" s="62">
        <f t="shared" si="17"/>
        <v>0</v>
      </c>
      <c r="AC18" s="62">
        <f t="shared" si="18"/>
        <v>0</v>
      </c>
      <c r="AD18" s="62">
        <f t="shared" si="19"/>
        <v>0</v>
      </c>
    </row>
  </sheetData>
  <pageMargins left="0.7" right="0.7" top="0.75" bottom="0.75" header="0.3" footer="0.3"/>
  <pageSetup paperSize="9" orientation="portrait" horizontalDpi="4294967295" verticalDpi="4294967295" r:id="rId1"/>
  <ignoredErrors>
    <ignoredError sqref="B8:B18" formulaRange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C1:L30"/>
  <sheetViews>
    <sheetView topLeftCell="A2" workbookViewId="0">
      <selection activeCell="E9" sqref="E9"/>
    </sheetView>
  </sheetViews>
  <sheetFormatPr defaultRowHeight="15" x14ac:dyDescent="0.25"/>
  <cols>
    <col min="5" max="5" width="12.28515625" bestFit="1" customWidth="1"/>
    <col min="6" max="6" width="10.28515625" bestFit="1" customWidth="1"/>
    <col min="7" max="7" width="13.140625" bestFit="1" customWidth="1"/>
    <col min="8" max="8" width="14.7109375" customWidth="1"/>
    <col min="9" max="9" width="11.5703125" bestFit="1" customWidth="1"/>
    <col min="10" max="10" width="12.28515625" bestFit="1" customWidth="1"/>
  </cols>
  <sheetData>
    <row r="1" spans="3:12" hidden="1" x14ac:dyDescent="0.25">
      <c r="E1" s="15">
        <v>1</v>
      </c>
    </row>
    <row r="2" spans="3:12" ht="15.75" thickBot="1" x14ac:dyDescent="0.3">
      <c r="D2" s="47" t="s">
        <v>30</v>
      </c>
      <c r="F2" s="51"/>
      <c r="G2" s="81" t="s">
        <v>47</v>
      </c>
    </row>
    <row r="3" spans="3:12" ht="15.75" thickBot="1" x14ac:dyDescent="0.3">
      <c r="D3" s="9" t="s">
        <v>31</v>
      </c>
      <c r="E3" s="21"/>
      <c r="F3" s="123">
        <f>SUM(Table1[Total Dev])</f>
        <v>33.25</v>
      </c>
      <c r="G3" s="99">
        <f>Planning!E5</f>
        <v>33</v>
      </c>
    </row>
    <row r="4" spans="3:12" x14ac:dyDescent="0.25">
      <c r="D4" s="10" t="s">
        <v>49</v>
      </c>
      <c r="E4" s="17">
        <v>0</v>
      </c>
      <c r="F4" s="123">
        <f t="shared" ref="F4:F8" si="0">F$3*$E4</f>
        <v>0</v>
      </c>
      <c r="G4" s="100">
        <f>Planning!F$5</f>
        <v>0</v>
      </c>
    </row>
    <row r="5" spans="3:12" x14ac:dyDescent="0.25">
      <c r="D5" s="10" t="s">
        <v>32</v>
      </c>
      <c r="E5" s="25">
        <v>0.1</v>
      </c>
      <c r="F5" s="124">
        <f t="shared" si="0"/>
        <v>3.3250000000000002</v>
      </c>
      <c r="G5" s="100">
        <f>Planning!G$5</f>
        <v>3</v>
      </c>
    </row>
    <row r="6" spans="3:12" x14ac:dyDescent="0.25">
      <c r="D6" s="10" t="s">
        <v>33</v>
      </c>
      <c r="E6" s="25">
        <v>0.25</v>
      </c>
      <c r="F6" s="124">
        <f t="shared" si="0"/>
        <v>8.3125</v>
      </c>
      <c r="G6" s="100">
        <f>Planning!H$5</f>
        <v>8</v>
      </c>
    </row>
    <row r="7" spans="3:12" x14ac:dyDescent="0.25">
      <c r="D7" s="10" t="s">
        <v>34</v>
      </c>
      <c r="E7" s="26">
        <v>0</v>
      </c>
      <c r="F7" s="124">
        <f t="shared" si="0"/>
        <v>0</v>
      </c>
      <c r="G7" s="100">
        <f>Planning!I$5</f>
        <v>0</v>
      </c>
    </row>
    <row r="8" spans="3:12" ht="15.75" thickBot="1" x14ac:dyDescent="0.3">
      <c r="D8" s="10" t="s">
        <v>35</v>
      </c>
      <c r="E8" s="25">
        <v>0.05</v>
      </c>
      <c r="F8" s="125">
        <f t="shared" si="0"/>
        <v>1.6625000000000001</v>
      </c>
      <c r="G8" s="101">
        <f>Planning!J$5</f>
        <v>2</v>
      </c>
    </row>
    <row r="9" spans="3:12" ht="15.75" thickBot="1" x14ac:dyDescent="0.3">
      <c r="D9" s="10" t="s">
        <v>36</v>
      </c>
      <c r="E9" s="16">
        <f>SUM(E4:E8)</f>
        <v>0.39999999999999997</v>
      </c>
      <c r="F9" s="126">
        <f>SUM(F3:F8)</f>
        <v>46.550000000000004</v>
      </c>
      <c r="G9" s="85"/>
    </row>
    <row r="10" spans="3:12" ht="15.75" thickBot="1" x14ac:dyDescent="0.3">
      <c r="D10" s="10" t="s">
        <v>37</v>
      </c>
      <c r="E10" s="60">
        <v>0.17</v>
      </c>
      <c r="F10" s="125">
        <f>SUM(F3:F8)*$E10</f>
        <v>7.9135000000000009</v>
      </c>
      <c r="G10" s="102">
        <f>SUM(G3:G8)*$E10</f>
        <v>7.82</v>
      </c>
    </row>
    <row r="11" spans="3:12" ht="15.75" thickBot="1" x14ac:dyDescent="0.3">
      <c r="D11" s="36" t="s">
        <v>14</v>
      </c>
      <c r="E11" s="4"/>
      <c r="F11" s="127"/>
      <c r="G11" s="81">
        <f>Planning!M5</f>
        <v>0</v>
      </c>
    </row>
    <row r="12" spans="3:12" ht="15.75" thickBot="1" x14ac:dyDescent="0.3">
      <c r="D12" s="82" t="s">
        <v>40</v>
      </c>
      <c r="E12" s="48"/>
      <c r="F12" s="128">
        <f>SUM(F9:F11)</f>
        <v>54.463500000000003</v>
      </c>
      <c r="G12" s="99">
        <f>SUM(G3:G11)</f>
        <v>53.82</v>
      </c>
      <c r="H12" s="83" t="s">
        <v>50</v>
      </c>
    </row>
    <row r="13" spans="3:12" x14ac:dyDescent="0.25">
      <c r="F13" s="8"/>
      <c r="G13" s="12"/>
    </row>
    <row r="14" spans="3:12" x14ac:dyDescent="0.25">
      <c r="C14" s="36"/>
      <c r="L14" s="6"/>
    </row>
    <row r="15" spans="3:12" ht="27.75" customHeight="1" x14ac:dyDescent="0.25">
      <c r="D15" s="3" t="s">
        <v>5</v>
      </c>
      <c r="E15" s="35"/>
      <c r="F15" s="129">
        <f>SUM(G3:G11)</f>
        <v>53.82</v>
      </c>
      <c r="G15" s="15"/>
      <c r="K15" s="1"/>
      <c r="L15" s="13"/>
    </row>
    <row r="16" spans="3:12" ht="27.75" customHeight="1" x14ac:dyDescent="0.25">
      <c r="D16" s="3" t="s">
        <v>38</v>
      </c>
      <c r="E16" s="30">
        <f>87.5*8</f>
        <v>700</v>
      </c>
      <c r="F16" s="14">
        <f>G3+G6</f>
        <v>41</v>
      </c>
      <c r="G16" s="32">
        <f>E16*F16</f>
        <v>28700</v>
      </c>
    </row>
    <row r="17" spans="4:10" x14ac:dyDescent="0.25">
      <c r="D17" s="3" t="s">
        <v>86</v>
      </c>
      <c r="E17" s="31">
        <f>95*8</f>
        <v>760</v>
      </c>
      <c r="F17" s="14">
        <f>G7+G8</f>
        <v>2</v>
      </c>
      <c r="G17" s="32">
        <f>E17*F17</f>
        <v>1520</v>
      </c>
    </row>
    <row r="18" spans="4:10" x14ac:dyDescent="0.25">
      <c r="D18" s="3" t="s">
        <v>39</v>
      </c>
      <c r="E18" s="31">
        <f>110*8</f>
        <v>880</v>
      </c>
      <c r="F18" s="14">
        <f>G4+G5</f>
        <v>3</v>
      </c>
      <c r="G18" s="32">
        <f t="shared" ref="G18:G19" si="1">E18*F18</f>
        <v>2640</v>
      </c>
    </row>
    <row r="19" spans="4:10" x14ac:dyDescent="0.25">
      <c r="D19" s="3" t="s">
        <v>71</v>
      </c>
      <c r="E19" s="117">
        <f>87.5*8</f>
        <v>700</v>
      </c>
      <c r="F19" s="118">
        <f>G10</f>
        <v>7.82</v>
      </c>
      <c r="G19" s="32">
        <f t="shared" si="1"/>
        <v>5474</v>
      </c>
    </row>
    <row r="20" spans="4:10" x14ac:dyDescent="0.25">
      <c r="D20" s="19" t="s">
        <v>40</v>
      </c>
      <c r="E20" s="20"/>
      <c r="F20" s="13"/>
      <c r="G20" s="33">
        <f>SUM(G16:G19)</f>
        <v>38334</v>
      </c>
    </row>
    <row r="21" spans="4:10" x14ac:dyDescent="0.25">
      <c r="D21" s="86" t="s">
        <v>41</v>
      </c>
      <c r="E21" s="87"/>
      <c r="F21" s="88"/>
      <c r="G21" s="89">
        <f>IF(F15&gt;0,G20/F15,0)</f>
        <v>712.26309921962093</v>
      </c>
    </row>
    <row r="22" spans="4:10" x14ac:dyDescent="0.25">
      <c r="D22" s="3"/>
      <c r="E22" s="5"/>
      <c r="F22" s="6"/>
      <c r="G22" s="34"/>
    </row>
    <row r="23" spans="4:10" x14ac:dyDescent="0.25">
      <c r="D23" s="3"/>
      <c r="E23" s="52"/>
      <c r="F23" s="56"/>
      <c r="G23" s="52"/>
    </row>
    <row r="24" spans="4:10" x14ac:dyDescent="0.25">
      <c r="D24" s="2" t="s">
        <v>15</v>
      </c>
      <c r="E24" s="90">
        <f>E16</f>
        <v>700</v>
      </c>
      <c r="F24" s="93">
        <v>0</v>
      </c>
      <c r="G24" s="96">
        <f>E24*F24</f>
        <v>0</v>
      </c>
    </row>
    <row r="25" spans="4:10" x14ac:dyDescent="0.25">
      <c r="D25" s="2" t="s">
        <v>42</v>
      </c>
      <c r="E25" s="91">
        <f>ROUND(G21,-1)</f>
        <v>710</v>
      </c>
      <c r="F25" s="94">
        <f>ROUND(SUM(Planning!S5:T5),0)</f>
        <v>5</v>
      </c>
      <c r="G25" s="32">
        <f t="shared" ref="G25:G28" si="2">E25*F25</f>
        <v>3550</v>
      </c>
    </row>
    <row r="26" spans="4:10" x14ac:dyDescent="0.25">
      <c r="D26" s="2" t="s">
        <v>16</v>
      </c>
      <c r="E26" s="91">
        <v>1066</v>
      </c>
      <c r="F26" s="94">
        <f>ROUND(SUM(Planning!O8:O18),0)</f>
        <v>0</v>
      </c>
      <c r="G26" s="32">
        <f t="shared" si="2"/>
        <v>0</v>
      </c>
    </row>
    <row r="27" spans="4:10" x14ac:dyDescent="0.25">
      <c r="D27" s="2" t="s">
        <v>43</v>
      </c>
      <c r="E27" s="91">
        <v>5550</v>
      </c>
      <c r="F27" s="94">
        <v>0</v>
      </c>
      <c r="G27" s="32">
        <f t="shared" si="2"/>
        <v>0</v>
      </c>
    </row>
    <row r="28" spans="4:10" x14ac:dyDescent="0.25">
      <c r="D28" s="2" t="s">
        <v>44</v>
      </c>
      <c r="E28" s="92">
        <v>850</v>
      </c>
      <c r="F28" s="95">
        <v>0</v>
      </c>
      <c r="G28" s="97">
        <f t="shared" si="2"/>
        <v>0</v>
      </c>
    </row>
    <row r="29" spans="4:10" ht="15.75" thickBot="1" x14ac:dyDescent="0.3"/>
    <row r="30" spans="4:10" s="1" customFormat="1" ht="15.75" thickBot="1" x14ac:dyDescent="0.3">
      <c r="D30" s="82" t="s">
        <v>29</v>
      </c>
      <c r="E30" s="48"/>
      <c r="F30" s="84">
        <f>SUM(F24:F28)+G12</f>
        <v>58.82</v>
      </c>
      <c r="G30" s="98">
        <f>G20+SUM(G23:G29)</f>
        <v>41884</v>
      </c>
      <c r="I30" s="59"/>
      <c r="J30" s="7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B8D908A386094EA8E46FFF7D2B1327" ma:contentTypeVersion="" ma:contentTypeDescription="Create a new document." ma:contentTypeScope="" ma:versionID="a9d0fcff1af47931a34e26b69dd08b07">
  <xsd:schema xmlns:xsd="http://www.w3.org/2001/XMLSchema" xmlns:xs="http://www.w3.org/2001/XMLSchema" xmlns:p="http://schemas.microsoft.com/office/2006/metadata/properties" xmlns:ns2="6892A917-9090-4F95-AA03-22BE75E4AC75" targetNamespace="http://schemas.microsoft.com/office/2006/metadata/properties" ma:root="true" ma:fieldsID="7007a6f936f952a1407ce45fd30350a1" ns2:_="">
    <xsd:import namespace="6892A917-9090-4F95-AA03-22BE75E4AC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92A917-9090-4F95-AA03-22BE75E4AC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C198AE-3EE0-4543-9E91-44BAF2A9256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D9449E6-8896-43FC-9F6A-E45AC1500E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92A917-9090-4F95-AA03-22BE75E4AC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AAE99F-B5DF-4660-B197-10CF81373C49}">
  <ds:schemaRefs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6892A917-9090-4F95-AA03-22BE75E4AC75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</vt:lpstr>
      <vt:lpstr>Planning</vt:lpstr>
      <vt:lpstr>Total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Janssens, Tania (179)</dc:creator>
  <cp:keywords/>
  <dc:description/>
  <cp:lastModifiedBy>Kris Vanreyten</cp:lastModifiedBy>
  <cp:revision/>
  <dcterms:created xsi:type="dcterms:W3CDTF">2013-09-16T10:44:45Z</dcterms:created>
  <dcterms:modified xsi:type="dcterms:W3CDTF">2022-03-04T11:25:48Z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0x01010003B8D908A386094EA8E46FFF7D2B1327</vt:lpwstr>
  </property>
</Properties>
</file>